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drawings/drawing6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drawings/drawing7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8.xml" ContentType="application/vnd.openxmlformats-officedocument.drawing+xml"/>
  <Override PartName="/xl/ctrlProps/ctrlProp12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9055 - SETE\Presupuestacion\Caja\W_DIFUSION\Informe Mensual\2024\02_Febrero\Excel\"/>
    </mc:Choice>
  </mc:AlternateContent>
  <bookViews>
    <workbookView xWindow="0" yWindow="0" windowWidth="23040" windowHeight="9048"/>
  </bookViews>
  <sheets>
    <sheet name="Index" sheetId="4" r:id="rId1"/>
    <sheet name="Table 1.1" sheetId="5" r:id="rId2"/>
    <sheet name="Table 1.2" sheetId="6" r:id="rId3"/>
    <sheet name="Table 2.1" sheetId="7" r:id="rId4"/>
    <sheet name="Table 2.2" sheetId="8" r:id="rId5"/>
    <sheet name="Table 2.3" sheetId="9" r:id="rId6"/>
    <sheet name="Table 2.4" sheetId="10" r:id="rId7"/>
    <sheet name="Table 3.1" sheetId="11" r:id="rId8"/>
    <sheet name="Table 3.2" sheetId="12" r:id="rId9"/>
    <sheet name="Data" sheetId="2" r:id="rId10"/>
    <sheet name="Homogeneous" sheetId="3" r:id="rId11"/>
    <sheet name="Homogeneous Revenue (rates)" sheetId="13" r:id="rId12"/>
  </sheets>
  <definedNames>
    <definedName name="_xlnm._FilterDatabase" localSheetId="1" hidden="1">'Table 1.1'!$O$95:$Q$119</definedName>
    <definedName name="Año_anterior_seleccionado" localSheetId="1">'Table 1.1'!$Q$6</definedName>
    <definedName name="Año_anterior_seleccionado_C.1.2" localSheetId="2">'Table 1.2'!$S$9</definedName>
    <definedName name="Año_anterior_seleccionado_C.1.2" localSheetId="5">'Table 2.3'!$S$9</definedName>
    <definedName name="Año_anterior_seleccionado_C.1.2" localSheetId="8">'Table 3.2'!$S$9</definedName>
    <definedName name="Año_anterior_seleccionado_C.2.1" localSheetId="3">'Table 2.1'!$P$7</definedName>
    <definedName name="Año_anterior_seleccionado_C.2.2" localSheetId="4">'Table 2.2'!$S$9</definedName>
    <definedName name="Año_anterior_seleccionado_C.2.3" localSheetId="5">'Table 2.3'!$S$9</definedName>
    <definedName name="Año_anterior_seleccionado_C.2.4" localSheetId="6">'Table 2.4'!$N$12</definedName>
    <definedName name="Año_anterior_seleccionado_C.3.1" localSheetId="7">'Table 3.1'!$N$7</definedName>
    <definedName name="Año_anterior_seleccionado_C.3.2" localSheetId="8">'Table 3.2'!$S$9</definedName>
    <definedName name="Año_seleccionado" localSheetId="1">'Table 1.1'!$Q$3</definedName>
    <definedName name="Año_seleccionado_C.1.2" localSheetId="2">'Table 1.2'!$S$7</definedName>
    <definedName name="Año_seleccionado_C.1.2" localSheetId="4">'Table 2.2'!$S$7</definedName>
    <definedName name="Año_seleccionado_C.1.2" localSheetId="5">'Table 2.3'!$S$7</definedName>
    <definedName name="Año_seleccionado_C.1.2" localSheetId="8">'Table 3.2'!$S$7</definedName>
    <definedName name="Año_seleccionado_C.2.1" localSheetId="3">'Table 2.1'!$P$4</definedName>
    <definedName name="Año_seleccionado_C.2.2" localSheetId="4">'Table 2.2'!$S$7</definedName>
    <definedName name="Año_seleccionado_C.2.3" localSheetId="5">'Table 2.3'!$S$7</definedName>
    <definedName name="Año_seleccionado_C.2.4" localSheetId="6">'Table 2.4'!$N$9</definedName>
    <definedName name="Año_seleccionado_C.3.1" localSheetId="7">'Table 3.1'!$N$4</definedName>
    <definedName name="Año_seleccionado_C.3.2" localSheetId="8">'Table 3.2'!$S$7</definedName>
    <definedName name="Años">'Table 1.1'!$O$96:$O$124</definedName>
    <definedName name="Años_datos">Data!$A$8:$A$367</definedName>
    <definedName name="Años_homogeneizaciones">'Table 3.1'!$L$66:$L$70</definedName>
    <definedName name="Años_homogeneos">Homogeneous!$A$7:$A$78</definedName>
    <definedName name="_xlnm.Print_Area" localSheetId="0">Index!$A$1:$H$21</definedName>
    <definedName name="_xlnm.Print_Area" localSheetId="1">'Table 1.1'!$B$1:$M$91</definedName>
    <definedName name="_xlnm.Print_Area" localSheetId="2">'Table 1.2'!$A$1:$P$88</definedName>
    <definedName name="_xlnm.Print_Area" localSheetId="3">'Table 2.1'!$B$1:$L$73</definedName>
    <definedName name="_xlnm.Print_Area" localSheetId="4">'Table 2.2'!$A$1:$P$88</definedName>
    <definedName name="_xlnm.Print_Area" localSheetId="5">'Table 2.3'!$A$1:$P$88</definedName>
    <definedName name="_xlnm.Print_Area" localSheetId="6">'Table 2.4'!$B$1:$J$47</definedName>
    <definedName name="_xlnm.Print_Area" localSheetId="7">'Table 3.1'!$B$1:$J$62</definedName>
    <definedName name="_xlnm.Print_Area" localSheetId="8">'Table 3.2'!$A$1:$P$88</definedName>
    <definedName name="CT">Data!$AV$2:$BZ$441</definedName>
    <definedName name="Cuadro_1.1" localSheetId="1">'Table 1.1'!$B$4</definedName>
    <definedName name="Cuadro_1.2" localSheetId="2">'Table 1.2'!$B$3</definedName>
    <definedName name="Cuadro_2.1" localSheetId="3">'Table 2.1'!$B$6</definedName>
    <definedName name="Cuadro_2.2" localSheetId="4">'Table 2.2'!$B$3</definedName>
    <definedName name="Cuadro_2.3" localSheetId="5">'Table 2.3'!$B$3</definedName>
    <definedName name="Cuadro_2.4" localSheetId="6">'Table 2.4'!$B$3</definedName>
    <definedName name="Cuadro_3.1" localSheetId="7">'Table 3.1'!$B$4</definedName>
    <definedName name="Cuadro_3.2" localSheetId="8">'Table 3.2'!$B$3</definedName>
    <definedName name="Datos_periodo">Data!$B$8:$B$367</definedName>
    <definedName name="Excises_tax">Data!$DI$2:$FQ$441</definedName>
    <definedName name="Homogeneos_IIEE">Homogeneous!$Z$7:$Z$78</definedName>
    <definedName name="Homogeneos_IIEE_ajustes_otros">Homogeneous!$Y$7:$Y$78</definedName>
    <definedName name="Homogeneos_IIEE_ajustes_tabaco_PVN">Homogeneous!$X$7:$X$78</definedName>
    <definedName name="Homogeneos_IIEE_ajustes_total">Homogeneous!$W$7:$W$78</definedName>
    <definedName name="Homogeneos_ingresos_totales">Homogeneous!$E$7:$E$78</definedName>
    <definedName name="Homogeneos_IRPF">Homogeneous!$K$7:$K$78</definedName>
    <definedName name="Homogeneos_IRPF_ajustes_otros">Homogeneous!$J$7:$J$78</definedName>
    <definedName name="Homogeneos_IRPF_ajustes_retenc_trabajo_AAPP">Homogeneous!$I$7:$I$78</definedName>
    <definedName name="Homogeneos_IRPF_ajustes_ritmo_devoluc">Homogeneous!$H$7:$H$78</definedName>
    <definedName name="Homogeneos_IRPF_ajustes_total">Homogeneous!$G$7:$G$78</definedName>
    <definedName name="Homogeneos_IS">Homogeneous!$P$7:$P$78</definedName>
    <definedName name="Homogeneos_IS_ajustes_otros">Homogeneous!$O$7:$O$78</definedName>
    <definedName name="Homogeneos_IS_ajustes_ritmo_devoluciones">Homogeneous!$N$7:$N$78</definedName>
    <definedName name="Homogeneos_IS_ajustes_total">Homogeneous!$M$7:$M$78</definedName>
    <definedName name="Homogeneos_IVA">Homogeneous!$U$7:$U$78</definedName>
    <definedName name="Homogeneos_IVA_ajustes_otros">Homogeneous!$T$7:$T$78</definedName>
    <definedName name="Homogeneos_IVA_ajustes_ritmo_devoluciones">Homogeneous!$S$7:$S$78</definedName>
    <definedName name="Homogeneos_IVA_ajustes_total">Homogeneous!$R$7:$R$78</definedName>
    <definedName name="Homogeneos_resto_ingresos">Homogeneous!$AE$7:$AE$78</definedName>
    <definedName name="Homogeneos_resto_ingresos_ajustes_otros">Homogeneous!$AD$7:$AD$78</definedName>
    <definedName name="Homogeneos_resto_ingresos_ajustes_tasa_radieolectr">Homogeneous!$AC$7:$AC$78</definedName>
    <definedName name="Homogeneos_resto_ingresos_ajustes_total">Homogeneous!$AB$7:$AB$78</definedName>
    <definedName name="IIEE_AATT_alcoholes">Data!$EM$8:$EM$367</definedName>
    <definedName name="IIEE_AATT_cerveza">Data!$ER$8:$ER$367</definedName>
    <definedName name="IIEE_AATT_electricidad">Data!$FL$8:$FL$367</definedName>
    <definedName name="IIEE_AATT_hidrocarburos">Data!$FB$8:$FB$367</definedName>
    <definedName name="IIEE_AATT_prod_intermedios">Data!$EW$8:$EW$367</definedName>
    <definedName name="IIEE_AATT_tabaco">Data!$FG$8:$FG$367</definedName>
    <definedName name="IIEE_AATT_total">Data!$EH$8:$EH$367</definedName>
    <definedName name="IIEE_bruto_alcohol">Data!$DJ$8:$DJ$367</definedName>
    <definedName name="IIEE_bruto_carbon">Data!$DQ$8:$DQ$367</definedName>
    <definedName name="IIEE_bruto_cerveza">Data!$DK$8:$DK$367</definedName>
    <definedName name="IIEE_bruto_electricidad">Data!$DO$8:$DO$367</definedName>
    <definedName name="IIEE_bruto_hidrocarburos">Data!$DM$8:$DM$367</definedName>
    <definedName name="IIEE_bruto_plasticos">Data!$DP$8:$DP$367</definedName>
    <definedName name="IIEE_bruto_prod_intermedios">Data!$DL$8:$DL$367</definedName>
    <definedName name="IIEE_bruto_tabaco">Data!$DN$8:$DN$367</definedName>
    <definedName name="IIEE_bruto_total">Data!$DI$8:$DI$367</definedName>
    <definedName name="IIEE_bruto_transporte">Data!$DR$8:$DR$367</definedName>
    <definedName name="IIEE_CCAA_alcohol">Data!$EN$8:$EN$367</definedName>
    <definedName name="IIEE_CCAA_cerveza">Data!$ES$8:$ES$367</definedName>
    <definedName name="IIEE_CCAA_electricidad">Data!$FM$8:$FM$367</definedName>
    <definedName name="IIEE_CCAA_hidrocarburos">Data!$FC$8:$FC$367</definedName>
    <definedName name="IIEE_CCAA_prod_intermedios">Data!$EX$8:$EX$367</definedName>
    <definedName name="IIEE_CCAA_tabaco">Data!$FH$8:$FH$367</definedName>
    <definedName name="IIEE_CCAA_total">Data!$EI$8:$EI$367</definedName>
    <definedName name="IIEE_CCLL_alcohol">Data!$EO$8:$EO$367</definedName>
    <definedName name="IIEE_CCLL_cerveza">Data!$ET$8:$ET$367</definedName>
    <definedName name="IIEE_CCLL_hidrocarburos">Data!$FD$8:$FD$367</definedName>
    <definedName name="IIEE_CCLL_prod_intermedios">Data!$EY$8:$EY$367</definedName>
    <definedName name="IIEE_CCLL_tabaco">Data!$FI$8:$FI$367</definedName>
    <definedName name="IIEE_CCLL_total">Data!$EJ$8:$EJ$367</definedName>
    <definedName name="IIEE_devoluciones_alcohol">Data!$DT$8:$DT$367</definedName>
    <definedName name="IIEE_devoluciones_carbon">Data!$ED$8:$ED$367</definedName>
    <definedName name="IIEE_devoluciones_cerveza">Data!$DU$8:$DU$367</definedName>
    <definedName name="IIEE_devoluciones_electricidad">Data!$EB$8:$EB$367</definedName>
    <definedName name="IIEE_devoluciones_hidrocarburos">Data!$DW$8:$DW$367</definedName>
    <definedName name="IIEE_devoluciones_plasticos">Data!$EC$8:$EC$367</definedName>
    <definedName name="IIEE_devoluciones_prod_intermedios">Data!$DV$8:$DV$367</definedName>
    <definedName name="IIEE_devoluciones_tabaco">Data!$EA$8:$EA$367</definedName>
    <definedName name="IIEE_devoluciones_total">Data!$DS$8:$DS$367</definedName>
    <definedName name="IIEE_devoluciones_transporte">Data!$EE$8:$EE$367</definedName>
    <definedName name="IIEE_Estado_alcohol">Data!$EL$8:$EL$367</definedName>
    <definedName name="IIEE_Estado_cerveza">Data!$EQ$8:$EQ$367</definedName>
    <definedName name="IIEE_Estado_electricidad">Data!$FK$8:$FK$367</definedName>
    <definedName name="IIEE_Estado_hidrocarburos">Data!$FA$8:$FA$367</definedName>
    <definedName name="IIEE_Estado_prod_intermedios">Data!$EV$8:$EV$367</definedName>
    <definedName name="IIEE_Estado_tabaco">Data!$FF$8:$FF$367</definedName>
    <definedName name="IIEE_Estado_total">Data!$EG$8:$EG$367</definedName>
    <definedName name="IIEE_neto_alcohol">Data!$EK$8:$EK$367</definedName>
    <definedName name="IIEE_neto_carbon">Data!$FP$8:$FP$367</definedName>
    <definedName name="IIEE_neto_cerveza">Data!$EP$8:$EP$367</definedName>
    <definedName name="IIEE_neto_electricidad">Data!$FJ$8:$FJ$367</definedName>
    <definedName name="IIEE_neto_hidrocarburos">Data!$EZ$8:$EZ$367</definedName>
    <definedName name="IIEE_neto_plasticos">Data!$FO$8:$FO$367</definedName>
    <definedName name="IIEE_neto_prod_intermedios">Data!$EU$8:$EU$367</definedName>
    <definedName name="IIEE_neto_tabaco">Data!$FE$8:$FE$367</definedName>
    <definedName name="IIEE_neto_total">Data!$EF$8:$EF$367</definedName>
    <definedName name="IIEE_neto_transporte">Data!$FQ$8:$FQ$367</definedName>
    <definedName name="ÍNDICE_CUADROS_ESTADÍSTICOS" localSheetId="0">Index!$B$4:$D$4</definedName>
    <definedName name="Ingresos_netos_totales">Data!$G$8:$G$367</definedName>
    <definedName name="Ingresos_totales_AATT">Data!$I$8:$I$367</definedName>
    <definedName name="Ingresos_totales_brutos">Data!$D$8:$D$367</definedName>
    <definedName name="Ingresos_totales_CCAA">Data!$J$8:$J$367</definedName>
    <definedName name="Ingresos_totales_CCLL">Data!$K$8:$K$367</definedName>
    <definedName name="Ingresos_totales_devoluciones">Data!$E$8:$E$367</definedName>
    <definedName name="Ingresos_totales_Estado">Data!$H$8:$H$367</definedName>
    <definedName name="Ingresos_tributarios_totales">Data!$D:$K</definedName>
    <definedName name="IRNR">Data!$CA$2:$CH$441</definedName>
    <definedName name="IRNR_bruto">Data!$CA$8:$CA$367</definedName>
    <definedName name="IRNR_devoluciones">Data!$CB$8:$CB$367</definedName>
    <definedName name="IRNR_neto">Data!$CE$8:$CE$367</definedName>
    <definedName name="IRNR_pagos_fraccionados">Data!$CG$8:$CG$367</definedName>
    <definedName name="IRNR_RDA_actas_otros">Data!$CH$8:$CH$367</definedName>
    <definedName name="IRNR_retenc_ingresos_a_cuenta">Data!$CF$8:$CF$367</definedName>
    <definedName name="IRPF_AATT">Data!$AF$8:$AF$367</definedName>
    <definedName name="IRPF_arrendamientos">Data!$AN$8:$AN$367</definedName>
    <definedName name="IRPF_Asig_Iglesia">Data!$AC$8:$AC$367</definedName>
    <definedName name="IRPF_bruto">Data!$L$8:$L$367</definedName>
    <definedName name="IRPF_campaña_bruto">Data!$O$8:$O$367</definedName>
    <definedName name="IRPF_capital_mobiliario">Data!$AM$8:$AM$367</definedName>
    <definedName name="IRPF_CCAA">Data!$AG$8:$AG$367</definedName>
    <definedName name="IRPF_CCLL">Data!$AH$8:$AH$367</definedName>
    <definedName name="IRPF_devoluciones_liquidac_Admon">Data!$Z$8:$Z$367</definedName>
    <definedName name="IRPF_devoluciones_otras">Data!$AA$8:$AA$367</definedName>
    <definedName name="IRPF_devoluciones_RDeclaracAnual">Data!$T$8:$T$367</definedName>
    <definedName name="IRPF_devoluciones_Tesoro">Data!$AB$8:$AB$367</definedName>
    <definedName name="IRPF_devoluciones_total">Data!$S$8:$S$367</definedName>
    <definedName name="IRPF_Estado">Data!$AE$8:$AE$367</definedName>
    <definedName name="IRPF_fondos_inversión">Data!$AO$8:$AO$367</definedName>
    <definedName name="IRPF_Grav_loterías">Data!$AP$8:$AP$367</definedName>
    <definedName name="IRPF_Liq_Admon_bruto">Data!$Q$8:$Q$367</definedName>
    <definedName name="IRPF_LiqAdmon_neto">Data!$AS$8:$AS$367</definedName>
    <definedName name="IRPF_neto_total">Data!$AD$8:$AD$367</definedName>
    <definedName name="IRPF_Otros_ingresos_brutos">Data!$R$8:$R$367</definedName>
    <definedName name="IRPF_otros_ingresos_neto">Data!$AT$8:$AT$367</definedName>
    <definedName name="IRPF_pagos_fraccionados">Data!$AQ$8:$AQ$367</definedName>
    <definedName name="IRPF_RDA_resto">Data!$P$8:$P$367</definedName>
    <definedName name="IRPF_RDeclaracAnual_bruto">Data!$N$8:$N$367</definedName>
    <definedName name="IRPF_RDeclaracAnual_neto">Data!$AR$8:$AR$367</definedName>
    <definedName name="IRPF_trabajo_AAPP">Data!$AJ$8:$AJ$367</definedName>
    <definedName name="IRPF_trabajo_bruto">Data!$M$8:$M$367</definedName>
    <definedName name="IRPF_trabajo_GE">Data!$AK$8:$AK$367</definedName>
    <definedName name="IRPF_trabajo_neto">Data!$AI$8:$AI$367</definedName>
    <definedName name="IRPF_trabajo_Pymes">Data!$AL$8:$AL$367</definedName>
    <definedName name="IS_arrendamientos">Data!$BP$8:$BP$367</definedName>
    <definedName name="IS_bruto">Data!$AV$8:$AV$367</definedName>
    <definedName name="IS_bruto_pagos_fraccionados">Data!$AW$8:$AW$367</definedName>
    <definedName name="IS_bruto_RDeclaracAnual">Data!$AX$8:$AX$367</definedName>
    <definedName name="IS_capital_mobiliario">Data!$BO$8:$BO$367</definedName>
    <definedName name="IS_devoluciones">Data!$BE$8:$BE$367</definedName>
    <definedName name="IS_devoluciones_liq_Admon">Data!$BH$8:$BH$367</definedName>
    <definedName name="IS_devoluciones_otras">Data!$BL$8:$BL$367</definedName>
    <definedName name="IS_devoluciones_RDA">Data!$BG$8:$BG$367</definedName>
    <definedName name="IS_devoluciones_Tesoro">Data!$BM$8:$BM$367</definedName>
    <definedName name="IS_devoluciones_total">Data!$BE$8:$BE$367</definedName>
    <definedName name="IS_fondos_inversión">Data!$BQ$8:$BQ$367</definedName>
    <definedName name="IS_Gravamen_loterias">Data!$BR$8:$BR$367</definedName>
    <definedName name="IS_liq_Admon_neto">Data!$BY$8:$BY$367</definedName>
    <definedName name="IS_LiquidacAdmon_bruto">Data!$BC$8:$BC$367</definedName>
    <definedName name="IS_neto_total">Data!$BN$8:$BN$367</definedName>
    <definedName name="IS_otros_ingresos_bruto">Data!$BD$8:$BD$367</definedName>
    <definedName name="IS_otros_ingresos_neto">Data!$BZ$8:$BZ$367</definedName>
    <definedName name="IS_pagos_fracc_grandes_empresas_no_grupos">Data!$BT$8:$BT$367</definedName>
    <definedName name="IS_pagos_fracc_grupos_consolidados">Data!$BU$8:$BU$367</definedName>
    <definedName name="IS_pagos_fracc_pymes">Data!$BV$8:$BV$367</definedName>
    <definedName name="IS_pagos_fraccionados">Data!$BS$8:$BS$367</definedName>
    <definedName name="IS_RDA_grandes_empresas_no_grupos">Data!$AY$8:$AY$367</definedName>
    <definedName name="IS_RDA_grupos_consolidados">Data!$AZ$8:$AZ$367</definedName>
    <definedName name="IS_RDA_neto">Data!$BX$8:$BX$367</definedName>
    <definedName name="IS_RDA_pymes">Data!$BA$8:$BA$367</definedName>
    <definedName name="IS_RDA_resto">Data!$BB$8:$BB$367</definedName>
    <definedName name="IVA_AATT">Data!$DF$8:$DF$367</definedName>
    <definedName name="IVA_bruto">Data!$CI$8:$CI$367</definedName>
    <definedName name="IVA_bruto_otros_ingresos">Data!$CN$8:$CN$367</definedName>
    <definedName name="IVA_CCAA">Data!$DG$8:$DG$367</definedName>
    <definedName name="IVA_CCLL">Data!$DH$8:$DH$367</definedName>
    <definedName name="IVA_devoluciones_ajustesNavarra">Data!$DC$8:$DC$367</definedName>
    <definedName name="IVA_devoluciones_AjustesPV">Data!$DB$8:$DB$367</definedName>
    <definedName name="IVA_devoluciones_anuales_y_otras">Data!$CS$8:$CS$367</definedName>
    <definedName name="IVA_devoluciones_importaciones">Data!$CV$8:$CV$367</definedName>
    <definedName name="IVA_devoluciones_mensuales">Data!$CX$8:$CX$367</definedName>
    <definedName name="IVA_devoluciones_total">Data!$CR$8:$CR$367</definedName>
    <definedName name="IVA_Estado">Data!$DE$8:$DE$367</definedName>
    <definedName name="IVA_grandes_empresas">Data!$CL$8:$CL$367</definedName>
    <definedName name="IVA_importaciones_bruto">Data!$CJ$8:$CJ$367</definedName>
    <definedName name="IVA_oper_interiores_bruto">Data!$CK$8:$CK$367</definedName>
    <definedName name="IVA_operac_interiores_otros_ingresos">Data!$CI$8:$CI$367</definedName>
    <definedName name="IVA_pymes">Data!$CM$8:$CM$367</definedName>
    <definedName name="IVA_total_neto">Data!$DD$8:$DD$367</definedName>
    <definedName name="Mes_datos">Data!$C$8:$C$367</definedName>
    <definedName name="Mes_homogeneos">Homogeneous!$C$7:$C$78</definedName>
    <definedName name="Mes_seleccionado" localSheetId="1">'Table 1.1'!$Q$4</definedName>
    <definedName name="Mes_seleccionado_C.2.1" localSheetId="3">'Table 2.1'!$P$5</definedName>
    <definedName name="Mes_seleccionado_C.2.4" localSheetId="6">'Table 2.4'!$N$10</definedName>
    <definedName name="Mes_seleccionado_C.3.1" localSheetId="7">'Table 3.1'!$N$5</definedName>
    <definedName name="Meses">'Table 1.1'!$P$96:$P$107</definedName>
    <definedName name="Other_revenue">Data!$FR$2:$GJ$441</definedName>
    <definedName name="Periodo_homogeneos">Homogeneous!$B$7:$B$78</definedName>
    <definedName name="Periodo_seleccionado" localSheetId="1">'Table 1.1'!$Q$5</definedName>
    <definedName name="Periodo_seleccionado_C.2.1" localSheetId="3">'Table 2.1'!$P$6</definedName>
    <definedName name="Periodo_seleccionado_C.2.4" localSheetId="6">'Table 2.4'!$N$11</definedName>
    <definedName name="Periodo_seleccionado_C.3.1" localSheetId="7">'Table 3.1'!$N$6</definedName>
    <definedName name="PIT">Data!$L$2:$AU$441</definedName>
    <definedName name="Resto_ingresos_brutos_total">Data!$FR$8:$FR$367</definedName>
    <definedName name="Resto_ingresos_devoluciones_total">Data!$FS$8:$FS$367</definedName>
    <definedName name="Resto_ingresos_netos_canon_aguas">Data!$GE$8:$GE$367</definedName>
    <definedName name="Resto_ingresos_netos_fisc_ambiental_CapI">Data!$FV$8:$FV$367</definedName>
    <definedName name="Resto_ingresos_netos_gases_fluorados">Data!$FW$8:$FW$367</definedName>
    <definedName name="Resto_ingresos_netos_Imp_activ_juego">Data!$GB$8:$GB$367</definedName>
    <definedName name="Resto_ingresos_netos_imp_ambientales_total">Data!$FU$8:$FU$367</definedName>
    <definedName name="Resto_ingresos_netos_Impuesto_Servicios_Digitales">Data!$GA$8:$GA$367</definedName>
    <definedName name="Resto_ingresos_netos_Impuesto_Transacciones_Financieras">Data!$FZ$8:$FZ$367</definedName>
    <definedName name="Resto_ingresos_netos_otros_CapI">Data!$GH$8:$GH$367</definedName>
    <definedName name="Resto_ingresos_netos_otros_CapII">Data!$GI$8:$GI$367</definedName>
    <definedName name="Resto_ingresos_netos_otros_CapIII">Data!$GJ$8:$GJ$367</definedName>
    <definedName name="Resto_ingresos_netos_otros_total">Data!$GG$8:$GG$367</definedName>
    <definedName name="Resto_ingresos_netos_primas_seguro">Data!$FY$8:$FY$367</definedName>
    <definedName name="Resto_ingresos_netos_tasa_radioelectr">Data!$GD$8:$GD$367</definedName>
    <definedName name="Resto_ingresos_netos_tasas">Data!$GC$8:$GC$367</definedName>
    <definedName name="Resto_ingresos_netos_total">Data!$FT$8:$FT$367</definedName>
    <definedName name="Resto_ingresos_netos_trafico_exterior">Data!$FX$8:$FX$367</definedName>
    <definedName name="Total_Tax_Revenue">Data!$D$2:$K$441</definedName>
    <definedName name="VAT">Data!$CI$2:$DH$441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104" i="12" l="1"/>
  <c r="AX104" i="12"/>
  <c r="AW104" i="12"/>
  <c r="AV104" i="12"/>
  <c r="AU104" i="12"/>
  <c r="AT104" i="12"/>
  <c r="AR104" i="12"/>
  <c r="AQ104" i="12"/>
  <c r="AP104" i="12"/>
  <c r="AO104" i="12"/>
  <c r="AN104" i="12"/>
  <c r="AM104" i="12"/>
  <c r="AY103" i="12"/>
  <c r="AX103" i="12"/>
  <c r="AW103" i="12"/>
  <c r="AV103" i="12"/>
  <c r="AU103" i="12"/>
  <c r="AT103" i="12"/>
  <c r="AR103" i="12"/>
  <c r="AQ103" i="12"/>
  <c r="AP103" i="12"/>
  <c r="AO103" i="12"/>
  <c r="AN103" i="12"/>
  <c r="AM103" i="12"/>
  <c r="AY102" i="12"/>
  <c r="AX102" i="12"/>
  <c r="AW102" i="12"/>
  <c r="AV102" i="12"/>
  <c r="AU102" i="12"/>
  <c r="AT102" i="12"/>
  <c r="AR102" i="12"/>
  <c r="AQ102" i="12"/>
  <c r="AP102" i="12"/>
  <c r="AO102" i="12"/>
  <c r="AN102" i="12"/>
  <c r="AM102" i="12"/>
  <c r="AY101" i="12"/>
  <c r="AX101" i="12"/>
  <c r="AW101" i="12"/>
  <c r="AV101" i="12"/>
  <c r="AU101" i="12"/>
  <c r="AT101" i="12"/>
  <c r="AR101" i="12"/>
  <c r="AQ101" i="12"/>
  <c r="AP101" i="12"/>
  <c r="AO101" i="12"/>
  <c r="AN101" i="12"/>
  <c r="AM101" i="12"/>
  <c r="AY100" i="12"/>
  <c r="AX100" i="12"/>
  <c r="AW100" i="12"/>
  <c r="AV100" i="12"/>
  <c r="AU100" i="12"/>
  <c r="AT100" i="12"/>
  <c r="AR100" i="12"/>
  <c r="AQ100" i="12"/>
  <c r="AP100" i="12"/>
  <c r="AO100" i="12"/>
  <c r="AN100" i="12"/>
  <c r="AM100" i="12"/>
  <c r="AY99" i="12"/>
  <c r="AX99" i="12"/>
  <c r="AW99" i="12"/>
  <c r="AV99" i="12"/>
  <c r="AU99" i="12"/>
  <c r="AT99" i="12"/>
  <c r="AR99" i="12"/>
  <c r="AQ99" i="12"/>
  <c r="AP99" i="12"/>
  <c r="AO99" i="12"/>
  <c r="AN99" i="12"/>
  <c r="AM99" i="12"/>
  <c r="AY98" i="12"/>
  <c r="AX98" i="12"/>
  <c r="AW98" i="12"/>
  <c r="AV98" i="12"/>
  <c r="AU98" i="12"/>
  <c r="AT98" i="12"/>
  <c r="AR98" i="12"/>
  <c r="AQ98" i="12"/>
  <c r="AP98" i="12"/>
  <c r="AO98" i="12"/>
  <c r="AN98" i="12"/>
  <c r="AM98" i="12"/>
  <c r="AY97" i="12"/>
  <c r="AX97" i="12"/>
  <c r="AW97" i="12"/>
  <c r="AV97" i="12"/>
  <c r="AU97" i="12"/>
  <c r="AT97" i="12"/>
  <c r="AR97" i="12"/>
  <c r="AQ97" i="12"/>
  <c r="AP97" i="12"/>
  <c r="AO97" i="12"/>
  <c r="AN97" i="12"/>
  <c r="AM97" i="12"/>
  <c r="AY96" i="12"/>
  <c r="AX96" i="12"/>
  <c r="AW96" i="12"/>
  <c r="AV96" i="12"/>
  <c r="AU96" i="12"/>
  <c r="AT96" i="12"/>
  <c r="AR96" i="12"/>
  <c r="AQ96" i="12"/>
  <c r="AP96" i="12"/>
  <c r="AO96" i="12"/>
  <c r="AN96" i="12"/>
  <c r="AM96" i="12"/>
  <c r="AY95" i="12"/>
  <c r="AX95" i="12"/>
  <c r="AW95" i="12"/>
  <c r="AV95" i="12"/>
  <c r="AU95" i="12"/>
  <c r="AT95" i="12"/>
  <c r="AR95" i="12"/>
  <c r="AQ95" i="12"/>
  <c r="AP95" i="12"/>
  <c r="AO95" i="12"/>
  <c r="AN95" i="12"/>
  <c r="AM95" i="12"/>
  <c r="AY94" i="12"/>
  <c r="AX94" i="12"/>
  <c r="AW94" i="12"/>
  <c r="AV94" i="12"/>
  <c r="AU94" i="12"/>
  <c r="AT94" i="12"/>
  <c r="AR94" i="12"/>
  <c r="AQ94" i="12"/>
  <c r="AP94" i="12"/>
  <c r="AO94" i="12"/>
  <c r="AN94" i="12"/>
  <c r="AM94" i="12"/>
  <c r="AY93" i="12"/>
  <c r="AX93" i="12"/>
  <c r="AW93" i="12"/>
  <c r="AV93" i="12"/>
  <c r="AU93" i="12"/>
  <c r="AT93" i="12"/>
  <c r="AR93" i="12"/>
  <c r="AQ93" i="12"/>
  <c r="AP93" i="12"/>
  <c r="AO93" i="12"/>
  <c r="AN93" i="12"/>
  <c r="AM93" i="12"/>
  <c r="Z78" i="12"/>
  <c r="Y78" i="12"/>
  <c r="X78" i="12"/>
  <c r="W78" i="12"/>
  <c r="V78" i="12"/>
  <c r="U78" i="12"/>
  <c r="Z77" i="12"/>
  <c r="Y77" i="12"/>
  <c r="X77" i="12"/>
  <c r="W77" i="12"/>
  <c r="V77" i="12"/>
  <c r="U77" i="12"/>
  <c r="Z76" i="12"/>
  <c r="Y76" i="12"/>
  <c r="X76" i="12"/>
  <c r="W76" i="12"/>
  <c r="V76" i="12"/>
  <c r="U76" i="12"/>
  <c r="Q4" i="5" l="1"/>
  <c r="S7" i="12" l="1"/>
  <c r="U118" i="12" s="1"/>
  <c r="J54" i="11"/>
  <c r="F54" i="11"/>
  <c r="O17" i="11"/>
  <c r="J10" i="11"/>
  <c r="I10" i="11"/>
  <c r="F10" i="11"/>
  <c r="E10" i="11"/>
  <c r="N6" i="11"/>
  <c r="N5" i="11"/>
  <c r="N4" i="11"/>
  <c r="N11" i="10"/>
  <c r="N10" i="10"/>
  <c r="N9" i="10"/>
  <c r="S7" i="9"/>
  <c r="U110" i="9" s="1"/>
  <c r="S7" i="8"/>
  <c r="U154" i="8" s="1"/>
  <c r="L68" i="7"/>
  <c r="G68" i="7"/>
  <c r="L27" i="7"/>
  <c r="K27" i="7"/>
  <c r="G27" i="7"/>
  <c r="F27" i="7"/>
  <c r="L26" i="7"/>
  <c r="K26" i="7"/>
  <c r="G26" i="7"/>
  <c r="F26" i="7"/>
  <c r="L9" i="7"/>
  <c r="K9" i="7"/>
  <c r="J9" i="7"/>
  <c r="G9" i="7"/>
  <c r="F9" i="7"/>
  <c r="E9" i="7"/>
  <c r="P6" i="7"/>
  <c r="P5" i="7"/>
  <c r="P4" i="7"/>
  <c r="S7" i="6"/>
  <c r="U151" i="6" s="1"/>
  <c r="Q5" i="5"/>
  <c r="Q3" i="5"/>
  <c r="F35" i="5" s="1"/>
  <c r="D35" i="5" s="1"/>
  <c r="F78" i="5" l="1"/>
  <c r="F76" i="5"/>
  <c r="D76" i="5" s="1"/>
  <c r="F39" i="5"/>
  <c r="D39" i="5" s="1"/>
  <c r="H36" i="10"/>
  <c r="D36" i="10"/>
  <c r="F40" i="5"/>
  <c r="D40" i="5" s="1"/>
  <c r="F41" i="5"/>
  <c r="D41" i="5" s="1"/>
  <c r="F80" i="5"/>
  <c r="D80" i="5" s="1"/>
  <c r="F81" i="5"/>
  <c r="D81" i="5" s="1"/>
  <c r="F82" i="5"/>
  <c r="D82" i="5" s="1"/>
  <c r="D51" i="5"/>
  <c r="F57" i="5"/>
  <c r="D57" i="5" s="1"/>
  <c r="F55" i="5"/>
  <c r="E55" i="5"/>
  <c r="E64" i="5" s="1"/>
  <c r="D55" i="5"/>
  <c r="F26" i="5"/>
  <c r="D26" i="5" s="1"/>
  <c r="F67" i="5"/>
  <c r="D67" i="5" s="1"/>
  <c r="H12" i="10"/>
  <c r="H32" i="10"/>
  <c r="H57" i="11"/>
  <c r="I29" i="7"/>
  <c r="H25" i="11"/>
  <c r="N7" i="11"/>
  <c r="I21" i="11" s="1"/>
  <c r="H11" i="11"/>
  <c r="H18" i="11"/>
  <c r="H39" i="11"/>
  <c r="H13" i="11"/>
  <c r="H21" i="11"/>
  <c r="H32" i="11"/>
  <c r="H43" i="11"/>
  <c r="H56" i="11"/>
  <c r="H59" i="11"/>
  <c r="H15" i="11"/>
  <c r="H36" i="11"/>
  <c r="H46" i="11"/>
  <c r="U153" i="9"/>
  <c r="I45" i="7"/>
  <c r="D49" i="7"/>
  <c r="I16" i="7"/>
  <c r="I39" i="7"/>
  <c r="U109" i="6"/>
  <c r="Y109" i="6" s="1"/>
  <c r="B72" i="6"/>
  <c r="U144" i="6"/>
  <c r="U100" i="6"/>
  <c r="Y100" i="6" s="1"/>
  <c r="B28" i="6"/>
  <c r="U142" i="6"/>
  <c r="U97" i="12"/>
  <c r="Z97" i="12" s="1"/>
  <c r="U126" i="12"/>
  <c r="T126" i="12" s="1"/>
  <c r="V126" i="12" s="1"/>
  <c r="U93" i="8"/>
  <c r="AB93" i="8" s="1"/>
  <c r="U94" i="8"/>
  <c r="W94" i="8" s="1"/>
  <c r="U96" i="8"/>
  <c r="X96" i="8" s="1"/>
  <c r="U108" i="8"/>
  <c r="Y108" i="8" s="1"/>
  <c r="U112" i="8"/>
  <c r="Z112" i="8" s="1"/>
  <c r="U113" i="8"/>
  <c r="AB113" i="8" s="1"/>
  <c r="U116" i="8"/>
  <c r="U121" i="8"/>
  <c r="T121" i="8" s="1"/>
  <c r="V121" i="8" s="1"/>
  <c r="U125" i="8"/>
  <c r="T125" i="8" s="1"/>
  <c r="V125" i="8" s="1"/>
  <c r="U131" i="8"/>
  <c r="U136" i="8"/>
  <c r="U141" i="8"/>
  <c r="U147" i="8"/>
  <c r="U152" i="8"/>
  <c r="U107" i="6"/>
  <c r="Z107" i="6" s="1"/>
  <c r="I18" i="7"/>
  <c r="I31" i="7"/>
  <c r="D45" i="7"/>
  <c r="S9" i="8"/>
  <c r="U97" i="8"/>
  <c r="Z97" i="8" s="1"/>
  <c r="U100" i="8"/>
  <c r="U102" i="8"/>
  <c r="AB102" i="8" s="1"/>
  <c r="U104" i="8"/>
  <c r="W104" i="8" s="1"/>
  <c r="U114" i="8"/>
  <c r="Z114" i="8" s="1"/>
  <c r="U118" i="8"/>
  <c r="T118" i="8" s="1"/>
  <c r="V118" i="8" s="1"/>
  <c r="U122" i="8"/>
  <c r="T122" i="8" s="1"/>
  <c r="V122" i="8" s="1"/>
  <c r="U126" i="8"/>
  <c r="U132" i="8"/>
  <c r="U137" i="8"/>
  <c r="U143" i="8"/>
  <c r="U148" i="8"/>
  <c r="U153" i="8"/>
  <c r="D20" i="10"/>
  <c r="I21" i="7"/>
  <c r="I35" i="7"/>
  <c r="U98" i="8"/>
  <c r="W98" i="8" s="1"/>
  <c r="U101" i="8"/>
  <c r="X101" i="8" s="1"/>
  <c r="U105" i="8"/>
  <c r="Y105" i="8" s="1"/>
  <c r="E15" i="8" s="1"/>
  <c r="U119" i="8"/>
  <c r="T119" i="8" s="1"/>
  <c r="V119" i="8" s="1"/>
  <c r="U123" i="8"/>
  <c r="T123" i="8" s="1"/>
  <c r="V123" i="8" s="1"/>
  <c r="U127" i="8"/>
  <c r="T127" i="8" s="1"/>
  <c r="V127" i="8" s="1"/>
  <c r="U133" i="8"/>
  <c r="U139" i="8"/>
  <c r="U144" i="8"/>
  <c r="U149" i="8"/>
  <c r="D24" i="10"/>
  <c r="D32" i="10"/>
  <c r="I14" i="7"/>
  <c r="I23" i="7"/>
  <c r="I37" i="7"/>
  <c r="I65" i="7" s="1"/>
  <c r="U106" i="8"/>
  <c r="AB106" i="8" s="1"/>
  <c r="H16" i="8" s="1"/>
  <c r="U109" i="8"/>
  <c r="AB109" i="8" s="1"/>
  <c r="U110" i="8"/>
  <c r="AB110" i="8" s="1"/>
  <c r="H20" i="8" s="1"/>
  <c r="U120" i="8"/>
  <c r="T120" i="8" s="1"/>
  <c r="V120" i="8" s="1"/>
  <c r="U124" i="8"/>
  <c r="T124" i="8" s="1"/>
  <c r="V124" i="8" s="1"/>
  <c r="U128" i="8"/>
  <c r="T128" i="8" s="1"/>
  <c r="V128" i="8" s="1"/>
  <c r="U135" i="8"/>
  <c r="U140" i="8"/>
  <c r="U145" i="8"/>
  <c r="U151" i="8"/>
  <c r="D15" i="10"/>
  <c r="D25" i="10"/>
  <c r="D37" i="10"/>
  <c r="B73" i="7"/>
  <c r="D18" i="10"/>
  <c r="D28" i="10"/>
  <c r="D18" i="11"/>
  <c r="B47" i="10"/>
  <c r="D14" i="10"/>
  <c r="Q6" i="5"/>
  <c r="J35" i="5" s="1"/>
  <c r="H35" i="5" s="1"/>
  <c r="L35" i="5" s="1"/>
  <c r="E78" i="5"/>
  <c r="E66" i="5"/>
  <c r="F66" i="5"/>
  <c r="F61" i="5"/>
  <c r="D61" i="5" s="1"/>
  <c r="D25" i="5"/>
  <c r="F29" i="5"/>
  <c r="F32" i="5"/>
  <c r="D14" i="5"/>
  <c r="E25" i="5"/>
  <c r="F33" i="5"/>
  <c r="E14" i="5"/>
  <c r="E23" i="5" s="1"/>
  <c r="F30" i="5"/>
  <c r="F34" i="5"/>
  <c r="F16" i="5"/>
  <c r="D16" i="5" s="1"/>
  <c r="F31" i="5"/>
  <c r="U153" i="6"/>
  <c r="U149" i="6"/>
  <c r="U145" i="6"/>
  <c r="U141" i="6"/>
  <c r="U137" i="6"/>
  <c r="U133" i="6"/>
  <c r="U128" i="6"/>
  <c r="U127" i="6"/>
  <c r="U126" i="6"/>
  <c r="U125" i="6"/>
  <c r="U124" i="6"/>
  <c r="U123" i="6"/>
  <c r="U122" i="6"/>
  <c r="U121" i="6"/>
  <c r="U120" i="6"/>
  <c r="U119" i="6"/>
  <c r="U118" i="6"/>
  <c r="U114" i="6"/>
  <c r="U110" i="6"/>
  <c r="U106" i="6"/>
  <c r="U102" i="6"/>
  <c r="U98" i="6"/>
  <c r="U94" i="6"/>
  <c r="U148" i="6"/>
  <c r="U146" i="6"/>
  <c r="U139" i="6"/>
  <c r="U132" i="6"/>
  <c r="U117" i="6"/>
  <c r="U113" i="6"/>
  <c r="U111" i="6"/>
  <c r="U104" i="6"/>
  <c r="U97" i="6"/>
  <c r="U95" i="6"/>
  <c r="U152" i="6"/>
  <c r="U150" i="6"/>
  <c r="U143" i="6"/>
  <c r="U136" i="6"/>
  <c r="U134" i="6"/>
  <c r="U115" i="6"/>
  <c r="U108" i="6"/>
  <c r="U101" i="6"/>
  <c r="U99" i="6"/>
  <c r="S9" i="6"/>
  <c r="U154" i="6"/>
  <c r="U140" i="6"/>
  <c r="U131" i="6"/>
  <c r="U112" i="6"/>
  <c r="U103" i="6"/>
  <c r="U147" i="6"/>
  <c r="U138" i="6"/>
  <c r="U105" i="6"/>
  <c r="U96" i="6"/>
  <c r="U93" i="6"/>
  <c r="U116" i="6"/>
  <c r="U135" i="6"/>
  <c r="Y107" i="6"/>
  <c r="X107" i="6"/>
  <c r="W107" i="6"/>
  <c r="AB107" i="6"/>
  <c r="D16" i="7"/>
  <c r="D21" i="7"/>
  <c r="D29" i="7"/>
  <c r="D33" i="7"/>
  <c r="Z96" i="8"/>
  <c r="B91" i="5"/>
  <c r="F75" i="5"/>
  <c r="F74" i="5"/>
  <c r="F73" i="5"/>
  <c r="F72" i="5"/>
  <c r="F71" i="5"/>
  <c r="F70" i="5"/>
  <c r="D66" i="5"/>
  <c r="F45" i="5"/>
  <c r="D45" i="5" s="1"/>
  <c r="F36" i="5"/>
  <c r="D36" i="5" s="1"/>
  <c r="E34" i="5"/>
  <c r="E33" i="5"/>
  <c r="E32" i="5"/>
  <c r="E31" i="5"/>
  <c r="E30" i="5"/>
  <c r="E29" i="5"/>
  <c r="E27" i="5"/>
  <c r="F21" i="5"/>
  <c r="D21" i="5" s="1"/>
  <c r="F18" i="5"/>
  <c r="D18" i="5" s="1"/>
  <c r="F86" i="5"/>
  <c r="D86" i="5" s="1"/>
  <c r="F77" i="5"/>
  <c r="D77" i="5" s="1"/>
  <c r="E75" i="5"/>
  <c r="E74" i="5"/>
  <c r="E73" i="5"/>
  <c r="E72" i="5"/>
  <c r="E71" i="5"/>
  <c r="E70" i="5"/>
  <c r="E68" i="5"/>
  <c r="F62" i="5"/>
  <c r="D62" i="5" s="1"/>
  <c r="F59" i="5"/>
  <c r="D59" i="5" s="1"/>
  <c r="F37" i="5"/>
  <c r="D29" i="5"/>
  <c r="F25" i="5"/>
  <c r="F14" i="5"/>
  <c r="D10" i="5"/>
  <c r="F20" i="5"/>
  <c r="D20" i="5" s="1"/>
  <c r="E37" i="5"/>
  <c r="D70" i="5"/>
  <c r="D14" i="7"/>
  <c r="D18" i="7"/>
  <c r="D23" i="7"/>
  <c r="D31" i="7"/>
  <c r="AB104" i="8"/>
  <c r="AA110" i="9"/>
  <c r="W110" i="9"/>
  <c r="Z110" i="9"/>
  <c r="Y110" i="9"/>
  <c r="X110" i="9"/>
  <c r="P7" i="7"/>
  <c r="D12" i="7"/>
  <c r="I15" i="7"/>
  <c r="I17" i="7"/>
  <c r="I20" i="7"/>
  <c r="I22" i="7"/>
  <c r="I25" i="7"/>
  <c r="I30" i="7"/>
  <c r="I32" i="7"/>
  <c r="D37" i="7"/>
  <c r="I44" i="7"/>
  <c r="T126" i="8"/>
  <c r="V126" i="8" s="1"/>
  <c r="D47" i="7"/>
  <c r="D44" i="7"/>
  <c r="D39" i="7"/>
  <c r="D35" i="7"/>
  <c r="I12" i="7"/>
  <c r="D15" i="7"/>
  <c r="D17" i="7"/>
  <c r="D20" i="7"/>
  <c r="D22" i="7"/>
  <c r="D25" i="7"/>
  <c r="D30" i="7"/>
  <c r="D32" i="7"/>
  <c r="I33" i="7"/>
  <c r="I47" i="7"/>
  <c r="I49" i="7"/>
  <c r="Z113" i="8"/>
  <c r="Y113" i="8"/>
  <c r="U152" i="9"/>
  <c r="U148" i="9"/>
  <c r="U144" i="9"/>
  <c r="U140" i="9"/>
  <c r="U136" i="9"/>
  <c r="U154" i="9"/>
  <c r="U150" i="9"/>
  <c r="U146" i="9"/>
  <c r="U142" i="9"/>
  <c r="U138" i="9"/>
  <c r="U134" i="9"/>
  <c r="U117" i="9"/>
  <c r="U115" i="9"/>
  <c r="U111" i="9"/>
  <c r="U107" i="9"/>
  <c r="U103" i="9"/>
  <c r="U99" i="9"/>
  <c r="U95" i="9"/>
  <c r="B73" i="9"/>
  <c r="U151" i="9"/>
  <c r="U143" i="9"/>
  <c r="U133" i="9"/>
  <c r="U131" i="9"/>
  <c r="U114" i="9"/>
  <c r="U112" i="9"/>
  <c r="U105" i="9"/>
  <c r="U149" i="9"/>
  <c r="U141" i="9"/>
  <c r="U135" i="9"/>
  <c r="U116" i="9"/>
  <c r="U109" i="9"/>
  <c r="U102" i="9"/>
  <c r="U100" i="9"/>
  <c r="U93" i="9"/>
  <c r="U145" i="9"/>
  <c r="U108" i="9"/>
  <c r="U94" i="9"/>
  <c r="U147" i="9"/>
  <c r="U128" i="9"/>
  <c r="U126" i="9"/>
  <c r="U124" i="9"/>
  <c r="U122" i="9"/>
  <c r="U120" i="9"/>
  <c r="U118" i="9"/>
  <c r="U106" i="9"/>
  <c r="U101" i="9"/>
  <c r="B29" i="9"/>
  <c r="U132" i="9"/>
  <c r="U127" i="9"/>
  <c r="U123" i="9"/>
  <c r="U119" i="9"/>
  <c r="U113" i="9"/>
  <c r="U137" i="9"/>
  <c r="U97" i="9"/>
  <c r="U96" i="9"/>
  <c r="S9" i="9"/>
  <c r="U139" i="9"/>
  <c r="U125" i="9"/>
  <c r="U121" i="9"/>
  <c r="U104" i="9"/>
  <c r="U98" i="9"/>
  <c r="Z105" i="8"/>
  <c r="X106" i="8"/>
  <c r="E30" i="11"/>
  <c r="B28" i="8"/>
  <c r="B72" i="8"/>
  <c r="U95" i="8"/>
  <c r="U99" i="8"/>
  <c r="U103" i="8"/>
  <c r="U107" i="8"/>
  <c r="U111" i="8"/>
  <c r="U115" i="8"/>
  <c r="U117" i="8"/>
  <c r="U134" i="8"/>
  <c r="U138" i="8"/>
  <c r="U142" i="8"/>
  <c r="U146" i="8"/>
  <c r="U150" i="8"/>
  <c r="B62" i="11"/>
  <c r="D57" i="11"/>
  <c r="D55" i="11"/>
  <c r="D52" i="11"/>
  <c r="D48" i="11"/>
  <c r="D45" i="11"/>
  <c r="D41" i="11"/>
  <c r="D59" i="11"/>
  <c r="D43" i="11"/>
  <c r="D30" i="11"/>
  <c r="D28" i="11"/>
  <c r="D56" i="11"/>
  <c r="D46" i="11"/>
  <c r="D39" i="11"/>
  <c r="D37" i="11"/>
  <c r="D36" i="11"/>
  <c r="D23" i="11"/>
  <c r="D21" i="11"/>
  <c r="D32" i="11"/>
  <c r="D25" i="11"/>
  <c r="D19" i="11"/>
  <c r="D15" i="11"/>
  <c r="D34" i="11"/>
  <c r="D27" i="11"/>
  <c r="D13" i="10"/>
  <c r="D17" i="10"/>
  <c r="D22" i="10"/>
  <c r="D27" i="10"/>
  <c r="D33" i="10"/>
  <c r="H37" i="10"/>
  <c r="E32" i="11"/>
  <c r="H42" i="10"/>
  <c r="H35" i="10"/>
  <c r="H33" i="10"/>
  <c r="H31" i="10"/>
  <c r="H28" i="10"/>
  <c r="D35" i="10"/>
  <c r="D34" i="10"/>
  <c r="H30" i="10"/>
  <c r="H26" i="10"/>
  <c r="H24" i="10"/>
  <c r="H21" i="10"/>
  <c r="H18" i="10"/>
  <c r="H14" i="10"/>
  <c r="D12" i="10"/>
  <c r="H11" i="10"/>
  <c r="D10" i="10"/>
  <c r="D42" i="10"/>
  <c r="H34" i="10"/>
  <c r="D31" i="10"/>
  <c r="D30" i="10"/>
  <c r="H27" i="10"/>
  <c r="H25" i="10"/>
  <c r="H22" i="10"/>
  <c r="H20" i="10"/>
  <c r="H17" i="10"/>
  <c r="H15" i="10"/>
  <c r="H13" i="10"/>
  <c r="N12" i="10"/>
  <c r="H10" i="10"/>
  <c r="D11" i="10"/>
  <c r="D21" i="10"/>
  <c r="D26" i="10"/>
  <c r="H17" i="11"/>
  <c r="H28" i="11"/>
  <c r="T118" i="12"/>
  <c r="V118" i="12" s="1"/>
  <c r="D11" i="11"/>
  <c r="D13" i="11"/>
  <c r="D17" i="11"/>
  <c r="H19" i="11"/>
  <c r="H23" i="11"/>
  <c r="H27" i="11"/>
  <c r="H30" i="11"/>
  <c r="H34" i="11"/>
  <c r="H37" i="11"/>
  <c r="H41" i="11"/>
  <c r="H45" i="11"/>
  <c r="H48" i="11"/>
  <c r="H52" i="11"/>
  <c r="H55" i="11"/>
  <c r="S9" i="12"/>
  <c r="U99" i="12"/>
  <c r="U122" i="12"/>
  <c r="U106" i="12"/>
  <c r="U153" i="12"/>
  <c r="U149" i="12"/>
  <c r="U145" i="12"/>
  <c r="U141" i="12"/>
  <c r="U137" i="12"/>
  <c r="U133" i="12"/>
  <c r="U128" i="12"/>
  <c r="U152" i="12"/>
  <c r="U148" i="12"/>
  <c r="U144" i="12"/>
  <c r="U140" i="12"/>
  <c r="U136" i="12"/>
  <c r="U132" i="12"/>
  <c r="U154" i="12"/>
  <c r="U150" i="12"/>
  <c r="U142" i="12"/>
  <c r="U134" i="12"/>
  <c r="U143" i="12"/>
  <c r="U139" i="12"/>
  <c r="U114" i="12"/>
  <c r="U110" i="12"/>
  <c r="U147" i="12"/>
  <c r="U138" i="12"/>
  <c r="U113" i="12"/>
  <c r="U146" i="12"/>
  <c r="U117" i="12"/>
  <c r="U116" i="12"/>
  <c r="U112" i="12"/>
  <c r="U108" i="12"/>
  <c r="U104" i="12"/>
  <c r="U100" i="12"/>
  <c r="U96" i="12"/>
  <c r="U135" i="12"/>
  <c r="U127" i="12"/>
  <c r="U123" i="12"/>
  <c r="U119" i="12"/>
  <c r="U115" i="12"/>
  <c r="U103" i="12"/>
  <c r="U101" i="12"/>
  <c r="U94" i="12"/>
  <c r="B72" i="12"/>
  <c r="U131" i="12"/>
  <c r="U124" i="12"/>
  <c r="U120" i="12"/>
  <c r="U111" i="12"/>
  <c r="U107" i="12"/>
  <c r="U105" i="12"/>
  <c r="U98" i="12"/>
  <c r="U151" i="12"/>
  <c r="U125" i="12"/>
  <c r="U121" i="12"/>
  <c r="U109" i="12"/>
  <c r="U102" i="12"/>
  <c r="U95" i="12"/>
  <c r="U93" i="12"/>
  <c r="B28" i="12"/>
  <c r="X109" i="8" l="1"/>
  <c r="Z98" i="8"/>
  <c r="AB114" i="8"/>
  <c r="H24" i="8" s="1"/>
  <c r="AB108" i="8"/>
  <c r="H18" i="8" s="1"/>
  <c r="J76" i="5"/>
  <c r="H76" i="5" s="1"/>
  <c r="L76" i="5" s="1"/>
  <c r="M35" i="5"/>
  <c r="J78" i="5"/>
  <c r="M78" i="5" s="1"/>
  <c r="Y97" i="12"/>
  <c r="E48" i="11"/>
  <c r="E15" i="11"/>
  <c r="M76" i="5"/>
  <c r="J14" i="5"/>
  <c r="M14" i="5" s="1"/>
  <c r="Y104" i="8"/>
  <c r="Y96" i="8"/>
  <c r="Z104" i="8"/>
  <c r="Z106" i="8"/>
  <c r="F16" i="8" s="1"/>
  <c r="Y106" i="8"/>
  <c r="E16" i="8" s="1"/>
  <c r="AB96" i="8"/>
  <c r="W96" i="8"/>
  <c r="W106" i="8"/>
  <c r="W132" i="8" s="1"/>
  <c r="C60" i="8" s="1"/>
  <c r="X104" i="8"/>
  <c r="E36" i="10"/>
  <c r="F36" i="10" s="1"/>
  <c r="I36" i="10"/>
  <c r="J36" i="10" s="1"/>
  <c r="I27" i="11"/>
  <c r="I41" i="11"/>
  <c r="J41" i="11" s="1"/>
  <c r="I46" i="11"/>
  <c r="I66" i="5"/>
  <c r="Z109" i="6"/>
  <c r="F19" i="6" s="1"/>
  <c r="X110" i="8"/>
  <c r="AB101" i="8"/>
  <c r="AB139" i="8" s="1"/>
  <c r="H67" i="8" s="1"/>
  <c r="X93" i="8"/>
  <c r="AE93" i="8" s="1"/>
  <c r="Y110" i="8"/>
  <c r="E20" i="8" s="1"/>
  <c r="W109" i="6"/>
  <c r="Z110" i="8"/>
  <c r="Z136" i="8" s="1"/>
  <c r="F64" i="8" s="1"/>
  <c r="Y101" i="8"/>
  <c r="W110" i="8"/>
  <c r="W136" i="8" s="1"/>
  <c r="C64" i="8" s="1"/>
  <c r="X109" i="6"/>
  <c r="J77" i="5"/>
  <c r="H77" i="5" s="1"/>
  <c r="L77" i="5" s="1"/>
  <c r="J39" i="5"/>
  <c r="J41" i="5"/>
  <c r="M41" i="5" s="1"/>
  <c r="J40" i="5"/>
  <c r="I27" i="5"/>
  <c r="J82" i="5"/>
  <c r="H82" i="5" s="1"/>
  <c r="L82" i="5" s="1"/>
  <c r="J80" i="5"/>
  <c r="H80" i="5" s="1"/>
  <c r="L80" i="5" s="1"/>
  <c r="L10" i="5"/>
  <c r="L51" i="5" s="1"/>
  <c r="J71" i="5"/>
  <c r="J81" i="5"/>
  <c r="M81" i="5" s="1"/>
  <c r="I71" i="5"/>
  <c r="H25" i="5"/>
  <c r="L25" i="5" s="1"/>
  <c r="E84" i="5"/>
  <c r="E88" i="5" s="1"/>
  <c r="D30" i="5"/>
  <c r="I33" i="5"/>
  <c r="J33" i="5"/>
  <c r="M33" i="5" s="1"/>
  <c r="X113" i="8"/>
  <c r="X139" i="8" s="1"/>
  <c r="D67" i="8" s="1"/>
  <c r="Y94" i="8"/>
  <c r="W113" i="8"/>
  <c r="C23" i="8" s="1"/>
  <c r="X97" i="8"/>
  <c r="X135" i="8" s="1"/>
  <c r="D63" i="8" s="1"/>
  <c r="J55" i="5"/>
  <c r="M55" i="5" s="1"/>
  <c r="H55" i="5"/>
  <c r="I55" i="5"/>
  <c r="I64" i="5" s="1"/>
  <c r="I37" i="5"/>
  <c r="J26" i="5"/>
  <c r="J36" i="5"/>
  <c r="M36" i="5" s="1"/>
  <c r="I72" i="5"/>
  <c r="J25" i="5"/>
  <c r="M25" i="5" s="1"/>
  <c r="I29" i="5"/>
  <c r="I34" i="5"/>
  <c r="J72" i="5"/>
  <c r="M72" i="5" s="1"/>
  <c r="J29" i="5"/>
  <c r="M29" i="5" s="1"/>
  <c r="J34" i="5"/>
  <c r="M34" i="5" s="1"/>
  <c r="I78" i="5"/>
  <c r="J62" i="5"/>
  <c r="M62" i="5" s="1"/>
  <c r="J67" i="5"/>
  <c r="H67" i="5" s="1"/>
  <c r="L67" i="5" s="1"/>
  <c r="J18" i="5"/>
  <c r="M18" i="5" s="1"/>
  <c r="I74" i="5"/>
  <c r="I30" i="5"/>
  <c r="J57" i="5"/>
  <c r="H57" i="5" s="1"/>
  <c r="L57" i="5" s="1"/>
  <c r="J73" i="5"/>
  <c r="M73" i="5" s="1"/>
  <c r="J16" i="5"/>
  <c r="H16" i="5" s="1"/>
  <c r="L16" i="5" s="1"/>
  <c r="J30" i="5"/>
  <c r="M30" i="5" s="1"/>
  <c r="J37" i="5"/>
  <c r="M37" i="5" s="1"/>
  <c r="I25" i="5"/>
  <c r="I43" i="5" s="1"/>
  <c r="J66" i="5"/>
  <c r="M66" i="5" s="1"/>
  <c r="I70" i="5"/>
  <c r="I75" i="5"/>
  <c r="H51" i="5"/>
  <c r="I32" i="5"/>
  <c r="J61" i="5"/>
  <c r="H61" i="5" s="1"/>
  <c r="L61" i="5" s="1"/>
  <c r="J75" i="5"/>
  <c r="M75" i="5" s="1"/>
  <c r="J20" i="5"/>
  <c r="H20" i="5" s="1"/>
  <c r="L20" i="5" s="1"/>
  <c r="J31" i="5"/>
  <c r="M31" i="5" s="1"/>
  <c r="I14" i="5"/>
  <c r="I23" i="5" s="1"/>
  <c r="I30" i="11"/>
  <c r="J30" i="11" s="1"/>
  <c r="E57" i="11"/>
  <c r="F57" i="11" s="1"/>
  <c r="I19" i="11"/>
  <c r="J19" i="11" s="1"/>
  <c r="I17" i="11"/>
  <c r="J17" i="11" s="1"/>
  <c r="E43" i="11"/>
  <c r="F43" i="11" s="1"/>
  <c r="I52" i="11"/>
  <c r="J52" i="11" s="1"/>
  <c r="I23" i="11"/>
  <c r="J23" i="11" s="1"/>
  <c r="I11" i="11"/>
  <c r="E37" i="11"/>
  <c r="F37" i="11" s="1"/>
  <c r="E27" i="11"/>
  <c r="F27" i="11" s="1"/>
  <c r="E18" i="11"/>
  <c r="F18" i="11" s="1"/>
  <c r="E46" i="11"/>
  <c r="F46" i="11" s="1"/>
  <c r="I55" i="11"/>
  <c r="J55" i="11" s="1"/>
  <c r="I59" i="11"/>
  <c r="J59" i="11" s="1"/>
  <c r="I25" i="11"/>
  <c r="J25" i="11" s="1"/>
  <c r="E11" i="11"/>
  <c r="I39" i="11"/>
  <c r="J39" i="11" s="1"/>
  <c r="E28" i="11"/>
  <c r="F28" i="11" s="1"/>
  <c r="I37" i="11"/>
  <c r="J37" i="11" s="1"/>
  <c r="W97" i="12"/>
  <c r="AB97" i="12"/>
  <c r="X97" i="12"/>
  <c r="E41" i="11"/>
  <c r="F41" i="11" s="1"/>
  <c r="I15" i="11"/>
  <c r="J15" i="11" s="1"/>
  <c r="E34" i="11"/>
  <c r="F34" i="11" s="1"/>
  <c r="E45" i="11"/>
  <c r="F45" i="11" s="1"/>
  <c r="E17" i="11"/>
  <c r="F17" i="11" s="1"/>
  <c r="I32" i="11"/>
  <c r="J32" i="11" s="1"/>
  <c r="E55" i="11"/>
  <c r="F55" i="11" s="1"/>
  <c r="E21" i="11"/>
  <c r="F21" i="11" s="1"/>
  <c r="E36" i="11"/>
  <c r="F36" i="11" s="1"/>
  <c r="E56" i="11"/>
  <c r="F56" i="11" s="1"/>
  <c r="I45" i="11"/>
  <c r="J45" i="11" s="1"/>
  <c r="I57" i="11"/>
  <c r="J57" i="11" s="1"/>
  <c r="I56" i="11"/>
  <c r="E19" i="11"/>
  <c r="F19" i="11" s="1"/>
  <c r="I43" i="11"/>
  <c r="J43" i="11" s="1"/>
  <c r="E52" i="11"/>
  <c r="F52" i="11" s="1"/>
  <c r="I18" i="11"/>
  <c r="J18" i="11" s="1"/>
  <c r="I34" i="11"/>
  <c r="J34" i="11" s="1"/>
  <c r="I13" i="11"/>
  <c r="J13" i="11" s="1"/>
  <c r="E25" i="11"/>
  <c r="F25" i="11" s="1"/>
  <c r="E39" i="11"/>
  <c r="F39" i="11" s="1"/>
  <c r="E59" i="11"/>
  <c r="F59" i="11" s="1"/>
  <c r="I48" i="11"/>
  <c r="J48" i="11" s="1"/>
  <c r="E13" i="11"/>
  <c r="F13" i="11" s="1"/>
  <c r="J56" i="11"/>
  <c r="I61" i="7"/>
  <c r="W97" i="8"/>
  <c r="AB97" i="8"/>
  <c r="AB135" i="8" s="1"/>
  <c r="H63" i="8" s="1"/>
  <c r="Y97" i="8"/>
  <c r="I28" i="11"/>
  <c r="J28" i="11" s="1"/>
  <c r="F48" i="11"/>
  <c r="J86" i="5"/>
  <c r="M86" i="5" s="1"/>
  <c r="I68" i="5"/>
  <c r="I73" i="5"/>
  <c r="J21" i="5"/>
  <c r="M21" i="5" s="1"/>
  <c r="H10" i="5"/>
  <c r="I31" i="5"/>
  <c r="J70" i="5"/>
  <c r="M70" i="5" s="1"/>
  <c r="J74" i="5"/>
  <c r="M74" i="5" s="1"/>
  <c r="H14" i="5"/>
  <c r="L14" i="5" s="1"/>
  <c r="J32" i="5"/>
  <c r="M32" i="5" s="1"/>
  <c r="J45" i="5"/>
  <c r="M45" i="5" s="1"/>
  <c r="H29" i="5"/>
  <c r="L29" i="5" s="1"/>
  <c r="J21" i="11"/>
  <c r="D78" i="5"/>
  <c r="D31" i="5"/>
  <c r="D32" i="5"/>
  <c r="AB109" i="6"/>
  <c r="H19" i="6" s="1"/>
  <c r="Z100" i="6"/>
  <c r="J46" i="11"/>
  <c r="E23" i="11"/>
  <c r="I36" i="11"/>
  <c r="J36" i="11" s="1"/>
  <c r="H16" i="10"/>
  <c r="X100" i="6"/>
  <c r="W100" i="6"/>
  <c r="AB100" i="6"/>
  <c r="D33" i="5"/>
  <c r="F68" i="5"/>
  <c r="D68" i="5" s="1"/>
  <c r="E43" i="5"/>
  <c r="E47" i="5" s="1"/>
  <c r="X105" i="8"/>
  <c r="AE105" i="8" s="1"/>
  <c r="X108" i="8"/>
  <c r="D18" i="8" s="1"/>
  <c r="AB105" i="8"/>
  <c r="AB131" i="8" s="1"/>
  <c r="H59" i="8" s="1"/>
  <c r="W105" i="8"/>
  <c r="C15" i="8" s="1"/>
  <c r="AF105" i="8"/>
  <c r="L15" i="8" s="1"/>
  <c r="H38" i="10"/>
  <c r="W102" i="8"/>
  <c r="Y102" i="8"/>
  <c r="X102" i="8"/>
  <c r="Z102" i="8"/>
  <c r="Z140" i="8" s="1"/>
  <c r="F68" i="8" s="1"/>
  <c r="Z108" i="8"/>
  <c r="F18" i="8" s="1"/>
  <c r="W108" i="8"/>
  <c r="C18" i="8" s="1"/>
  <c r="W101" i="8"/>
  <c r="Z101" i="8"/>
  <c r="Z139" i="8" s="1"/>
  <c r="F67" i="8" s="1"/>
  <c r="Y100" i="8"/>
  <c r="X100" i="8"/>
  <c r="W100" i="8"/>
  <c r="AB100" i="8"/>
  <c r="Z100" i="8"/>
  <c r="Z138" i="8" s="1"/>
  <c r="F66" i="8" s="1"/>
  <c r="Y116" i="8"/>
  <c r="E26" i="8" s="1"/>
  <c r="Z116" i="8"/>
  <c r="F26" i="8" s="1"/>
  <c r="X116" i="8"/>
  <c r="D26" i="8" s="1"/>
  <c r="W116" i="8"/>
  <c r="C26" i="8" s="1"/>
  <c r="AB116" i="8"/>
  <c r="AB142" i="8" s="1"/>
  <c r="H70" i="8" s="1"/>
  <c r="H70" i="5"/>
  <c r="L70" i="5" s="1"/>
  <c r="J59" i="5"/>
  <c r="H59" i="5" s="1"/>
  <c r="L59" i="5" s="1"/>
  <c r="Z109" i="8"/>
  <c r="F19" i="8" s="1"/>
  <c r="Y109" i="8"/>
  <c r="E19" i="8" s="1"/>
  <c r="W109" i="8"/>
  <c r="C19" i="8" s="1"/>
  <c r="AB98" i="8"/>
  <c r="AB136" i="8" s="1"/>
  <c r="H64" i="8" s="1"/>
  <c r="X98" i="8"/>
  <c r="Y98" i="8"/>
  <c r="W114" i="8"/>
  <c r="C24" i="8" s="1"/>
  <c r="Y114" i="8"/>
  <c r="E24" i="8" s="1"/>
  <c r="X114" i="8"/>
  <c r="D24" i="8" s="1"/>
  <c r="AB94" i="8"/>
  <c r="AB132" i="8" s="1"/>
  <c r="H60" i="8" s="1"/>
  <c r="Z94" i="8"/>
  <c r="X94" i="8"/>
  <c r="X132" i="8" s="1"/>
  <c r="D60" i="8" s="1"/>
  <c r="B57" i="8"/>
  <c r="B13" i="8"/>
  <c r="B53" i="8"/>
  <c r="Y112" i="8"/>
  <c r="E22" i="8" s="1"/>
  <c r="AB112" i="8"/>
  <c r="H22" i="8" s="1"/>
  <c r="X112" i="8"/>
  <c r="D22" i="8" s="1"/>
  <c r="W112" i="8"/>
  <c r="C22" i="8" s="1"/>
  <c r="Z93" i="8"/>
  <c r="AG93" i="8" s="1"/>
  <c r="Y93" i="8"/>
  <c r="W93" i="8"/>
  <c r="AD93" i="8" s="1"/>
  <c r="AD94" i="8" s="1"/>
  <c r="D34" i="5"/>
  <c r="D50" i="11"/>
  <c r="D16" i="10"/>
  <c r="F32" i="11"/>
  <c r="D38" i="10"/>
  <c r="F84" i="5"/>
  <c r="F23" i="5"/>
  <c r="D23" i="5" s="1"/>
  <c r="W95" i="12"/>
  <c r="Y95" i="12"/>
  <c r="X95" i="12"/>
  <c r="AB95" i="12"/>
  <c r="Z95" i="12"/>
  <c r="T125" i="12"/>
  <c r="V125" i="12" s="1"/>
  <c r="W107" i="12"/>
  <c r="X107" i="12"/>
  <c r="AB107" i="12"/>
  <c r="Z107" i="12"/>
  <c r="Y107" i="12"/>
  <c r="W103" i="12"/>
  <c r="AB103" i="12"/>
  <c r="Z103" i="12"/>
  <c r="Y103" i="12"/>
  <c r="X103" i="12"/>
  <c r="T127" i="12"/>
  <c r="V127" i="12" s="1"/>
  <c r="Z104" i="12"/>
  <c r="Y104" i="12"/>
  <c r="X104" i="12"/>
  <c r="AB104" i="12"/>
  <c r="W104" i="12"/>
  <c r="AB117" i="12"/>
  <c r="X117" i="12"/>
  <c r="AE117" i="12" s="1"/>
  <c r="Y117" i="12"/>
  <c r="AF117" i="12" s="1"/>
  <c r="W117" i="12"/>
  <c r="AD117" i="12" s="1"/>
  <c r="Z117" i="12"/>
  <c r="AG117" i="12" s="1"/>
  <c r="T117" i="12"/>
  <c r="W99" i="12"/>
  <c r="Z99" i="12"/>
  <c r="Y99" i="12"/>
  <c r="X99" i="12"/>
  <c r="AB99" i="12"/>
  <c r="W109" i="12"/>
  <c r="Y109" i="12"/>
  <c r="Y135" i="12" s="1"/>
  <c r="Z109" i="12"/>
  <c r="Z135" i="12" s="1"/>
  <c r="X109" i="12"/>
  <c r="AB109" i="12"/>
  <c r="AB98" i="12"/>
  <c r="X98" i="12"/>
  <c r="W98" i="12"/>
  <c r="Z98" i="12"/>
  <c r="Y98" i="12"/>
  <c r="T120" i="12"/>
  <c r="V120" i="12" s="1"/>
  <c r="AB94" i="12"/>
  <c r="X94" i="12"/>
  <c r="Z94" i="12"/>
  <c r="Y94" i="12"/>
  <c r="W94" i="12"/>
  <c r="T119" i="12"/>
  <c r="V119" i="12" s="1"/>
  <c r="Z96" i="12"/>
  <c r="AB96" i="12"/>
  <c r="W96" i="12"/>
  <c r="Y96" i="12"/>
  <c r="X96" i="12"/>
  <c r="AB112" i="12"/>
  <c r="X112" i="12"/>
  <c r="W112" i="12"/>
  <c r="Z112" i="12"/>
  <c r="Y112" i="12"/>
  <c r="W113" i="12"/>
  <c r="Z113" i="12"/>
  <c r="Y113" i="12"/>
  <c r="AB113" i="12"/>
  <c r="X113" i="12"/>
  <c r="Z114" i="12"/>
  <c r="Y114" i="12"/>
  <c r="AB114" i="12"/>
  <c r="X114" i="12"/>
  <c r="W114" i="12"/>
  <c r="AB106" i="12"/>
  <c r="X106" i="12"/>
  <c r="Z106" i="12"/>
  <c r="Y106" i="12"/>
  <c r="W106" i="12"/>
  <c r="Z117" i="8"/>
  <c r="AG117" i="8" s="1"/>
  <c r="Y117" i="8"/>
  <c r="X117" i="8"/>
  <c r="AE117" i="8" s="1"/>
  <c r="AB117" i="8"/>
  <c r="W117" i="8"/>
  <c r="AD117" i="8" s="1"/>
  <c r="T117" i="8"/>
  <c r="Z103" i="8"/>
  <c r="Y103" i="8"/>
  <c r="X103" i="8"/>
  <c r="W103" i="8"/>
  <c r="AB103" i="8"/>
  <c r="E37" i="10"/>
  <c r="F37" i="10" s="1"/>
  <c r="E34" i="10"/>
  <c r="F34" i="10" s="1"/>
  <c r="E32" i="10"/>
  <c r="F32" i="10" s="1"/>
  <c r="E30" i="10"/>
  <c r="I37" i="10"/>
  <c r="J37" i="10" s="1"/>
  <c r="E33" i="10"/>
  <c r="F33" i="10" s="1"/>
  <c r="I28" i="10"/>
  <c r="J28" i="10" s="1"/>
  <c r="E27" i="10"/>
  <c r="F27" i="10" s="1"/>
  <c r="E25" i="10"/>
  <c r="F25" i="10" s="1"/>
  <c r="E22" i="10"/>
  <c r="F22" i="10" s="1"/>
  <c r="E20" i="10"/>
  <c r="F20" i="10" s="1"/>
  <c r="E17" i="10"/>
  <c r="F17" i="10" s="1"/>
  <c r="E15" i="10"/>
  <c r="F15" i="10" s="1"/>
  <c r="E13" i="10"/>
  <c r="F13" i="10" s="1"/>
  <c r="I12" i="10"/>
  <c r="I33" i="10"/>
  <c r="J33" i="10" s="1"/>
  <c r="I32" i="10"/>
  <c r="J32" i="10" s="1"/>
  <c r="E28" i="10"/>
  <c r="F28" i="10" s="1"/>
  <c r="E26" i="10"/>
  <c r="F26" i="10" s="1"/>
  <c r="E24" i="10"/>
  <c r="F24" i="10" s="1"/>
  <c r="E21" i="10"/>
  <c r="F21" i="10" s="1"/>
  <c r="E18" i="10"/>
  <c r="F18" i="10" s="1"/>
  <c r="E14" i="10"/>
  <c r="F14" i="10" s="1"/>
  <c r="E11" i="10"/>
  <c r="F11" i="10" s="1"/>
  <c r="E35" i="10"/>
  <c r="F35" i="10" s="1"/>
  <c r="I31" i="10"/>
  <c r="J31" i="10" s="1"/>
  <c r="I24" i="10"/>
  <c r="J24" i="10" s="1"/>
  <c r="I18" i="10"/>
  <c r="J18" i="10" s="1"/>
  <c r="I14" i="10"/>
  <c r="J14" i="10" s="1"/>
  <c r="E12" i="10"/>
  <c r="I34" i="10"/>
  <c r="J34" i="10" s="1"/>
  <c r="E31" i="10"/>
  <c r="F31" i="10" s="1"/>
  <c r="I25" i="10"/>
  <c r="J25" i="10" s="1"/>
  <c r="I20" i="10"/>
  <c r="J20" i="10" s="1"/>
  <c r="I15" i="10"/>
  <c r="J15" i="10" s="1"/>
  <c r="I30" i="10"/>
  <c r="I26" i="10"/>
  <c r="J26" i="10" s="1"/>
  <c r="I10" i="10"/>
  <c r="I22" i="10"/>
  <c r="J22" i="10" s="1"/>
  <c r="I13" i="10"/>
  <c r="J13" i="10" s="1"/>
  <c r="I11" i="10"/>
  <c r="J11" i="10" s="1"/>
  <c r="E10" i="10"/>
  <c r="I42" i="10"/>
  <c r="E42" i="10"/>
  <c r="I35" i="10"/>
  <c r="J35" i="10" s="1"/>
  <c r="I27" i="10"/>
  <c r="J27" i="10" s="1"/>
  <c r="I21" i="10"/>
  <c r="J21" i="10" s="1"/>
  <c r="I17" i="10"/>
  <c r="J17" i="10" s="1"/>
  <c r="F24" i="8"/>
  <c r="Y93" i="12"/>
  <c r="X93" i="12"/>
  <c r="AB93" i="12"/>
  <c r="W93" i="12"/>
  <c r="Z93" i="12"/>
  <c r="T121" i="12"/>
  <c r="V121" i="12" s="1"/>
  <c r="Y105" i="12"/>
  <c r="AB105" i="12"/>
  <c r="W105" i="12"/>
  <c r="Z105" i="12"/>
  <c r="X105" i="12"/>
  <c r="T124" i="12"/>
  <c r="V124" i="12" s="1"/>
  <c r="Y101" i="12"/>
  <c r="Z101" i="12"/>
  <c r="X101" i="12"/>
  <c r="AB101" i="12"/>
  <c r="W101" i="12"/>
  <c r="T123" i="12"/>
  <c r="V123" i="12" s="1"/>
  <c r="Z100" i="12"/>
  <c r="X100" i="12"/>
  <c r="AB100" i="12"/>
  <c r="W100" i="12"/>
  <c r="Y100" i="12"/>
  <c r="X116" i="12"/>
  <c r="AB116" i="12"/>
  <c r="W116" i="12"/>
  <c r="Z116" i="12"/>
  <c r="Y116" i="12"/>
  <c r="T128" i="12"/>
  <c r="V128" i="12" s="1"/>
  <c r="T122" i="12"/>
  <c r="V122" i="12" s="1"/>
  <c r="H50" i="11"/>
  <c r="Z115" i="8"/>
  <c r="Y115" i="8"/>
  <c r="X115" i="8"/>
  <c r="AB115" i="8"/>
  <c r="W115" i="8"/>
  <c r="Z99" i="8"/>
  <c r="X99" i="8"/>
  <c r="W99" i="8"/>
  <c r="AB99" i="8"/>
  <c r="Y99" i="8"/>
  <c r="F30" i="11"/>
  <c r="F22" i="8"/>
  <c r="Y104" i="9"/>
  <c r="X104" i="9"/>
  <c r="W104" i="9"/>
  <c r="AA104" i="9"/>
  <c r="Z104" i="9"/>
  <c r="B54" i="9"/>
  <c r="B58" i="9"/>
  <c r="B14" i="9"/>
  <c r="X113" i="9"/>
  <c r="Y113" i="9"/>
  <c r="W113" i="9"/>
  <c r="AA113" i="9"/>
  <c r="Z113" i="9"/>
  <c r="T118" i="9"/>
  <c r="V118" i="9" s="1"/>
  <c r="T126" i="9"/>
  <c r="V126" i="9" s="1"/>
  <c r="Y108" i="9"/>
  <c r="Z108" i="9"/>
  <c r="X108" i="9"/>
  <c r="W108" i="9"/>
  <c r="AA108" i="9"/>
  <c r="AA102" i="9"/>
  <c r="W102" i="9"/>
  <c r="Y102" i="9"/>
  <c r="X102" i="9"/>
  <c r="Z102" i="9"/>
  <c r="AA114" i="9"/>
  <c r="W114" i="9"/>
  <c r="Z114" i="9"/>
  <c r="Y114" i="9"/>
  <c r="X114" i="9"/>
  <c r="Z103" i="9"/>
  <c r="AA103" i="9"/>
  <c r="Y103" i="9"/>
  <c r="W103" i="9"/>
  <c r="X103" i="9"/>
  <c r="Z117" i="9"/>
  <c r="X117" i="9"/>
  <c r="AE117" i="9" s="1"/>
  <c r="W117" i="9"/>
  <c r="AD117" i="9" s="1"/>
  <c r="AA117" i="9"/>
  <c r="AH117" i="9" s="1"/>
  <c r="Y117" i="9"/>
  <c r="AF117" i="9" s="1"/>
  <c r="T117" i="9"/>
  <c r="H23" i="8"/>
  <c r="I43" i="7"/>
  <c r="I59" i="7"/>
  <c r="E21" i="9"/>
  <c r="F27" i="5"/>
  <c r="D27" i="5" s="1"/>
  <c r="F43" i="5"/>
  <c r="D72" i="5"/>
  <c r="Y134" i="8"/>
  <c r="E62" i="8" s="1"/>
  <c r="F17" i="6"/>
  <c r="AB96" i="6"/>
  <c r="X96" i="6"/>
  <c r="Y96" i="6"/>
  <c r="W96" i="6"/>
  <c r="Z96" i="6"/>
  <c r="Y103" i="6"/>
  <c r="X103" i="6"/>
  <c r="AB103" i="6"/>
  <c r="W103" i="6"/>
  <c r="Z103" i="6"/>
  <c r="AB108" i="6"/>
  <c r="X108" i="6"/>
  <c r="W108" i="6"/>
  <c r="Z108" i="6"/>
  <c r="Y108" i="6"/>
  <c r="W97" i="6"/>
  <c r="AB97" i="6"/>
  <c r="Z97" i="6"/>
  <c r="Y97" i="6"/>
  <c r="Y135" i="6" s="1"/>
  <c r="E63" i="6" s="1"/>
  <c r="X97" i="6"/>
  <c r="Y117" i="6"/>
  <c r="AF117" i="6" s="1"/>
  <c r="T117" i="6"/>
  <c r="Z117" i="6"/>
  <c r="AG117" i="6" s="1"/>
  <c r="X117" i="6"/>
  <c r="AE117" i="6" s="1"/>
  <c r="AB117" i="6"/>
  <c r="W117" i="6"/>
  <c r="AD117" i="6" s="1"/>
  <c r="Z106" i="6"/>
  <c r="AB106" i="6"/>
  <c r="W106" i="6"/>
  <c r="Y106" i="6"/>
  <c r="X106" i="6"/>
  <c r="T119" i="6"/>
  <c r="V119" i="6" s="1"/>
  <c r="T123" i="6"/>
  <c r="V123" i="6" s="1"/>
  <c r="T127" i="6"/>
  <c r="V127" i="6" s="1"/>
  <c r="E19" i="6"/>
  <c r="J27" i="11"/>
  <c r="Z111" i="8"/>
  <c r="X111" i="8"/>
  <c r="AB111" i="8"/>
  <c r="W111" i="8"/>
  <c r="Y111" i="8"/>
  <c r="Z95" i="8"/>
  <c r="AB95" i="8"/>
  <c r="W95" i="8"/>
  <c r="Y95" i="8"/>
  <c r="X95" i="8"/>
  <c r="D19" i="8"/>
  <c r="AI93" i="8"/>
  <c r="D16" i="8"/>
  <c r="T121" i="9"/>
  <c r="V121" i="9" s="1"/>
  <c r="Y96" i="9"/>
  <c r="Z96" i="9"/>
  <c r="X96" i="9"/>
  <c r="W96" i="9"/>
  <c r="AA96" i="9"/>
  <c r="T119" i="9"/>
  <c r="V119" i="9" s="1"/>
  <c r="T120" i="9"/>
  <c r="V120" i="9" s="1"/>
  <c r="T128" i="9"/>
  <c r="V128" i="9" s="1"/>
  <c r="X109" i="9"/>
  <c r="W109" i="9"/>
  <c r="AA109" i="9"/>
  <c r="Z109" i="9"/>
  <c r="Y109" i="9"/>
  <c r="Z107" i="9"/>
  <c r="W107" i="9"/>
  <c r="AA107" i="9"/>
  <c r="X107" i="9"/>
  <c r="Y107" i="9"/>
  <c r="E23" i="8"/>
  <c r="D57" i="7"/>
  <c r="D63" i="7"/>
  <c r="Y139" i="8"/>
  <c r="E67" i="8" s="1"/>
  <c r="D65" i="7"/>
  <c r="AB110" i="9"/>
  <c r="F21" i="9"/>
  <c r="AA96" i="8"/>
  <c r="D84" i="5"/>
  <c r="D73" i="5"/>
  <c r="D61" i="7"/>
  <c r="H17" i="6"/>
  <c r="AA107" i="6"/>
  <c r="E17" i="6"/>
  <c r="D43" i="5"/>
  <c r="AB116" i="6"/>
  <c r="X116" i="6"/>
  <c r="Z116" i="6"/>
  <c r="Y116" i="6"/>
  <c r="W116" i="6"/>
  <c r="W105" i="6"/>
  <c r="Y105" i="6"/>
  <c r="X105" i="6"/>
  <c r="AB105" i="6"/>
  <c r="Z105" i="6"/>
  <c r="AB112" i="6"/>
  <c r="X112" i="6"/>
  <c r="Y112" i="6"/>
  <c r="W112" i="6"/>
  <c r="Z112" i="6"/>
  <c r="B13" i="6"/>
  <c r="B57" i="6"/>
  <c r="B53" i="6"/>
  <c r="Y115" i="6"/>
  <c r="AB115" i="6"/>
  <c r="W115" i="6"/>
  <c r="Z115" i="6"/>
  <c r="X115" i="6"/>
  <c r="AB104" i="6"/>
  <c r="X104" i="6"/>
  <c r="Z104" i="6"/>
  <c r="Y104" i="6"/>
  <c r="W104" i="6"/>
  <c r="Z94" i="6"/>
  <c r="X94" i="6"/>
  <c r="AB94" i="6"/>
  <c r="W94" i="6"/>
  <c r="Y94" i="6"/>
  <c r="Z110" i="6"/>
  <c r="X110" i="6"/>
  <c r="AB110" i="6"/>
  <c r="W110" i="6"/>
  <c r="Y110" i="6"/>
  <c r="T120" i="6"/>
  <c r="V120" i="6" s="1"/>
  <c r="T124" i="6"/>
  <c r="V124" i="6" s="1"/>
  <c r="T128" i="6"/>
  <c r="V128" i="6" s="1"/>
  <c r="AB102" i="12"/>
  <c r="X102" i="12"/>
  <c r="Y102" i="12"/>
  <c r="W102" i="12"/>
  <c r="Z102" i="12"/>
  <c r="Y111" i="12"/>
  <c r="AB111" i="12"/>
  <c r="X111" i="12"/>
  <c r="W111" i="12"/>
  <c r="Z111" i="12"/>
  <c r="Y115" i="12"/>
  <c r="AB115" i="12"/>
  <c r="X115" i="12"/>
  <c r="W115" i="12"/>
  <c r="Z115" i="12"/>
  <c r="Z108" i="12"/>
  <c r="Y108" i="12"/>
  <c r="X108" i="12"/>
  <c r="W108" i="12"/>
  <c r="AB108" i="12"/>
  <c r="Z110" i="12"/>
  <c r="AB110" i="12"/>
  <c r="X110" i="12"/>
  <c r="Y110" i="12"/>
  <c r="W110" i="12"/>
  <c r="B57" i="12"/>
  <c r="B53" i="12"/>
  <c r="T64" i="12" s="1"/>
  <c r="B13" i="12"/>
  <c r="F9" i="10"/>
  <c r="J9" i="10"/>
  <c r="I9" i="10"/>
  <c r="E9" i="10"/>
  <c r="D40" i="10"/>
  <c r="H40" i="10"/>
  <c r="F15" i="11"/>
  <c r="Z107" i="8"/>
  <c r="X107" i="8"/>
  <c r="W107" i="8"/>
  <c r="AB107" i="8"/>
  <c r="Y107" i="8"/>
  <c r="H19" i="8"/>
  <c r="T125" i="9"/>
  <c r="V125" i="9" s="1"/>
  <c r="X97" i="9"/>
  <c r="W97" i="9"/>
  <c r="Z97" i="9"/>
  <c r="Y97" i="9"/>
  <c r="AA97" i="9"/>
  <c r="T123" i="9"/>
  <c r="V123" i="9" s="1"/>
  <c r="X101" i="9"/>
  <c r="Y101" i="9"/>
  <c r="W101" i="9"/>
  <c r="AA101" i="9"/>
  <c r="Z101" i="9"/>
  <c r="T122" i="9"/>
  <c r="V122" i="9" s="1"/>
  <c r="X93" i="9"/>
  <c r="AA93" i="9"/>
  <c r="Z93" i="9"/>
  <c r="W93" i="9"/>
  <c r="Y93" i="9"/>
  <c r="Y116" i="9"/>
  <c r="W116" i="9"/>
  <c r="AA116" i="9"/>
  <c r="X116" i="9"/>
  <c r="Z116" i="9"/>
  <c r="X105" i="9"/>
  <c r="AA105" i="9"/>
  <c r="Z105" i="9"/>
  <c r="Y105" i="9"/>
  <c r="W105" i="9"/>
  <c r="Z95" i="9"/>
  <c r="W95" i="9"/>
  <c r="X95" i="9"/>
  <c r="Y95" i="9"/>
  <c r="AA95" i="9"/>
  <c r="Z111" i="9"/>
  <c r="X111" i="9"/>
  <c r="W111" i="9"/>
  <c r="Y111" i="9"/>
  <c r="AA111" i="9"/>
  <c r="F23" i="8"/>
  <c r="E18" i="8"/>
  <c r="I57" i="7"/>
  <c r="J47" i="7"/>
  <c r="L47" i="7" s="1"/>
  <c r="J44" i="7"/>
  <c r="J39" i="7"/>
  <c r="J35" i="7"/>
  <c r="J45" i="7"/>
  <c r="E39" i="7"/>
  <c r="G39" i="7" s="1"/>
  <c r="E37" i="7"/>
  <c r="F37" i="7" s="1"/>
  <c r="J32" i="7"/>
  <c r="L32" i="7" s="1"/>
  <c r="J30" i="7"/>
  <c r="L30" i="7" s="1"/>
  <c r="J25" i="7"/>
  <c r="J22" i="7"/>
  <c r="L22" i="7" s="1"/>
  <c r="J20" i="7"/>
  <c r="K20" i="7" s="1"/>
  <c r="J17" i="7"/>
  <c r="L17" i="7" s="1"/>
  <c r="J15" i="7"/>
  <c r="L15" i="7" s="1"/>
  <c r="E12" i="7"/>
  <c r="F11" i="7" s="1"/>
  <c r="E49" i="7"/>
  <c r="E35" i="7"/>
  <c r="E33" i="7"/>
  <c r="G33" i="7" s="1"/>
  <c r="E31" i="7"/>
  <c r="G31" i="7" s="1"/>
  <c r="E29" i="7"/>
  <c r="E23" i="7"/>
  <c r="G23" i="7" s="1"/>
  <c r="E21" i="7"/>
  <c r="G21" i="7" s="1"/>
  <c r="E18" i="7"/>
  <c r="G18" i="7" s="1"/>
  <c r="E16" i="7"/>
  <c r="G16" i="7" s="1"/>
  <c r="E14" i="7"/>
  <c r="F14" i="7" s="1"/>
  <c r="E45" i="7"/>
  <c r="J37" i="7"/>
  <c r="J29" i="7"/>
  <c r="J21" i="7"/>
  <c r="J16" i="7"/>
  <c r="J33" i="7"/>
  <c r="L33" i="7" s="1"/>
  <c r="E32" i="7"/>
  <c r="G32" i="7" s="1"/>
  <c r="E47" i="7"/>
  <c r="G47" i="7" s="1"/>
  <c r="J31" i="7"/>
  <c r="J23" i="7"/>
  <c r="J18" i="7"/>
  <c r="J14" i="7"/>
  <c r="E44" i="7"/>
  <c r="E20" i="7"/>
  <c r="F20" i="7" s="1"/>
  <c r="J12" i="7"/>
  <c r="J49" i="7"/>
  <c r="L49" i="7" s="1"/>
  <c r="E22" i="7"/>
  <c r="G22" i="7" s="1"/>
  <c r="E25" i="7"/>
  <c r="F25" i="7" s="1"/>
  <c r="E15" i="7"/>
  <c r="G15" i="7" s="1"/>
  <c r="E30" i="7"/>
  <c r="G30" i="7" s="1"/>
  <c r="E17" i="7"/>
  <c r="G17" i="7" s="1"/>
  <c r="C21" i="9"/>
  <c r="D20" i="8"/>
  <c r="D37" i="5"/>
  <c r="D74" i="5"/>
  <c r="I63" i="7"/>
  <c r="C17" i="6"/>
  <c r="Y99" i="6"/>
  <c r="AB99" i="6"/>
  <c r="W99" i="6"/>
  <c r="Z99" i="6"/>
  <c r="X99" i="6"/>
  <c r="Y111" i="6"/>
  <c r="Z111" i="6"/>
  <c r="X111" i="6"/>
  <c r="AB111" i="6"/>
  <c r="W111" i="6"/>
  <c r="Z98" i="6"/>
  <c r="Y98" i="6"/>
  <c r="X98" i="6"/>
  <c r="W98" i="6"/>
  <c r="AB98" i="6"/>
  <c r="Z114" i="6"/>
  <c r="Y114" i="6"/>
  <c r="X114" i="6"/>
  <c r="AB114" i="6"/>
  <c r="W114" i="6"/>
  <c r="T121" i="6"/>
  <c r="V121" i="6" s="1"/>
  <c r="T125" i="6"/>
  <c r="V125" i="6" s="1"/>
  <c r="C19" i="6"/>
  <c r="F64" i="5"/>
  <c r="AB140" i="8"/>
  <c r="H68" i="8" s="1"/>
  <c r="AG105" i="8"/>
  <c r="F15" i="8"/>
  <c r="AA98" i="9"/>
  <c r="AA136" i="9" s="1"/>
  <c r="G65" i="9" s="1"/>
  <c r="W98" i="9"/>
  <c r="W136" i="9" s="1"/>
  <c r="C65" i="9" s="1"/>
  <c r="Z98" i="9"/>
  <c r="Y98" i="9"/>
  <c r="Y136" i="9" s="1"/>
  <c r="E65" i="9" s="1"/>
  <c r="X98" i="9"/>
  <c r="X136" i="9" s="1"/>
  <c r="D65" i="9" s="1"/>
  <c r="T127" i="9"/>
  <c r="V127" i="9" s="1"/>
  <c r="AA106" i="9"/>
  <c r="W106" i="9"/>
  <c r="Y106" i="9"/>
  <c r="X106" i="9"/>
  <c r="Z106" i="9"/>
  <c r="T124" i="9"/>
  <c r="V124" i="9" s="1"/>
  <c r="AA94" i="9"/>
  <c r="W94" i="9"/>
  <c r="Y94" i="9"/>
  <c r="X94" i="9"/>
  <c r="Z94" i="9"/>
  <c r="Y100" i="9"/>
  <c r="AA100" i="9"/>
  <c r="W100" i="9"/>
  <c r="Z100" i="9"/>
  <c r="X100" i="9"/>
  <c r="Y112" i="9"/>
  <c r="AA112" i="9"/>
  <c r="Z112" i="9"/>
  <c r="W112" i="9"/>
  <c r="X112" i="9"/>
  <c r="Z99" i="9"/>
  <c r="X99" i="9"/>
  <c r="AA99" i="9"/>
  <c r="Y99" i="9"/>
  <c r="W99" i="9"/>
  <c r="Z115" i="9"/>
  <c r="Y115" i="9"/>
  <c r="X115" i="9"/>
  <c r="AA115" i="9"/>
  <c r="W115" i="9"/>
  <c r="D23" i="8"/>
  <c r="D59" i="7"/>
  <c r="D43" i="7"/>
  <c r="D21" i="9"/>
  <c r="G21" i="9"/>
  <c r="AA104" i="8"/>
  <c r="D71" i="5"/>
  <c r="D75" i="5"/>
  <c r="D17" i="6"/>
  <c r="L55" i="5"/>
  <c r="W93" i="6"/>
  <c r="Z93" i="6"/>
  <c r="Y93" i="6"/>
  <c r="X93" i="6"/>
  <c r="AB93" i="6"/>
  <c r="W101" i="6"/>
  <c r="X101" i="6"/>
  <c r="AB101" i="6"/>
  <c r="Z101" i="6"/>
  <c r="Y101" i="6"/>
  <c r="Y95" i="6"/>
  <c r="Y133" i="6" s="1"/>
  <c r="E61" i="6" s="1"/>
  <c r="Z95" i="6"/>
  <c r="Z133" i="6" s="1"/>
  <c r="F61" i="6" s="1"/>
  <c r="X95" i="6"/>
  <c r="X133" i="6" s="1"/>
  <c r="D61" i="6" s="1"/>
  <c r="AB95" i="6"/>
  <c r="W95" i="6"/>
  <c r="W133" i="6" s="1"/>
  <c r="C61" i="6" s="1"/>
  <c r="W113" i="6"/>
  <c r="AB113" i="6"/>
  <c r="Z113" i="6"/>
  <c r="Y113" i="6"/>
  <c r="X113" i="6"/>
  <c r="Z102" i="6"/>
  <c r="Y102" i="6"/>
  <c r="X102" i="6"/>
  <c r="W102" i="6"/>
  <c r="AB102" i="6"/>
  <c r="T118" i="6"/>
  <c r="V118" i="6" s="1"/>
  <c r="T122" i="6"/>
  <c r="V122" i="6" s="1"/>
  <c r="T126" i="6"/>
  <c r="V126" i="6" s="1"/>
  <c r="D19" i="6"/>
  <c r="M77" i="5"/>
  <c r="C20" i="8" l="1"/>
  <c r="AB134" i="8"/>
  <c r="H62" i="8" s="1"/>
  <c r="Z132" i="8"/>
  <c r="F60" i="8" s="1"/>
  <c r="X134" i="8"/>
  <c r="D62" i="8" s="1"/>
  <c r="Y132" i="8"/>
  <c r="E60" i="8" s="1"/>
  <c r="X135" i="6"/>
  <c r="D63" i="6" s="1"/>
  <c r="W135" i="6"/>
  <c r="C63" i="6" s="1"/>
  <c r="H36" i="5"/>
  <c r="L36" i="5" s="1"/>
  <c r="H62" i="5"/>
  <c r="L62" i="5" s="1"/>
  <c r="H30" i="5"/>
  <c r="L30" i="5" s="1"/>
  <c r="M61" i="5"/>
  <c r="Z135" i="6"/>
  <c r="F63" i="6" s="1"/>
  <c r="Y136" i="8"/>
  <c r="E64" i="8" s="1"/>
  <c r="AA106" i="8"/>
  <c r="G16" i="8" s="1"/>
  <c r="C16" i="8"/>
  <c r="W139" i="8"/>
  <c r="C67" i="8" s="1"/>
  <c r="X136" i="8"/>
  <c r="D64" i="8" s="1"/>
  <c r="H18" i="5"/>
  <c r="L18" i="5" s="1"/>
  <c r="W138" i="6"/>
  <c r="C66" i="6" s="1"/>
  <c r="M57" i="5"/>
  <c r="M20" i="5"/>
  <c r="I84" i="5"/>
  <c r="M67" i="5"/>
  <c r="H21" i="5"/>
  <c r="L21" i="5" s="1"/>
  <c r="AB135" i="12"/>
  <c r="H63" i="12" s="1"/>
  <c r="F20" i="8"/>
  <c r="AA110" i="8"/>
  <c r="G20" i="8" s="1"/>
  <c r="M82" i="5"/>
  <c r="AA113" i="8"/>
  <c r="M80" i="5"/>
  <c r="H71" i="5"/>
  <c r="L71" i="5" s="1"/>
  <c r="M71" i="5"/>
  <c r="H81" i="5"/>
  <c r="L81" i="5" s="1"/>
  <c r="H78" i="5"/>
  <c r="M40" i="5"/>
  <c r="H40" i="5"/>
  <c r="L40" i="5" s="1"/>
  <c r="M39" i="5"/>
  <c r="H39" i="5"/>
  <c r="L39" i="5" s="1"/>
  <c r="J23" i="5"/>
  <c r="M23" i="5" s="1"/>
  <c r="J68" i="5"/>
  <c r="M68" i="5" s="1"/>
  <c r="H34" i="5"/>
  <c r="L34" i="5" s="1"/>
  <c r="I88" i="5"/>
  <c r="M16" i="5"/>
  <c r="H74" i="5"/>
  <c r="L74" i="5" s="1"/>
  <c r="H86" i="5"/>
  <c r="L86" i="5" s="1"/>
  <c r="H66" i="5"/>
  <c r="L66" i="5" s="1"/>
  <c r="J27" i="5"/>
  <c r="H27" i="5" s="1"/>
  <c r="L27" i="5" s="1"/>
  <c r="X135" i="12"/>
  <c r="D63" i="12" s="1"/>
  <c r="H73" i="5"/>
  <c r="L73" i="5" s="1"/>
  <c r="H32" i="5"/>
  <c r="L32" i="5" s="1"/>
  <c r="H37" i="5"/>
  <c r="L37" i="5" s="1"/>
  <c r="H75" i="5"/>
  <c r="L75" i="5" s="1"/>
  <c r="E50" i="11"/>
  <c r="F50" i="11" s="1"/>
  <c r="H33" i="5"/>
  <c r="L33" i="5" s="1"/>
  <c r="H72" i="5"/>
  <c r="L72" i="5" s="1"/>
  <c r="Z138" i="12"/>
  <c r="F66" i="12" s="1"/>
  <c r="AA134" i="9"/>
  <c r="G63" i="9" s="1"/>
  <c r="Y134" i="9"/>
  <c r="E63" i="9" s="1"/>
  <c r="H31" i="5"/>
  <c r="L31" i="5" s="1"/>
  <c r="W138" i="12"/>
  <c r="C66" i="12" s="1"/>
  <c r="Z139" i="12"/>
  <c r="F67" i="12" s="1"/>
  <c r="E63" i="12"/>
  <c r="F63" i="12"/>
  <c r="W134" i="9"/>
  <c r="C63" i="9" s="1"/>
  <c r="W139" i="9"/>
  <c r="C68" i="9" s="1"/>
  <c r="I47" i="5"/>
  <c r="Z138" i="6"/>
  <c r="F66" i="6" s="1"/>
  <c r="AA101" i="8"/>
  <c r="H45" i="5"/>
  <c r="L45" i="5" s="1"/>
  <c r="AA97" i="12"/>
  <c r="J43" i="5"/>
  <c r="M43" i="5" s="1"/>
  <c r="H41" i="5"/>
  <c r="L41" i="5" s="1"/>
  <c r="AA100" i="6"/>
  <c r="T70" i="12"/>
  <c r="W64" i="12"/>
  <c r="V64" i="12"/>
  <c r="Z64" i="12"/>
  <c r="X64" i="12"/>
  <c r="U64" i="12"/>
  <c r="I50" i="11"/>
  <c r="J50" i="11" s="1"/>
  <c r="AA97" i="8"/>
  <c r="W136" i="6"/>
  <c r="C64" i="6" s="1"/>
  <c r="AF106" i="8"/>
  <c r="AF107" i="8" s="1"/>
  <c r="H26" i="5"/>
  <c r="L26" i="5" s="1"/>
  <c r="M26" i="5"/>
  <c r="D15" i="8"/>
  <c r="AA109" i="6"/>
  <c r="G19" i="6" s="1"/>
  <c r="X131" i="8"/>
  <c r="D59" i="8" s="1"/>
  <c r="X140" i="12"/>
  <c r="D68" i="12" s="1"/>
  <c r="AI105" i="8"/>
  <c r="O15" i="8" s="1"/>
  <c r="AB143" i="8"/>
  <c r="H74" i="8" s="1"/>
  <c r="AG94" i="8"/>
  <c r="AG95" i="8" s="1"/>
  <c r="AB138" i="6"/>
  <c r="H66" i="6" s="1"/>
  <c r="H15" i="8"/>
  <c r="Y138" i="12"/>
  <c r="E66" i="12" s="1"/>
  <c r="W140" i="12"/>
  <c r="C68" i="12" s="1"/>
  <c r="K30" i="7"/>
  <c r="Z136" i="6"/>
  <c r="F64" i="6" s="1"/>
  <c r="M59" i="5"/>
  <c r="F88" i="5"/>
  <c r="J64" i="5"/>
  <c r="F23" i="11"/>
  <c r="X133" i="9"/>
  <c r="D62" i="9" s="1"/>
  <c r="AA139" i="9"/>
  <c r="G68" i="9" s="1"/>
  <c r="F47" i="5"/>
  <c r="D47" i="5" s="1"/>
  <c r="J84" i="5"/>
  <c r="M84" i="5" s="1"/>
  <c r="Y139" i="12"/>
  <c r="E67" i="12" s="1"/>
  <c r="W132" i="12"/>
  <c r="C60" i="12" s="1"/>
  <c r="Y140" i="12"/>
  <c r="E68" i="12" s="1"/>
  <c r="Z140" i="12"/>
  <c r="F68" i="12" s="1"/>
  <c r="Y139" i="9"/>
  <c r="E68" i="9" s="1"/>
  <c r="X134" i="9"/>
  <c r="D63" i="9" s="1"/>
  <c r="X139" i="9"/>
  <c r="D68" i="9" s="1"/>
  <c r="Z143" i="8"/>
  <c r="F74" i="8" s="1"/>
  <c r="W143" i="8"/>
  <c r="C74" i="8" s="1"/>
  <c r="AA105" i="8"/>
  <c r="AH105" i="8" s="1"/>
  <c r="AD105" i="8"/>
  <c r="AD143" i="8" s="1"/>
  <c r="J74" i="8" s="1"/>
  <c r="W142" i="8"/>
  <c r="C70" i="8" s="1"/>
  <c r="W140" i="8"/>
  <c r="C68" i="8" s="1"/>
  <c r="Z134" i="8"/>
  <c r="F62" i="8" s="1"/>
  <c r="W138" i="8"/>
  <c r="C66" i="8" s="1"/>
  <c r="Z142" i="8"/>
  <c r="F70" i="8" s="1"/>
  <c r="Y135" i="8"/>
  <c r="E63" i="8" s="1"/>
  <c r="X138" i="8"/>
  <c r="D66" i="8" s="1"/>
  <c r="X140" i="8"/>
  <c r="D68" i="8" s="1"/>
  <c r="Z135" i="8"/>
  <c r="F63" i="8" s="1"/>
  <c r="W134" i="8"/>
  <c r="C62" i="8" s="1"/>
  <c r="AA109" i="8"/>
  <c r="Y138" i="8"/>
  <c r="E66" i="8" s="1"/>
  <c r="Y140" i="8"/>
  <c r="E68" i="8" s="1"/>
  <c r="W135" i="8"/>
  <c r="C63" i="8" s="1"/>
  <c r="Y142" i="8"/>
  <c r="E70" i="8" s="1"/>
  <c r="X142" i="8"/>
  <c r="D70" i="8" s="1"/>
  <c r="AG131" i="8"/>
  <c r="M59" i="8" s="1"/>
  <c r="AA93" i="8"/>
  <c r="AA94" i="8"/>
  <c r="AA114" i="8"/>
  <c r="G24" i="8" s="1"/>
  <c r="AA102" i="8"/>
  <c r="AA108" i="8"/>
  <c r="G18" i="8" s="1"/>
  <c r="AA98" i="8"/>
  <c r="AA112" i="8"/>
  <c r="G22" i="8" s="1"/>
  <c r="B52" i="8"/>
  <c r="T64" i="8"/>
  <c r="K32" i="7"/>
  <c r="Z131" i="8"/>
  <c r="F59" i="8" s="1"/>
  <c r="H26" i="8"/>
  <c r="AA116" i="8"/>
  <c r="G26" i="8" s="1"/>
  <c r="K22" i="7"/>
  <c r="Y131" i="8"/>
  <c r="E59" i="8" s="1"/>
  <c r="AF93" i="8"/>
  <c r="W131" i="8"/>
  <c r="C59" i="8" s="1"/>
  <c r="AB138" i="8"/>
  <c r="H66" i="8" s="1"/>
  <c r="AA100" i="8"/>
  <c r="AA138" i="8" s="1"/>
  <c r="G66" i="8" s="1"/>
  <c r="X138" i="12"/>
  <c r="D66" i="12" s="1"/>
  <c r="X139" i="12"/>
  <c r="D67" i="12" s="1"/>
  <c r="Y133" i="12"/>
  <c r="E61" i="12" s="1"/>
  <c r="W139" i="12"/>
  <c r="C67" i="12" s="1"/>
  <c r="W140" i="6"/>
  <c r="C68" i="6" s="1"/>
  <c r="X137" i="9"/>
  <c r="D66" i="9" s="1"/>
  <c r="F15" i="7"/>
  <c r="Y136" i="6"/>
  <c r="E64" i="6" s="1"/>
  <c r="F16" i="7"/>
  <c r="AA137" i="9"/>
  <c r="G66" i="9" s="1"/>
  <c r="AA133" i="9"/>
  <c r="G62" i="9" s="1"/>
  <c r="X142" i="6"/>
  <c r="D70" i="6" s="1"/>
  <c r="X143" i="8"/>
  <c r="D74" i="8" s="1"/>
  <c r="W132" i="6"/>
  <c r="C60" i="6" s="1"/>
  <c r="Z140" i="6"/>
  <c r="F68" i="6" s="1"/>
  <c r="Y135" i="9"/>
  <c r="E64" i="9" s="1"/>
  <c r="X136" i="6"/>
  <c r="D64" i="6" s="1"/>
  <c r="Y142" i="6"/>
  <c r="E70" i="6" s="1"/>
  <c r="X135" i="9"/>
  <c r="D64" i="9" s="1"/>
  <c r="Z132" i="6"/>
  <c r="F60" i="6" s="1"/>
  <c r="W137" i="9"/>
  <c r="C66" i="9" s="1"/>
  <c r="W133" i="9"/>
  <c r="C62" i="9" s="1"/>
  <c r="AA140" i="9"/>
  <c r="G69" i="9" s="1"/>
  <c r="AA138" i="9"/>
  <c r="G67" i="9" s="1"/>
  <c r="Z139" i="6"/>
  <c r="F67" i="6" s="1"/>
  <c r="X137" i="6"/>
  <c r="D65" i="6" s="1"/>
  <c r="F31" i="7"/>
  <c r="Y137" i="6"/>
  <c r="E65" i="6" s="1"/>
  <c r="W142" i="6"/>
  <c r="C70" i="6" s="1"/>
  <c r="X133" i="8"/>
  <c r="D61" i="8" s="1"/>
  <c r="Z141" i="6"/>
  <c r="F69" i="6" s="1"/>
  <c r="X134" i="6"/>
  <c r="D62" i="6" s="1"/>
  <c r="X140" i="9"/>
  <c r="D69" i="9" s="1"/>
  <c r="X140" i="6"/>
  <c r="D68" i="6" s="1"/>
  <c r="F18" i="7"/>
  <c r="X132" i="9"/>
  <c r="D61" i="9" s="1"/>
  <c r="Z137" i="6"/>
  <c r="F65" i="6" s="1"/>
  <c r="W135" i="9"/>
  <c r="C64" i="9" s="1"/>
  <c r="W141" i="6"/>
  <c r="C69" i="6" s="1"/>
  <c r="Y140" i="9"/>
  <c r="E69" i="9" s="1"/>
  <c r="Y139" i="6"/>
  <c r="E67" i="6" s="1"/>
  <c r="Y137" i="9"/>
  <c r="E66" i="9" s="1"/>
  <c r="Y132" i="9"/>
  <c r="E61" i="9" s="1"/>
  <c r="X132" i="6"/>
  <c r="D60" i="6" s="1"/>
  <c r="C17" i="9"/>
  <c r="AA111" i="6"/>
  <c r="H21" i="6"/>
  <c r="G44" i="7"/>
  <c r="E43" i="7"/>
  <c r="F43" i="7" s="1"/>
  <c r="L16" i="7"/>
  <c r="K16" i="7"/>
  <c r="G45" i="7"/>
  <c r="F45" i="7"/>
  <c r="J59" i="7"/>
  <c r="L59" i="7" s="1"/>
  <c r="L25" i="7"/>
  <c r="L44" i="7"/>
  <c r="J43" i="7"/>
  <c r="J55" i="7" s="1"/>
  <c r="Y122" i="8"/>
  <c r="W122" i="8"/>
  <c r="X122" i="8"/>
  <c r="Z122" i="8"/>
  <c r="AB122" i="8"/>
  <c r="H35" i="8" s="1"/>
  <c r="K49" i="7"/>
  <c r="G22" i="9"/>
  <c r="AB111" i="9"/>
  <c r="F22" i="9"/>
  <c r="AG105" i="9"/>
  <c r="AB105" i="9"/>
  <c r="Z143" i="9"/>
  <c r="F75" i="9" s="1"/>
  <c r="F16" i="9"/>
  <c r="D27" i="9"/>
  <c r="Y131" i="9"/>
  <c r="E60" i="9" s="1"/>
  <c r="AF93" i="9"/>
  <c r="X131" i="9"/>
  <c r="D60" i="9" s="1"/>
  <c r="AE93" i="9"/>
  <c r="AB97" i="9"/>
  <c r="Z135" i="9"/>
  <c r="F64" i="9" s="1"/>
  <c r="E17" i="8"/>
  <c r="F17" i="8"/>
  <c r="C20" i="12"/>
  <c r="F20" i="12"/>
  <c r="E18" i="12"/>
  <c r="D25" i="12"/>
  <c r="C21" i="12"/>
  <c r="AB140" i="12"/>
  <c r="H68" i="12" s="1"/>
  <c r="AA102" i="12"/>
  <c r="AA110" i="6"/>
  <c r="H20" i="6"/>
  <c r="AA104" i="6"/>
  <c r="AB142" i="6"/>
  <c r="H70" i="6" s="1"/>
  <c r="AA115" i="6"/>
  <c r="H25" i="6"/>
  <c r="D22" i="6"/>
  <c r="X143" i="6"/>
  <c r="D74" i="6" s="1"/>
  <c r="AE105" i="6"/>
  <c r="D15" i="6"/>
  <c r="E26" i="6"/>
  <c r="G17" i="6"/>
  <c r="H21" i="9"/>
  <c r="Z121" i="8"/>
  <c r="AB121" i="8"/>
  <c r="H34" i="8" s="1"/>
  <c r="Y121" i="8"/>
  <c r="W121" i="8"/>
  <c r="X121" i="8"/>
  <c r="C18" i="9"/>
  <c r="G20" i="9"/>
  <c r="Z134" i="9"/>
  <c r="F63" i="9" s="1"/>
  <c r="AB96" i="9"/>
  <c r="Z133" i="8"/>
  <c r="F61" i="8" s="1"/>
  <c r="D21" i="8"/>
  <c r="E16" i="6"/>
  <c r="J30" i="6"/>
  <c r="E30" i="6"/>
  <c r="M30" i="6"/>
  <c r="H30" i="6"/>
  <c r="D30" i="6"/>
  <c r="L30" i="6"/>
  <c r="C30" i="6"/>
  <c r="F30" i="6"/>
  <c r="K30" i="6"/>
  <c r="F18" i="6"/>
  <c r="Y141" i="6"/>
  <c r="E69" i="6" s="1"/>
  <c r="F33" i="7"/>
  <c r="D64" i="5"/>
  <c r="X118" i="8"/>
  <c r="AE118" i="8" s="1"/>
  <c r="K31" i="8" s="1"/>
  <c r="Z118" i="8"/>
  <c r="AG118" i="8" s="1"/>
  <c r="M31" i="8" s="1"/>
  <c r="AB118" i="8"/>
  <c r="H31" i="8" s="1"/>
  <c r="Y118" i="8"/>
  <c r="W118" i="8"/>
  <c r="AD118" i="8" s="1"/>
  <c r="J31" i="8" s="1"/>
  <c r="K33" i="7"/>
  <c r="AB117" i="9"/>
  <c r="AI117" i="9" s="1"/>
  <c r="O31" i="9" s="1"/>
  <c r="AG117" i="9"/>
  <c r="M31" i="9" s="1"/>
  <c r="AA141" i="9"/>
  <c r="G70" i="9" s="1"/>
  <c r="AB114" i="9"/>
  <c r="F25" i="9"/>
  <c r="G19" i="9"/>
  <c r="E19" i="9"/>
  <c r="E24" i="9"/>
  <c r="T65" i="9"/>
  <c r="B53" i="9"/>
  <c r="X142" i="9"/>
  <c r="D71" i="9" s="1"/>
  <c r="AB137" i="8"/>
  <c r="H65" i="8" s="1"/>
  <c r="AA99" i="8"/>
  <c r="C25" i="8"/>
  <c r="F25" i="8"/>
  <c r="E26" i="12"/>
  <c r="D26" i="12"/>
  <c r="AG105" i="12"/>
  <c r="Z143" i="12"/>
  <c r="F74" i="12" s="1"/>
  <c r="F15" i="12"/>
  <c r="AB131" i="12"/>
  <c r="H59" i="12" s="1"/>
  <c r="AI93" i="12"/>
  <c r="AA93" i="12"/>
  <c r="S128" i="8"/>
  <c r="S127" i="8" s="1"/>
  <c r="S126" i="8" s="1"/>
  <c r="S125" i="8" s="1"/>
  <c r="S124" i="8" s="1"/>
  <c r="S123" i="8" s="1"/>
  <c r="S122" i="8" s="1"/>
  <c r="S121" i="8" s="1"/>
  <c r="S120" i="8" s="1"/>
  <c r="S119" i="8" s="1"/>
  <c r="S118" i="8" s="1"/>
  <c r="S117" i="8" s="1"/>
  <c r="S8" i="8" s="1"/>
  <c r="A88" i="8" s="1"/>
  <c r="X128" i="8"/>
  <c r="Z128" i="8"/>
  <c r="AB128" i="8"/>
  <c r="H41" i="8" s="1"/>
  <c r="Y128" i="8"/>
  <c r="W128" i="8"/>
  <c r="E16" i="10"/>
  <c r="F16" i="10" s="1"/>
  <c r="F12" i="10"/>
  <c r="AA103" i="8"/>
  <c r="AB141" i="8"/>
  <c r="H69" i="8" s="1"/>
  <c r="Z141" i="8"/>
  <c r="F69" i="8" s="1"/>
  <c r="D16" i="12"/>
  <c r="AA114" i="12"/>
  <c r="H24" i="12"/>
  <c r="AA113" i="12"/>
  <c r="H23" i="12"/>
  <c r="E22" i="12"/>
  <c r="AA112" i="12"/>
  <c r="H22" i="12"/>
  <c r="AB134" i="12"/>
  <c r="H62" i="12" s="1"/>
  <c r="AA96" i="12"/>
  <c r="AB132" i="12"/>
  <c r="H60" i="12" s="1"/>
  <c r="AA94" i="12"/>
  <c r="Z136" i="12"/>
  <c r="F64" i="12" s="1"/>
  <c r="AA109" i="12"/>
  <c r="H19" i="12"/>
  <c r="C19" i="12"/>
  <c r="X137" i="12"/>
  <c r="D65" i="12" s="1"/>
  <c r="K30" i="12"/>
  <c r="F30" i="12"/>
  <c r="J30" i="12"/>
  <c r="E30" i="12"/>
  <c r="M30" i="12"/>
  <c r="H30" i="12"/>
  <c r="D30" i="12"/>
  <c r="C30" i="12"/>
  <c r="L30" i="12"/>
  <c r="X142" i="12"/>
  <c r="D70" i="12" s="1"/>
  <c r="AB141" i="12"/>
  <c r="H69" i="12" s="1"/>
  <c r="AA103" i="12"/>
  <c r="AA107" i="12"/>
  <c r="H17" i="12"/>
  <c r="AA113" i="6"/>
  <c r="H23" i="6"/>
  <c r="W131" i="6"/>
  <c r="C59" i="6" s="1"/>
  <c r="AD93" i="6"/>
  <c r="D26" i="9"/>
  <c r="E23" i="9"/>
  <c r="L31" i="7"/>
  <c r="K31" i="7"/>
  <c r="AB139" i="6"/>
  <c r="H67" i="6" s="1"/>
  <c r="AA101" i="6"/>
  <c r="Y138" i="9"/>
  <c r="E67" i="9" s="1"/>
  <c r="G17" i="9"/>
  <c r="F24" i="6"/>
  <c r="L14" i="7"/>
  <c r="K14" i="7"/>
  <c r="L45" i="7"/>
  <c r="K45" i="7"/>
  <c r="E22" i="9"/>
  <c r="Z133" i="9"/>
  <c r="F62" i="9" s="1"/>
  <c r="AB95" i="9"/>
  <c r="AA107" i="8"/>
  <c r="H17" i="8"/>
  <c r="E20" i="12"/>
  <c r="AA108" i="12"/>
  <c r="H18" i="12"/>
  <c r="F18" i="12"/>
  <c r="AA115" i="12"/>
  <c r="H25" i="12"/>
  <c r="D21" i="12"/>
  <c r="D20" i="6"/>
  <c r="AB132" i="6"/>
  <c r="H60" i="6" s="1"/>
  <c r="AA94" i="6"/>
  <c r="D25" i="6"/>
  <c r="E25" i="6"/>
  <c r="F22" i="6"/>
  <c r="AA112" i="6"/>
  <c r="H22" i="6"/>
  <c r="AF105" i="6"/>
  <c r="E15" i="6"/>
  <c r="Y143" i="6"/>
  <c r="E74" i="6" s="1"/>
  <c r="F26" i="6"/>
  <c r="E18" i="9"/>
  <c r="AB107" i="9"/>
  <c r="F18" i="9"/>
  <c r="C20" i="9"/>
  <c r="Y133" i="8"/>
  <c r="E61" i="8" s="1"/>
  <c r="E21" i="8"/>
  <c r="F21" i="8"/>
  <c r="C16" i="6"/>
  <c r="AA117" i="6"/>
  <c r="AH117" i="6" s="1"/>
  <c r="AI117" i="6"/>
  <c r="AB135" i="6"/>
  <c r="H63" i="6" s="1"/>
  <c r="AA97" i="6"/>
  <c r="C18" i="6"/>
  <c r="Z134" i="6"/>
  <c r="F62" i="6" s="1"/>
  <c r="AB134" i="6"/>
  <c r="H62" i="6" s="1"/>
  <c r="AA96" i="6"/>
  <c r="K25" i="7"/>
  <c r="X126" i="8"/>
  <c r="Z126" i="8"/>
  <c r="AB126" i="8"/>
  <c r="H39" i="8" s="1"/>
  <c r="Y126" i="8"/>
  <c r="W126" i="8"/>
  <c r="X141" i="9"/>
  <c r="D70" i="9" s="1"/>
  <c r="Z141" i="9"/>
  <c r="F70" i="9" s="1"/>
  <c r="AB103" i="9"/>
  <c r="C25" i="9"/>
  <c r="C19" i="9"/>
  <c r="AB113" i="9"/>
  <c r="F24" i="9"/>
  <c r="D24" i="9"/>
  <c r="Z142" i="9"/>
  <c r="F71" i="9" s="1"/>
  <c r="AB104" i="9"/>
  <c r="Y142" i="9"/>
  <c r="E71" i="9" s="1"/>
  <c r="W137" i="8"/>
  <c r="C65" i="8" s="1"/>
  <c r="AA115" i="8"/>
  <c r="H25" i="8"/>
  <c r="F26" i="12"/>
  <c r="AB139" i="12"/>
  <c r="H67" i="12" s="1"/>
  <c r="AA101" i="12"/>
  <c r="W143" i="12"/>
  <c r="C74" i="12" s="1"/>
  <c r="AD105" i="12"/>
  <c r="C15" i="12"/>
  <c r="X131" i="12"/>
  <c r="D59" i="12" s="1"/>
  <c r="AE93" i="12"/>
  <c r="W141" i="8"/>
  <c r="C69" i="8" s="1"/>
  <c r="K30" i="8"/>
  <c r="F30" i="8"/>
  <c r="J30" i="8"/>
  <c r="D30" i="8"/>
  <c r="M30" i="8"/>
  <c r="E30" i="8"/>
  <c r="H30" i="8"/>
  <c r="C30" i="8"/>
  <c r="AF117" i="8"/>
  <c r="L30" i="8" s="1"/>
  <c r="Y143" i="8"/>
  <c r="E74" i="8" s="1"/>
  <c r="C16" i="12"/>
  <c r="AA106" i="12"/>
  <c r="H16" i="12"/>
  <c r="E24" i="12"/>
  <c r="E23" i="12"/>
  <c r="F22" i="12"/>
  <c r="X134" i="12"/>
  <c r="D62" i="12" s="1"/>
  <c r="Z134" i="12"/>
  <c r="F62" i="12" s="1"/>
  <c r="Y132" i="12"/>
  <c r="E60" i="12" s="1"/>
  <c r="W136" i="12"/>
  <c r="C64" i="12" s="1"/>
  <c r="D19" i="12"/>
  <c r="Y137" i="12"/>
  <c r="E65" i="12" s="1"/>
  <c r="AI117" i="12"/>
  <c r="AA117" i="12"/>
  <c r="AH117" i="12" s="1"/>
  <c r="Y142" i="12"/>
  <c r="E70" i="12" s="1"/>
  <c r="X141" i="12"/>
  <c r="D69" i="12" s="1"/>
  <c r="W141" i="12"/>
  <c r="C69" i="12" s="1"/>
  <c r="D17" i="12"/>
  <c r="Z133" i="12"/>
  <c r="F61" i="12" s="1"/>
  <c r="W133" i="12"/>
  <c r="C61" i="12" s="1"/>
  <c r="AB131" i="6"/>
  <c r="H59" i="6" s="1"/>
  <c r="AA93" i="6"/>
  <c r="AI93" i="6"/>
  <c r="D23" i="9"/>
  <c r="D23" i="6"/>
  <c r="X119" i="8"/>
  <c r="D32" i="8" s="1"/>
  <c r="Z119" i="8"/>
  <c r="AB119" i="8"/>
  <c r="H32" i="8" s="1"/>
  <c r="Y119" i="8"/>
  <c r="W119" i="8"/>
  <c r="F44" i="7"/>
  <c r="X125" i="8"/>
  <c r="Z125" i="8"/>
  <c r="AB125" i="8"/>
  <c r="H38" i="8" s="1"/>
  <c r="Y125" i="8"/>
  <c r="W125" i="8"/>
  <c r="C23" i="9"/>
  <c r="W132" i="9"/>
  <c r="C61" i="9" s="1"/>
  <c r="G14" i="7"/>
  <c r="G35" i="7"/>
  <c r="E63" i="7"/>
  <c r="G63" i="7" s="1"/>
  <c r="F39" i="7"/>
  <c r="AA143" i="9"/>
  <c r="G75" i="9" s="1"/>
  <c r="AH105" i="9"/>
  <c r="G16" i="9"/>
  <c r="G27" i="9"/>
  <c r="W131" i="9"/>
  <c r="C60" i="9" s="1"/>
  <c r="AD93" i="9"/>
  <c r="E23" i="6"/>
  <c r="X139" i="6"/>
  <c r="D67" i="6" s="1"/>
  <c r="AF93" i="6"/>
  <c r="Y131" i="6"/>
  <c r="E59" i="6" s="1"/>
  <c r="X127" i="8"/>
  <c r="Z127" i="8"/>
  <c r="AB127" i="8"/>
  <c r="H40" i="8" s="1"/>
  <c r="Y127" i="8"/>
  <c r="W127" i="8"/>
  <c r="D51" i="7"/>
  <c r="K47" i="7"/>
  <c r="C26" i="9"/>
  <c r="F26" i="9"/>
  <c r="AB115" i="9"/>
  <c r="AB112" i="9"/>
  <c r="F23" i="9"/>
  <c r="Z138" i="9"/>
  <c r="F67" i="9" s="1"/>
  <c r="AB100" i="9"/>
  <c r="AB94" i="9"/>
  <c r="Z132" i="9"/>
  <c r="F61" i="9" s="1"/>
  <c r="AA132" i="9"/>
  <c r="G61" i="9" s="1"/>
  <c r="D17" i="9"/>
  <c r="Z136" i="9"/>
  <c r="F65" i="9" s="1"/>
  <c r="AB98" i="9"/>
  <c r="AB136" i="9" s="1"/>
  <c r="H65" i="9" s="1"/>
  <c r="H24" i="6"/>
  <c r="AA114" i="6"/>
  <c r="AB136" i="6"/>
  <c r="H64" i="6" s="1"/>
  <c r="AA98" i="6"/>
  <c r="F21" i="6"/>
  <c r="W137" i="6"/>
  <c r="C65" i="6" s="1"/>
  <c r="AD95" i="8"/>
  <c r="L18" i="7"/>
  <c r="K18" i="7"/>
  <c r="J61" i="7"/>
  <c r="L29" i="7"/>
  <c r="K29" i="7"/>
  <c r="G29" i="7"/>
  <c r="E61" i="7"/>
  <c r="G61" i="7" s="1"/>
  <c r="G49" i="7"/>
  <c r="F49" i="7"/>
  <c r="J57" i="7"/>
  <c r="L57" i="7" s="1"/>
  <c r="L20" i="7"/>
  <c r="L35" i="7"/>
  <c r="J63" i="7"/>
  <c r="L63" i="7" s="1"/>
  <c r="K35" i="7"/>
  <c r="F17" i="7"/>
  <c r="C22" i="9"/>
  <c r="Y133" i="9"/>
  <c r="E62" i="9" s="1"/>
  <c r="W143" i="9"/>
  <c r="C75" i="9" s="1"/>
  <c r="AD105" i="9"/>
  <c r="C16" i="9"/>
  <c r="AE105" i="9"/>
  <c r="X143" i="9"/>
  <c r="D75" i="9" s="1"/>
  <c r="D16" i="9"/>
  <c r="C27" i="9"/>
  <c r="AG93" i="9"/>
  <c r="AB93" i="9"/>
  <c r="Z131" i="9"/>
  <c r="F60" i="9" s="1"/>
  <c r="AA135" i="9"/>
  <c r="G64" i="9" s="1"/>
  <c r="C17" i="8"/>
  <c r="B52" i="12"/>
  <c r="T63" i="12" s="1"/>
  <c r="D20" i="12"/>
  <c r="C18" i="12"/>
  <c r="F25" i="12"/>
  <c r="E25" i="12"/>
  <c r="AA111" i="12"/>
  <c r="H21" i="12"/>
  <c r="E20" i="6"/>
  <c r="F20" i="6"/>
  <c r="Z142" i="6"/>
  <c r="F70" i="6" s="1"/>
  <c r="F25" i="6"/>
  <c r="T64" i="6"/>
  <c r="B52" i="6"/>
  <c r="C22" i="6"/>
  <c r="F15" i="6"/>
  <c r="Z143" i="6"/>
  <c r="F74" i="6" s="1"/>
  <c r="AG105" i="6"/>
  <c r="W143" i="6"/>
  <c r="C74" i="6" s="1"/>
  <c r="AD105" i="6"/>
  <c r="C15" i="6"/>
  <c r="D26" i="6"/>
  <c r="Z123" i="8"/>
  <c r="AB123" i="8"/>
  <c r="H36" i="8" s="1"/>
  <c r="Y123" i="8"/>
  <c r="W123" i="8"/>
  <c r="X123" i="8"/>
  <c r="K11" i="7"/>
  <c r="F32" i="7"/>
  <c r="D18" i="9"/>
  <c r="E20" i="9"/>
  <c r="D20" i="9"/>
  <c r="Y124" i="8"/>
  <c r="W124" i="8"/>
  <c r="X124" i="8"/>
  <c r="Z124" i="8"/>
  <c r="AB124" i="8"/>
  <c r="H37" i="8" s="1"/>
  <c r="W133" i="8"/>
  <c r="C61" i="8" s="1"/>
  <c r="C21" i="8"/>
  <c r="AA106" i="6"/>
  <c r="H16" i="6"/>
  <c r="D18" i="6"/>
  <c r="AB141" i="6"/>
  <c r="H69" i="6" s="1"/>
  <c r="AA103" i="6"/>
  <c r="W134" i="6"/>
  <c r="C62" i="6" s="1"/>
  <c r="I51" i="7"/>
  <c r="I55" i="7"/>
  <c r="F47" i="7"/>
  <c r="W141" i="9"/>
  <c r="C70" i="9" s="1"/>
  <c r="D25" i="9"/>
  <c r="G25" i="9"/>
  <c r="W140" i="9"/>
  <c r="C69" i="9" s="1"/>
  <c r="D19" i="9"/>
  <c r="G24" i="9"/>
  <c r="AA142" i="9"/>
  <c r="G71" i="9" s="1"/>
  <c r="X137" i="8"/>
  <c r="D65" i="8" s="1"/>
  <c r="D25" i="8"/>
  <c r="C26" i="12"/>
  <c r="AB143" i="12"/>
  <c r="H74" i="12" s="1"/>
  <c r="AI105" i="12"/>
  <c r="AA105" i="12"/>
  <c r="H15" i="12"/>
  <c r="Z131" i="12"/>
  <c r="F59" i="12" s="1"/>
  <c r="AG93" i="12"/>
  <c r="Y131" i="12"/>
  <c r="E59" i="12" s="1"/>
  <c r="AF93" i="12"/>
  <c r="E40" i="10"/>
  <c r="F40" i="10" s="1"/>
  <c r="F42" i="10"/>
  <c r="J30" i="10"/>
  <c r="I38" i="10"/>
  <c r="J38" i="10" s="1"/>
  <c r="E38" i="10"/>
  <c r="F38" i="10" s="1"/>
  <c r="F30" i="10"/>
  <c r="X141" i="8"/>
  <c r="D69" i="8" s="1"/>
  <c r="E16" i="12"/>
  <c r="C24" i="12"/>
  <c r="F24" i="12"/>
  <c r="F23" i="12"/>
  <c r="C22" i="12"/>
  <c r="Y134" i="12"/>
  <c r="E62" i="12" s="1"/>
  <c r="Z132" i="12"/>
  <c r="F60" i="12" s="1"/>
  <c r="X136" i="12"/>
  <c r="D64" i="12" s="1"/>
  <c r="F19" i="12"/>
  <c r="W135" i="12"/>
  <c r="C63" i="12" s="1"/>
  <c r="Z137" i="12"/>
  <c r="F65" i="12" s="1"/>
  <c r="W142" i="12"/>
  <c r="C70" i="12" s="1"/>
  <c r="Z142" i="12"/>
  <c r="F70" i="12" s="1"/>
  <c r="Y141" i="12"/>
  <c r="E69" i="12" s="1"/>
  <c r="E17" i="12"/>
  <c r="C17" i="12"/>
  <c r="AA95" i="12"/>
  <c r="AB133" i="12"/>
  <c r="H61" i="12" s="1"/>
  <c r="AA102" i="6"/>
  <c r="AB140" i="6"/>
  <c r="H68" i="6" s="1"/>
  <c r="E24" i="6"/>
  <c r="C23" i="6"/>
  <c r="X131" i="6"/>
  <c r="D59" i="6" s="1"/>
  <c r="AE93" i="6"/>
  <c r="E26" i="9"/>
  <c r="X138" i="9"/>
  <c r="D67" i="9" s="1"/>
  <c r="AB106" i="9"/>
  <c r="F17" i="9"/>
  <c r="C24" i="6"/>
  <c r="D21" i="6"/>
  <c r="L21" i="7"/>
  <c r="K21" i="7"/>
  <c r="Y140" i="6"/>
  <c r="E68" i="6" s="1"/>
  <c r="F23" i="6"/>
  <c r="AA95" i="6"/>
  <c r="AA133" i="6" s="1"/>
  <c r="G61" i="6" s="1"/>
  <c r="AB133" i="6"/>
  <c r="H61" i="6" s="1"/>
  <c r="W139" i="6"/>
  <c r="C67" i="6" s="1"/>
  <c r="AG93" i="6"/>
  <c r="Z131" i="6"/>
  <c r="F59" i="6" s="1"/>
  <c r="K17" i="7"/>
  <c r="G26" i="9"/>
  <c r="Z137" i="9"/>
  <c r="F66" i="9" s="1"/>
  <c r="AB99" i="9"/>
  <c r="G23" i="9"/>
  <c r="W138" i="9"/>
  <c r="C67" i="9" s="1"/>
  <c r="E17" i="9"/>
  <c r="AG143" i="8"/>
  <c r="M74" i="8" s="1"/>
  <c r="AG106" i="8"/>
  <c r="M15" i="8"/>
  <c r="D24" i="6"/>
  <c r="C21" i="6"/>
  <c r="E21" i="6"/>
  <c r="AA99" i="6"/>
  <c r="AB137" i="6"/>
  <c r="H65" i="6" s="1"/>
  <c r="X138" i="6"/>
  <c r="D66" i="6" s="1"/>
  <c r="F21" i="7"/>
  <c r="F23" i="7"/>
  <c r="G25" i="7"/>
  <c r="E59" i="7"/>
  <c r="G59" i="7" s="1"/>
  <c r="E57" i="7"/>
  <c r="G57" i="7" s="1"/>
  <c r="G20" i="7"/>
  <c r="L23" i="7"/>
  <c r="K23" i="7"/>
  <c r="L37" i="7"/>
  <c r="J65" i="7"/>
  <c r="K37" i="7"/>
  <c r="G37" i="7"/>
  <c r="E65" i="7"/>
  <c r="G65" i="7" s="1"/>
  <c r="L39" i="7"/>
  <c r="K39" i="7"/>
  <c r="F30" i="7"/>
  <c r="D22" i="9"/>
  <c r="Y143" i="9"/>
  <c r="E75" i="9" s="1"/>
  <c r="AF105" i="9"/>
  <c r="E16" i="9"/>
  <c r="AB116" i="9"/>
  <c r="F27" i="9"/>
  <c r="E27" i="9"/>
  <c r="AA131" i="9"/>
  <c r="G60" i="9" s="1"/>
  <c r="AH93" i="9"/>
  <c r="AB101" i="9"/>
  <c r="Z139" i="9"/>
  <c r="F68" i="9" s="1"/>
  <c r="D17" i="8"/>
  <c r="AA110" i="12"/>
  <c r="H20" i="12"/>
  <c r="D18" i="12"/>
  <c r="C25" i="12"/>
  <c r="F21" i="12"/>
  <c r="E21" i="12"/>
  <c r="C20" i="6"/>
  <c r="Y132" i="6"/>
  <c r="E60" i="6" s="1"/>
  <c r="C25" i="6"/>
  <c r="E22" i="6"/>
  <c r="AB143" i="6"/>
  <c r="H74" i="6" s="1"/>
  <c r="AA105" i="6"/>
  <c r="AI105" i="6"/>
  <c r="H15" i="6"/>
  <c r="C26" i="6"/>
  <c r="H26" i="6"/>
  <c r="AA116" i="6"/>
  <c r="F29" i="7"/>
  <c r="F35" i="7"/>
  <c r="G18" i="9"/>
  <c r="AB109" i="9"/>
  <c r="F20" i="9"/>
  <c r="AI94" i="8"/>
  <c r="AB133" i="8"/>
  <c r="H61" i="8" s="1"/>
  <c r="AA95" i="8"/>
  <c r="H21" i="8"/>
  <c r="AA111" i="8"/>
  <c r="D16" i="6"/>
  <c r="F16" i="6"/>
  <c r="E18" i="6"/>
  <c r="AA108" i="6"/>
  <c r="H18" i="6"/>
  <c r="X141" i="6"/>
  <c r="D69" i="6" s="1"/>
  <c r="Y134" i="6"/>
  <c r="E62" i="6" s="1"/>
  <c r="Y138" i="6"/>
  <c r="E66" i="6" s="1"/>
  <c r="D55" i="7"/>
  <c r="K15" i="7"/>
  <c r="K44" i="7"/>
  <c r="F22" i="7"/>
  <c r="G23" i="8"/>
  <c r="L31" i="9"/>
  <c r="G31" i="9"/>
  <c r="C31" i="9"/>
  <c r="N31" i="9"/>
  <c r="K31" i="9"/>
  <c r="D31" i="9"/>
  <c r="J31" i="9"/>
  <c r="F31" i="9"/>
  <c r="E31" i="9"/>
  <c r="Y141" i="9"/>
  <c r="E70" i="9" s="1"/>
  <c r="E25" i="9"/>
  <c r="Z140" i="9"/>
  <c r="F69" i="9" s="1"/>
  <c r="AB102" i="9"/>
  <c r="AB108" i="9"/>
  <c r="F19" i="9"/>
  <c r="C24" i="9"/>
  <c r="W142" i="9"/>
  <c r="C71" i="9" s="1"/>
  <c r="AE143" i="8"/>
  <c r="K74" i="8" s="1"/>
  <c r="K15" i="8"/>
  <c r="AE106" i="8"/>
  <c r="AE94" i="8"/>
  <c r="AE131" i="8"/>
  <c r="K59" i="8" s="1"/>
  <c r="Y137" i="8"/>
  <c r="E65" i="8" s="1"/>
  <c r="Z137" i="8"/>
  <c r="F65" i="8" s="1"/>
  <c r="E25" i="8"/>
  <c r="AA116" i="12"/>
  <c r="H26" i="12"/>
  <c r="AB138" i="12"/>
  <c r="H66" i="12" s="1"/>
  <c r="AA100" i="12"/>
  <c r="X143" i="12"/>
  <c r="D74" i="12" s="1"/>
  <c r="AE105" i="12"/>
  <c r="D15" i="12"/>
  <c r="Y143" i="12"/>
  <c r="E74" i="12" s="1"/>
  <c r="AF105" i="12"/>
  <c r="E15" i="12"/>
  <c r="W131" i="12"/>
  <c r="C59" i="12" s="1"/>
  <c r="AD93" i="12"/>
  <c r="X120" i="8"/>
  <c r="Z120" i="8"/>
  <c r="AB120" i="8"/>
  <c r="H33" i="8" s="1"/>
  <c r="Y120" i="8"/>
  <c r="W120" i="8"/>
  <c r="J42" i="10"/>
  <c r="I40" i="10"/>
  <c r="J40" i="10" s="1"/>
  <c r="I16" i="10"/>
  <c r="J16" i="10" s="1"/>
  <c r="J12" i="10"/>
  <c r="Y141" i="8"/>
  <c r="E69" i="8" s="1"/>
  <c r="AI117" i="8"/>
  <c r="AA117" i="8"/>
  <c r="AH117" i="8" s="1"/>
  <c r="N30" i="8" s="1"/>
  <c r="X126" i="12"/>
  <c r="Z126" i="12"/>
  <c r="Y126" i="12"/>
  <c r="AB126" i="12"/>
  <c r="W126" i="12"/>
  <c r="F16" i="12"/>
  <c r="D24" i="12"/>
  <c r="D23" i="12"/>
  <c r="C23" i="12"/>
  <c r="D22" i="12"/>
  <c r="W134" i="12"/>
  <c r="C62" i="12" s="1"/>
  <c r="X132" i="12"/>
  <c r="D60" i="12" s="1"/>
  <c r="Y136" i="12"/>
  <c r="E64" i="12" s="1"/>
  <c r="AB136" i="12"/>
  <c r="H64" i="12" s="1"/>
  <c r="AA98" i="12"/>
  <c r="E19" i="12"/>
  <c r="AA99" i="12"/>
  <c r="AB137" i="12"/>
  <c r="H65" i="12" s="1"/>
  <c r="W137" i="12"/>
  <c r="C65" i="12" s="1"/>
  <c r="AB142" i="12"/>
  <c r="H70" i="12" s="1"/>
  <c r="AA104" i="12"/>
  <c r="Z141" i="12"/>
  <c r="F69" i="12" s="1"/>
  <c r="F17" i="12"/>
  <c r="X133" i="12"/>
  <c r="D61" i="12" s="1"/>
  <c r="Y118" i="12"/>
  <c r="X118" i="12"/>
  <c r="Z118" i="12"/>
  <c r="AB118" i="12"/>
  <c r="W118" i="12"/>
  <c r="AA132" i="8" l="1"/>
  <c r="G60" i="8" s="1"/>
  <c r="M27" i="5"/>
  <c r="L78" i="5"/>
  <c r="H64" i="5"/>
  <c r="L64" i="5" s="1"/>
  <c r="AI131" i="8"/>
  <c r="O59" i="8" s="1"/>
  <c r="AI106" i="8"/>
  <c r="AI132" i="8" s="1"/>
  <c r="O60" i="8" s="1"/>
  <c r="AA139" i="8"/>
  <c r="G67" i="8" s="1"/>
  <c r="H68" i="5"/>
  <c r="L68" i="5" s="1"/>
  <c r="AA136" i="8"/>
  <c r="G64" i="8" s="1"/>
  <c r="L16" i="8"/>
  <c r="AA131" i="8"/>
  <c r="G59" i="8" s="1"/>
  <c r="AA136" i="6"/>
  <c r="G64" i="6" s="1"/>
  <c r="H23" i="5"/>
  <c r="L23" i="5" s="1"/>
  <c r="AA135" i="8"/>
  <c r="G63" i="8" s="1"/>
  <c r="H84" i="5"/>
  <c r="L84" i="5" s="1"/>
  <c r="AA138" i="6"/>
  <c r="G66" i="6" s="1"/>
  <c r="AA135" i="12"/>
  <c r="G63" i="12" s="1"/>
  <c r="H43" i="5"/>
  <c r="L43" i="5" s="1"/>
  <c r="X145" i="8"/>
  <c r="D76" i="8" s="1"/>
  <c r="G15" i="8"/>
  <c r="AA141" i="6"/>
  <c r="G69" i="6" s="1"/>
  <c r="J47" i="5"/>
  <c r="M47" i="5" s="1"/>
  <c r="K43" i="7"/>
  <c r="Y64" i="12"/>
  <c r="Z63" i="12"/>
  <c r="T69" i="12"/>
  <c r="W63" i="12"/>
  <c r="W70" i="12" s="1"/>
  <c r="U63" i="12"/>
  <c r="V63" i="12"/>
  <c r="V70" i="12" s="1"/>
  <c r="X63" i="12"/>
  <c r="X70" i="12" s="1"/>
  <c r="G19" i="8"/>
  <c r="AA135" i="6"/>
  <c r="G63" i="6" s="1"/>
  <c r="AD131" i="8"/>
  <c r="J59" i="8" s="1"/>
  <c r="AB139" i="9"/>
  <c r="H68" i="9" s="1"/>
  <c r="AG132" i="8"/>
  <c r="M60" i="8" s="1"/>
  <c r="AH93" i="8"/>
  <c r="AH94" i="8" s="1"/>
  <c r="M64" i="5"/>
  <c r="AA133" i="12"/>
  <c r="G61" i="12" s="1"/>
  <c r="AA138" i="12"/>
  <c r="G66" i="12" s="1"/>
  <c r="K59" i="7"/>
  <c r="D88" i="5"/>
  <c r="J88" i="5"/>
  <c r="M88" i="5" s="1"/>
  <c r="AA136" i="12"/>
  <c r="G64" i="12" s="1"/>
  <c r="AA139" i="12"/>
  <c r="G67" i="12" s="1"/>
  <c r="AA137" i="6"/>
  <c r="G65" i="6" s="1"/>
  <c r="AD118" i="12"/>
  <c r="J31" i="12" s="1"/>
  <c r="C31" i="12"/>
  <c r="Y144" i="12"/>
  <c r="E75" i="12" s="1"/>
  <c r="E31" i="12"/>
  <c r="W152" i="12"/>
  <c r="C83" i="12" s="1"/>
  <c r="C39" i="12"/>
  <c r="X152" i="12"/>
  <c r="D83" i="12" s="1"/>
  <c r="D39" i="12"/>
  <c r="AB144" i="12"/>
  <c r="H75" i="12" s="1"/>
  <c r="H31" i="12"/>
  <c r="AB152" i="12"/>
  <c r="H83" i="12" s="1"/>
  <c r="H39" i="12"/>
  <c r="AG118" i="12"/>
  <c r="M31" i="12" s="1"/>
  <c r="F31" i="12"/>
  <c r="Y152" i="12"/>
  <c r="E83" i="12" s="1"/>
  <c r="E39" i="12"/>
  <c r="X144" i="12"/>
  <c r="D75" i="12" s="1"/>
  <c r="D31" i="12"/>
  <c r="Z152" i="12"/>
  <c r="F83" i="12" s="1"/>
  <c r="F39" i="12"/>
  <c r="AB137" i="9"/>
  <c r="H66" i="9" s="1"/>
  <c r="J15" i="8"/>
  <c r="AD106" i="8"/>
  <c r="AD132" i="8" s="1"/>
  <c r="J60" i="8" s="1"/>
  <c r="Z146" i="8"/>
  <c r="F77" i="8" s="1"/>
  <c r="F33" i="8"/>
  <c r="X150" i="8"/>
  <c r="D81" i="8" s="1"/>
  <c r="D37" i="8"/>
  <c r="Y149" i="8"/>
  <c r="E80" i="8" s="1"/>
  <c r="E36" i="8"/>
  <c r="Y153" i="8"/>
  <c r="E84" i="8" s="1"/>
  <c r="E40" i="8"/>
  <c r="Y151" i="8"/>
  <c r="E82" i="8" s="1"/>
  <c r="E38" i="8"/>
  <c r="Z145" i="8"/>
  <c r="F76" i="8" s="1"/>
  <c r="F32" i="8"/>
  <c r="Z154" i="8"/>
  <c r="F85" i="8" s="1"/>
  <c r="F41" i="8"/>
  <c r="X147" i="8"/>
  <c r="D78" i="8" s="1"/>
  <c r="D34" i="8"/>
  <c r="Z147" i="8"/>
  <c r="F78" i="8" s="1"/>
  <c r="F34" i="8"/>
  <c r="Y148" i="8"/>
  <c r="E79" i="8" s="1"/>
  <c r="E35" i="8"/>
  <c r="AA134" i="8"/>
  <c r="G62" i="8" s="1"/>
  <c r="W146" i="8"/>
  <c r="C77" i="8" s="1"/>
  <c r="C33" i="8"/>
  <c r="X146" i="8"/>
  <c r="D77" i="8" s="1"/>
  <c r="D33" i="8"/>
  <c r="W150" i="8"/>
  <c r="C81" i="8" s="1"/>
  <c r="C37" i="8"/>
  <c r="W145" i="8"/>
  <c r="C76" i="8" s="1"/>
  <c r="C32" i="8"/>
  <c r="Z152" i="8"/>
  <c r="F83" i="8" s="1"/>
  <c r="F39" i="8"/>
  <c r="W154" i="8"/>
  <c r="C85" i="8" s="1"/>
  <c r="C41" i="8"/>
  <c r="X154" i="8"/>
  <c r="D85" i="8" s="1"/>
  <c r="D41" i="8"/>
  <c r="Z144" i="8"/>
  <c r="F75" i="8" s="1"/>
  <c r="F31" i="8"/>
  <c r="W147" i="8"/>
  <c r="C78" i="8" s="1"/>
  <c r="C34" i="8"/>
  <c r="Z148" i="8"/>
  <c r="F79" i="8" s="1"/>
  <c r="F35" i="8"/>
  <c r="AA140" i="8"/>
  <c r="G68" i="8" s="1"/>
  <c r="Y150" i="8"/>
  <c r="E81" i="8" s="1"/>
  <c r="E37" i="8"/>
  <c r="X149" i="8"/>
  <c r="D80" i="8" s="1"/>
  <c r="D36" i="8"/>
  <c r="Z149" i="8"/>
  <c r="F80" i="8" s="1"/>
  <c r="F36" i="8"/>
  <c r="Z153" i="8"/>
  <c r="F84" i="8" s="1"/>
  <c r="F40" i="8"/>
  <c r="Z151" i="8"/>
  <c r="F82" i="8" s="1"/>
  <c r="F38" i="8"/>
  <c r="Y145" i="8"/>
  <c r="E76" i="8" s="1"/>
  <c r="E32" i="8"/>
  <c r="W152" i="8"/>
  <c r="C83" i="8" s="1"/>
  <c r="C39" i="8"/>
  <c r="X152" i="8"/>
  <c r="D83" i="8" s="1"/>
  <c r="D39" i="8"/>
  <c r="Y154" i="8"/>
  <c r="E85" i="8" s="1"/>
  <c r="E41" i="8"/>
  <c r="W144" i="8"/>
  <c r="C75" i="8" s="1"/>
  <c r="C31" i="8"/>
  <c r="X144" i="8"/>
  <c r="D75" i="8" s="1"/>
  <c r="D31" i="8"/>
  <c r="Y147" i="8"/>
  <c r="E78" i="8" s="1"/>
  <c r="E34" i="8"/>
  <c r="X148" i="8"/>
  <c r="D79" i="8" s="1"/>
  <c r="D35" i="8"/>
  <c r="Y146" i="8"/>
  <c r="E77" i="8" s="1"/>
  <c r="E33" i="8"/>
  <c r="Z150" i="8"/>
  <c r="F81" i="8" s="1"/>
  <c r="F37" i="8"/>
  <c r="W149" i="8"/>
  <c r="C80" i="8" s="1"/>
  <c r="C36" i="8"/>
  <c r="W153" i="8"/>
  <c r="C84" i="8" s="1"/>
  <c r="C40" i="8"/>
  <c r="X153" i="8"/>
  <c r="D84" i="8" s="1"/>
  <c r="D40" i="8"/>
  <c r="W151" i="8"/>
  <c r="C82" i="8" s="1"/>
  <c r="C38" i="8"/>
  <c r="X151" i="8"/>
  <c r="D82" i="8" s="1"/>
  <c r="D38" i="8"/>
  <c r="Y152" i="8"/>
  <c r="E83" i="8" s="1"/>
  <c r="E39" i="8"/>
  <c r="Y144" i="8"/>
  <c r="E75" i="8" s="1"/>
  <c r="E31" i="8"/>
  <c r="W148" i="8"/>
  <c r="C79" i="8" s="1"/>
  <c r="C35" i="8"/>
  <c r="AG119" i="8"/>
  <c r="M32" i="8" s="1"/>
  <c r="AA142" i="8"/>
  <c r="G70" i="8" s="1"/>
  <c r="AI118" i="8"/>
  <c r="AF94" i="8"/>
  <c r="AF131" i="8"/>
  <c r="L59" i="8" s="1"/>
  <c r="X64" i="8"/>
  <c r="T70" i="8"/>
  <c r="Z64" i="8"/>
  <c r="W64" i="8"/>
  <c r="V64" i="8"/>
  <c r="U64" i="8"/>
  <c r="B51" i="8"/>
  <c r="T63" i="8"/>
  <c r="AA141" i="12"/>
  <c r="G69" i="12" s="1"/>
  <c r="AA142" i="12"/>
  <c r="G70" i="12" s="1"/>
  <c r="E55" i="7"/>
  <c r="G55" i="7" s="1"/>
  <c r="H31" i="9"/>
  <c r="AA133" i="8"/>
  <c r="G61" i="8" s="1"/>
  <c r="AB140" i="9"/>
  <c r="H69" i="9" s="1"/>
  <c r="AA139" i="6"/>
  <c r="G67" i="6" s="1"/>
  <c r="Z144" i="12"/>
  <c r="F75" i="12" s="1"/>
  <c r="AA140" i="6"/>
  <c r="G68" i="6" s="1"/>
  <c r="F63" i="7"/>
  <c r="AI143" i="8"/>
  <c r="O74" i="8" s="1"/>
  <c r="F65" i="7"/>
  <c r="S128" i="6"/>
  <c r="S127" i="6" s="1"/>
  <c r="S126" i="6" s="1"/>
  <c r="S125" i="6" s="1"/>
  <c r="S124" i="6" s="1"/>
  <c r="S123" i="6" s="1"/>
  <c r="S122" i="6" s="1"/>
  <c r="S121" i="6" s="1"/>
  <c r="S120" i="6" s="1"/>
  <c r="S119" i="6" s="1"/>
  <c r="S118" i="6" s="1"/>
  <c r="S117" i="6" s="1"/>
  <c r="S8" i="6" s="1"/>
  <c r="A88" i="6" s="1"/>
  <c r="X128" i="6"/>
  <c r="Y128" i="6"/>
  <c r="AB128" i="6"/>
  <c r="H41" i="6" s="1"/>
  <c r="Z128" i="6"/>
  <c r="W128" i="6"/>
  <c r="AF143" i="9"/>
  <c r="L75" i="9" s="1"/>
  <c r="AF106" i="9"/>
  <c r="L16" i="9"/>
  <c r="AD143" i="6"/>
  <c r="J74" i="6" s="1"/>
  <c r="J15" i="6"/>
  <c r="AD106" i="6"/>
  <c r="AI95" i="8"/>
  <c r="AA143" i="6"/>
  <c r="G74" i="6" s="1"/>
  <c r="AH105" i="6"/>
  <c r="G15" i="6"/>
  <c r="G20" i="12"/>
  <c r="AA123" i="8"/>
  <c r="G21" i="12"/>
  <c r="AG131" i="9"/>
  <c r="M60" i="9" s="1"/>
  <c r="AG94" i="9"/>
  <c r="Z121" i="6"/>
  <c r="W121" i="6"/>
  <c r="X121" i="6"/>
  <c r="Y121" i="6"/>
  <c r="AB121" i="6"/>
  <c r="H34" i="6" s="1"/>
  <c r="AB132" i="9"/>
  <c r="H61" i="9" s="1"/>
  <c r="H23" i="9"/>
  <c r="AA127" i="8"/>
  <c r="AA137" i="12"/>
  <c r="G65" i="12" s="1"/>
  <c r="AE143" i="12"/>
  <c r="K74" i="12" s="1"/>
  <c r="AE106" i="12"/>
  <c r="K15" i="12"/>
  <c r="X118" i="9"/>
  <c r="D32" i="9" s="1"/>
  <c r="W118" i="9"/>
  <c r="C32" i="9" s="1"/>
  <c r="Y118" i="9"/>
  <c r="E32" i="9" s="1"/>
  <c r="Z118" i="9"/>
  <c r="AA118" i="9"/>
  <c r="G32" i="9" s="1"/>
  <c r="AB149" i="8"/>
  <c r="H80" i="8" s="1"/>
  <c r="H20" i="9"/>
  <c r="L17" i="8"/>
  <c r="AF108" i="8"/>
  <c r="G26" i="6"/>
  <c r="X120" i="6"/>
  <c r="Y120" i="6"/>
  <c r="AB120" i="6"/>
  <c r="H33" i="6" s="1"/>
  <c r="Z120" i="6"/>
  <c r="W120" i="6"/>
  <c r="L65" i="7"/>
  <c r="K65" i="7"/>
  <c r="AG143" i="6"/>
  <c r="M74" i="6" s="1"/>
  <c r="AG106" i="6"/>
  <c r="M15" i="6"/>
  <c r="W123" i="9"/>
  <c r="Z123" i="9"/>
  <c r="F37" i="9" s="1"/>
  <c r="AA123" i="9"/>
  <c r="X123" i="9"/>
  <c r="Y123" i="9"/>
  <c r="AE143" i="9"/>
  <c r="K75" i="9" s="1"/>
  <c r="AE106" i="9"/>
  <c r="K16" i="9"/>
  <c r="K57" i="7"/>
  <c r="L61" i="7"/>
  <c r="K61" i="7"/>
  <c r="AD96" i="8"/>
  <c r="AB138" i="9"/>
  <c r="H67" i="9" s="1"/>
  <c r="AF131" i="6"/>
  <c r="L59" i="6" s="1"/>
  <c r="AF94" i="6"/>
  <c r="Y122" i="9"/>
  <c r="Z122" i="9"/>
  <c r="F36" i="9" s="1"/>
  <c r="AA122" i="9"/>
  <c r="X122" i="9"/>
  <c r="W122" i="9"/>
  <c r="AA119" i="8"/>
  <c r="F59" i="7"/>
  <c r="AA131" i="6"/>
  <c r="G59" i="6" s="1"/>
  <c r="AH93" i="6"/>
  <c r="AF118" i="8"/>
  <c r="L31" i="8" s="1"/>
  <c r="AF143" i="8"/>
  <c r="L74" i="8" s="1"/>
  <c r="G30" i="8"/>
  <c r="Y126" i="9"/>
  <c r="Z126" i="9"/>
  <c r="F40" i="9" s="1"/>
  <c r="AA126" i="9"/>
  <c r="X126" i="9"/>
  <c r="W126" i="9"/>
  <c r="AA134" i="6"/>
  <c r="G62" i="6" s="1"/>
  <c r="X119" i="9"/>
  <c r="Y119" i="9"/>
  <c r="W119" i="9"/>
  <c r="Z119" i="9"/>
  <c r="F33" i="9" s="1"/>
  <c r="AA119" i="9"/>
  <c r="G22" i="6"/>
  <c r="AA132" i="6"/>
  <c r="G60" i="6" s="1"/>
  <c r="X125" i="9"/>
  <c r="Y125" i="9"/>
  <c r="W125" i="9"/>
  <c r="Z125" i="9"/>
  <c r="F39" i="9" s="1"/>
  <c r="AA125" i="9"/>
  <c r="L55" i="7"/>
  <c r="J67" i="7"/>
  <c r="G17" i="12"/>
  <c r="AB127" i="12"/>
  <c r="H40" i="12" s="1"/>
  <c r="W127" i="12"/>
  <c r="X127" i="12"/>
  <c r="Z127" i="12"/>
  <c r="Y127" i="12"/>
  <c r="G22" i="12"/>
  <c r="G24" i="12"/>
  <c r="AE119" i="8"/>
  <c r="AB154" i="8"/>
  <c r="H85" i="8" s="1"/>
  <c r="AA128" i="8"/>
  <c r="AA131" i="12"/>
  <c r="G59" i="12" s="1"/>
  <c r="AH93" i="12"/>
  <c r="AA137" i="8"/>
  <c r="G65" i="8" s="1"/>
  <c r="X119" i="6"/>
  <c r="Y119" i="6"/>
  <c r="AB119" i="6"/>
  <c r="H32" i="6" s="1"/>
  <c r="Z119" i="6"/>
  <c r="W119" i="6"/>
  <c r="AB134" i="9"/>
  <c r="H63" i="9" s="1"/>
  <c r="AB135" i="9"/>
  <c r="H64" i="9" s="1"/>
  <c r="AB150" i="8"/>
  <c r="H81" i="8" s="1"/>
  <c r="AA124" i="8"/>
  <c r="K63" i="7"/>
  <c r="AF118" i="12"/>
  <c r="L31" i="12" s="1"/>
  <c r="AD131" i="12"/>
  <c r="J59" i="12" s="1"/>
  <c r="AD94" i="12"/>
  <c r="AF143" i="12"/>
  <c r="L74" i="12" s="1"/>
  <c r="AF106" i="12"/>
  <c r="L15" i="12"/>
  <c r="G26" i="12"/>
  <c r="AE95" i="8"/>
  <c r="AE132" i="8"/>
  <c r="K60" i="8" s="1"/>
  <c r="S128" i="9"/>
  <c r="S127" i="9" s="1"/>
  <c r="S126" i="9" s="1"/>
  <c r="S125" i="9" s="1"/>
  <c r="S124" i="9" s="1"/>
  <c r="S123" i="9" s="1"/>
  <c r="S122" i="9" s="1"/>
  <c r="S121" i="9" s="1"/>
  <c r="S120" i="9" s="1"/>
  <c r="S119" i="9" s="1"/>
  <c r="S118" i="9" s="1"/>
  <c r="S117" i="9" s="1"/>
  <c r="S8" i="9" s="1"/>
  <c r="A88" i="9" s="1"/>
  <c r="X128" i="9"/>
  <c r="W128" i="9"/>
  <c r="Y128" i="9"/>
  <c r="Z128" i="9"/>
  <c r="F42" i="9" s="1"/>
  <c r="AA128" i="9"/>
  <c r="AG144" i="8"/>
  <c r="M75" i="8" s="1"/>
  <c r="AG107" i="8"/>
  <c r="AG133" i="8" s="1"/>
  <c r="M61" i="8" s="1"/>
  <c r="M16" i="8"/>
  <c r="X124" i="9"/>
  <c r="W124" i="9"/>
  <c r="Y124" i="9"/>
  <c r="Z124" i="9"/>
  <c r="F38" i="9" s="1"/>
  <c r="AA124" i="9"/>
  <c r="AG131" i="6"/>
  <c r="M59" i="6" s="1"/>
  <c r="AG94" i="6"/>
  <c r="X122" i="6"/>
  <c r="Y122" i="6"/>
  <c r="W122" i="6"/>
  <c r="Z122" i="6"/>
  <c r="AB122" i="6"/>
  <c r="H35" i="6" s="1"/>
  <c r="AD119" i="8"/>
  <c r="AF131" i="12"/>
  <c r="L59" i="12" s="1"/>
  <c r="AF94" i="12"/>
  <c r="G16" i="6"/>
  <c r="T63" i="6"/>
  <c r="B51" i="6"/>
  <c r="B51" i="12"/>
  <c r="T62" i="12" s="1"/>
  <c r="G24" i="6"/>
  <c r="H26" i="9"/>
  <c r="AD131" i="9"/>
  <c r="J60" i="9" s="1"/>
  <c r="AD94" i="9"/>
  <c r="AB119" i="12"/>
  <c r="H32" i="12" s="1"/>
  <c r="W119" i="12"/>
  <c r="X119" i="12"/>
  <c r="Z119" i="12"/>
  <c r="Y119" i="12"/>
  <c r="O30" i="8"/>
  <c r="AD143" i="12"/>
  <c r="J74" i="12" s="1"/>
  <c r="AD106" i="12"/>
  <c r="J15" i="12"/>
  <c r="AB123" i="12"/>
  <c r="H36" i="12" s="1"/>
  <c r="W123" i="12"/>
  <c r="X123" i="12"/>
  <c r="Z123" i="12"/>
  <c r="Y123" i="12"/>
  <c r="AB153" i="8"/>
  <c r="H84" i="8" s="1"/>
  <c r="AB142" i="9"/>
  <c r="H71" i="9" s="1"/>
  <c r="AB141" i="9"/>
  <c r="H70" i="9" s="1"/>
  <c r="AH143" i="8"/>
  <c r="N74" i="8" s="1"/>
  <c r="AH106" i="8"/>
  <c r="N15" i="8"/>
  <c r="Y120" i="9"/>
  <c r="Z120" i="9"/>
  <c r="F34" i="9" s="1"/>
  <c r="AA120" i="9"/>
  <c r="X120" i="9"/>
  <c r="W120" i="9"/>
  <c r="F57" i="7"/>
  <c r="Y124" i="6"/>
  <c r="AB124" i="6"/>
  <c r="H37" i="6" s="1"/>
  <c r="Z124" i="6"/>
  <c r="W124" i="6"/>
  <c r="X124" i="6"/>
  <c r="G25" i="12"/>
  <c r="G18" i="12"/>
  <c r="AB133" i="9"/>
  <c r="H62" i="9" s="1"/>
  <c r="G23" i="6"/>
  <c r="N30" i="12"/>
  <c r="AA134" i="12"/>
  <c r="G62" i="12" s="1"/>
  <c r="G23" i="12"/>
  <c r="AI131" i="12"/>
  <c r="O59" i="12" s="1"/>
  <c r="AI94" i="12"/>
  <c r="AG143" i="12"/>
  <c r="M74" i="12" s="1"/>
  <c r="AG106" i="12"/>
  <c r="M15" i="12"/>
  <c r="T64" i="9"/>
  <c r="B52" i="9"/>
  <c r="N30" i="6"/>
  <c r="AA121" i="8"/>
  <c r="AB147" i="8"/>
  <c r="H78" i="8" s="1"/>
  <c r="G25" i="6"/>
  <c r="G20" i="6"/>
  <c r="AE94" i="9"/>
  <c r="AE131" i="9"/>
  <c r="K60" i="9" s="1"/>
  <c r="AB143" i="9"/>
  <c r="H75" i="9" s="1"/>
  <c r="H16" i="9"/>
  <c r="AI105" i="9"/>
  <c r="H22" i="9"/>
  <c r="AA122" i="8"/>
  <c r="AB148" i="8"/>
  <c r="H79" i="8" s="1"/>
  <c r="G21" i="6"/>
  <c r="AG96" i="8"/>
  <c r="U64" i="6"/>
  <c r="X64" i="6"/>
  <c r="T70" i="6"/>
  <c r="W64" i="6"/>
  <c r="Z64" i="6"/>
  <c r="V64" i="6"/>
  <c r="AI93" i="9"/>
  <c r="AB131" i="9"/>
  <c r="H60" i="9" s="1"/>
  <c r="AD143" i="9"/>
  <c r="J75" i="9" s="1"/>
  <c r="AD106" i="9"/>
  <c r="J16" i="9"/>
  <c r="AA125" i="8"/>
  <c r="AB151" i="8"/>
  <c r="H82" i="8" s="1"/>
  <c r="Y126" i="6"/>
  <c r="W126" i="6"/>
  <c r="Z126" i="6"/>
  <c r="AB126" i="6"/>
  <c r="H39" i="6" s="1"/>
  <c r="X126" i="6"/>
  <c r="AI118" i="12"/>
  <c r="W144" i="12"/>
  <c r="C75" i="12" s="1"/>
  <c r="AE131" i="12"/>
  <c r="K59" i="12" s="1"/>
  <c r="AE94" i="12"/>
  <c r="G25" i="8"/>
  <c r="AA143" i="8"/>
  <c r="G74" i="8" s="1"/>
  <c r="H18" i="9"/>
  <c r="AF143" i="6"/>
  <c r="L74" i="6" s="1"/>
  <c r="AF106" i="6"/>
  <c r="L15" i="6"/>
  <c r="G17" i="8"/>
  <c r="X125" i="6"/>
  <c r="Y125" i="6"/>
  <c r="AB125" i="6"/>
  <c r="H38" i="6" s="1"/>
  <c r="Z125" i="6"/>
  <c r="W125" i="6"/>
  <c r="Z127" i="9"/>
  <c r="F41" i="9" s="1"/>
  <c r="AA127" i="9"/>
  <c r="X127" i="9"/>
  <c r="Y127" i="9"/>
  <c r="W127" i="9"/>
  <c r="AD94" i="6"/>
  <c r="AD131" i="6"/>
  <c r="J59" i="6" s="1"/>
  <c r="AE118" i="12"/>
  <c r="K31" i="12" s="1"/>
  <c r="O30" i="12"/>
  <c r="Y120" i="12"/>
  <c r="AB120" i="12"/>
  <c r="H33" i="12" s="1"/>
  <c r="W120" i="12"/>
  <c r="X120" i="12"/>
  <c r="Z120" i="12"/>
  <c r="Y124" i="12"/>
  <c r="AB124" i="12"/>
  <c r="H37" i="12" s="1"/>
  <c r="W124" i="12"/>
  <c r="X124" i="12"/>
  <c r="Z124" i="12"/>
  <c r="T71" i="9"/>
  <c r="W65" i="9"/>
  <c r="X65" i="9"/>
  <c r="V65" i="9"/>
  <c r="Y65" i="9"/>
  <c r="U65" i="9"/>
  <c r="H25" i="9"/>
  <c r="X127" i="6"/>
  <c r="Y127" i="6"/>
  <c r="AB127" i="6"/>
  <c r="H40" i="6" s="1"/>
  <c r="Z127" i="6"/>
  <c r="W127" i="6"/>
  <c r="AG143" i="9"/>
  <c r="M75" i="9" s="1"/>
  <c r="M16" i="9"/>
  <c r="AG106" i="9"/>
  <c r="L43" i="7"/>
  <c r="J51" i="7"/>
  <c r="L51" i="7" s="1"/>
  <c r="G43" i="7"/>
  <c r="E51" i="7"/>
  <c r="G51" i="7" s="1"/>
  <c r="AA120" i="8"/>
  <c r="AB146" i="8"/>
  <c r="H77" i="8" s="1"/>
  <c r="AE107" i="8"/>
  <c r="AE144" i="8"/>
  <c r="K75" i="8" s="1"/>
  <c r="K16" i="8"/>
  <c r="H19" i="9"/>
  <c r="G18" i="6"/>
  <c r="G21" i="8"/>
  <c r="AI106" i="6"/>
  <c r="AI143" i="6"/>
  <c r="O74" i="6" s="1"/>
  <c r="O15" i="6"/>
  <c r="AH131" i="9"/>
  <c r="N60" i="9" s="1"/>
  <c r="AH94" i="9"/>
  <c r="H17" i="9"/>
  <c r="X125" i="12"/>
  <c r="Z125" i="12"/>
  <c r="Y125" i="12"/>
  <c r="AB125" i="12"/>
  <c r="H38" i="12" s="1"/>
  <c r="W125" i="12"/>
  <c r="AA143" i="12"/>
  <c r="G74" i="12" s="1"/>
  <c r="AH105" i="12"/>
  <c r="G15" i="12"/>
  <c r="AH143" i="9"/>
  <c r="N75" i="9" s="1"/>
  <c r="AH106" i="9"/>
  <c r="N16" i="9"/>
  <c r="AA118" i="12"/>
  <c r="AA126" i="12"/>
  <c r="Y121" i="12"/>
  <c r="AB121" i="12"/>
  <c r="H34" i="12" s="1"/>
  <c r="W121" i="12"/>
  <c r="X121" i="12"/>
  <c r="Z121" i="12"/>
  <c r="Y122" i="12"/>
  <c r="AB122" i="12"/>
  <c r="H35" i="12" s="1"/>
  <c r="W122" i="12"/>
  <c r="X122" i="12"/>
  <c r="Z122" i="12"/>
  <c r="D67" i="7"/>
  <c r="H27" i="9"/>
  <c r="AE94" i="6"/>
  <c r="AE131" i="6"/>
  <c r="K59" i="6" s="1"/>
  <c r="Y118" i="6"/>
  <c r="E31" i="6" s="1"/>
  <c r="W118" i="6"/>
  <c r="C31" i="6" s="1"/>
  <c r="Z118" i="6"/>
  <c r="F31" i="6" s="1"/>
  <c r="AB118" i="6"/>
  <c r="H31" i="6" s="1"/>
  <c r="X118" i="6"/>
  <c r="D31" i="6" s="1"/>
  <c r="AG131" i="12"/>
  <c r="M59" i="12" s="1"/>
  <c r="AG94" i="12"/>
  <c r="AI143" i="12"/>
  <c r="O74" i="12" s="1"/>
  <c r="AI106" i="12"/>
  <c r="O15" i="12"/>
  <c r="I67" i="7"/>
  <c r="K55" i="7"/>
  <c r="Z123" i="6"/>
  <c r="W123" i="6"/>
  <c r="X123" i="6"/>
  <c r="Y123" i="6"/>
  <c r="AB123" i="6"/>
  <c r="H36" i="6" s="1"/>
  <c r="AI94" i="6"/>
  <c r="AI131" i="6"/>
  <c r="O59" i="6" s="1"/>
  <c r="G16" i="12"/>
  <c r="H24" i="9"/>
  <c r="AA126" i="8"/>
  <c r="AB152" i="8"/>
  <c r="H83" i="8" s="1"/>
  <c r="AB145" i="8"/>
  <c r="H76" i="8" s="1"/>
  <c r="G30" i="12"/>
  <c r="G19" i="12"/>
  <c r="AA132" i="12"/>
  <c r="G60" i="12" s="1"/>
  <c r="AA141" i="8"/>
  <c r="G69" i="8" s="1"/>
  <c r="S128" i="12"/>
  <c r="S127" i="12" s="1"/>
  <c r="S126" i="12" s="1"/>
  <c r="S125" i="12" s="1"/>
  <c r="S124" i="12" s="1"/>
  <c r="S123" i="12" s="1"/>
  <c r="S122" i="12" s="1"/>
  <c r="S121" i="12" s="1"/>
  <c r="S120" i="12" s="1"/>
  <c r="S119" i="12" s="1"/>
  <c r="S118" i="12" s="1"/>
  <c r="S117" i="12" s="1"/>
  <c r="S8" i="12" s="1"/>
  <c r="A88" i="12" s="1"/>
  <c r="Y128" i="12"/>
  <c r="Z128" i="12"/>
  <c r="AB128" i="12"/>
  <c r="H41" i="12" s="1"/>
  <c r="W128" i="12"/>
  <c r="X128" i="12"/>
  <c r="AA118" i="8"/>
  <c r="AB144" i="8"/>
  <c r="H75" i="8" s="1"/>
  <c r="O30" i="6"/>
  <c r="G30" i="6"/>
  <c r="Z121" i="9"/>
  <c r="F35" i="9" s="1"/>
  <c r="AA121" i="9"/>
  <c r="X121" i="9"/>
  <c r="Y121" i="9"/>
  <c r="W121" i="9"/>
  <c r="F61" i="7"/>
  <c r="AE106" i="6"/>
  <c r="K15" i="6"/>
  <c r="AE143" i="6"/>
  <c r="K74" i="6" s="1"/>
  <c r="AA142" i="6"/>
  <c r="G70" i="6" s="1"/>
  <c r="AA140" i="12"/>
  <c r="G68" i="12" s="1"/>
  <c r="AF94" i="9"/>
  <c r="AF131" i="9"/>
  <c r="L60" i="9" s="1"/>
  <c r="J16" i="8" l="1"/>
  <c r="AH131" i="8"/>
  <c r="N59" i="8" s="1"/>
  <c r="O16" i="8"/>
  <c r="AI107" i="8"/>
  <c r="O17" i="8" s="1"/>
  <c r="AI144" i="8"/>
  <c r="O75" i="8" s="1"/>
  <c r="AD144" i="8"/>
  <c r="J75" i="8" s="1"/>
  <c r="AD107" i="8"/>
  <c r="AD108" i="8" s="1"/>
  <c r="AD134" i="8" s="1"/>
  <c r="J62" i="8" s="1"/>
  <c r="H47" i="5"/>
  <c r="L47" i="5" s="1"/>
  <c r="U70" i="12"/>
  <c r="C53" i="12" s="1"/>
  <c r="U62" i="12"/>
  <c r="U69" i="12" s="1"/>
  <c r="W62" i="12"/>
  <c r="W69" i="12" s="1"/>
  <c r="Z62" i="12"/>
  <c r="V62" i="12"/>
  <c r="V69" i="12" s="1"/>
  <c r="T68" i="12"/>
  <c r="X62" i="12"/>
  <c r="X69" i="12" s="1"/>
  <c r="Z70" i="12"/>
  <c r="Y63" i="12"/>
  <c r="Y70" i="12" s="1"/>
  <c r="AG120" i="8"/>
  <c r="M33" i="8" s="1"/>
  <c r="F55" i="7"/>
  <c r="H88" i="5"/>
  <c r="L88" i="5" s="1"/>
  <c r="X153" i="9"/>
  <c r="D85" i="9" s="1"/>
  <c r="D41" i="9"/>
  <c r="AA145" i="9"/>
  <c r="G77" i="9" s="1"/>
  <c r="G33" i="9"/>
  <c r="AA148" i="9"/>
  <c r="G80" i="9" s="1"/>
  <c r="G36" i="9"/>
  <c r="W147" i="9"/>
  <c r="C79" i="9" s="1"/>
  <c r="C35" i="9"/>
  <c r="AA153" i="9"/>
  <c r="G85" i="9" s="1"/>
  <c r="G41" i="9"/>
  <c r="Y154" i="9"/>
  <c r="E86" i="9" s="1"/>
  <c r="E42" i="9"/>
  <c r="Y149" i="9"/>
  <c r="E81" i="9" s="1"/>
  <c r="E37" i="9"/>
  <c r="W149" i="9"/>
  <c r="C81" i="9" s="1"/>
  <c r="C37" i="9"/>
  <c r="X145" i="9"/>
  <c r="D77" i="9" s="1"/>
  <c r="D33" i="9"/>
  <c r="AA151" i="9"/>
  <c r="G83" i="9" s="1"/>
  <c r="G39" i="9"/>
  <c r="Y147" i="9"/>
  <c r="E79" i="9" s="1"/>
  <c r="E35" i="9"/>
  <c r="W153" i="9"/>
  <c r="C85" i="9" s="1"/>
  <c r="C41" i="9"/>
  <c r="W146" i="9"/>
  <c r="C78" i="9" s="1"/>
  <c r="C34" i="9"/>
  <c r="Y146" i="9"/>
  <c r="E78" i="9" s="1"/>
  <c r="E34" i="9"/>
  <c r="W150" i="9"/>
  <c r="C82" i="9" s="1"/>
  <c r="C38" i="9"/>
  <c r="W154" i="9"/>
  <c r="C86" i="9" s="1"/>
  <c r="C42" i="9"/>
  <c r="W145" i="9"/>
  <c r="C77" i="9" s="1"/>
  <c r="C33" i="9"/>
  <c r="W152" i="9"/>
  <c r="C84" i="9" s="1"/>
  <c r="C40" i="9"/>
  <c r="Y152" i="9"/>
  <c r="E84" i="9" s="1"/>
  <c r="E40" i="9"/>
  <c r="W148" i="9"/>
  <c r="C80" i="9" s="1"/>
  <c r="C36" i="9"/>
  <c r="Y148" i="9"/>
  <c r="E80" i="9" s="1"/>
  <c r="E36" i="9"/>
  <c r="X149" i="9"/>
  <c r="D81" i="9" s="1"/>
  <c r="D37" i="9"/>
  <c r="AA147" i="9"/>
  <c r="G79" i="9" s="1"/>
  <c r="G35" i="9"/>
  <c r="AA146" i="9"/>
  <c r="G78" i="9" s="1"/>
  <c r="G34" i="9"/>
  <c r="Y151" i="9"/>
  <c r="E83" i="9" s="1"/>
  <c r="E39" i="9"/>
  <c r="AA152" i="9"/>
  <c r="G84" i="9" s="1"/>
  <c r="G40" i="9"/>
  <c r="Y150" i="9"/>
  <c r="E82" i="9" s="1"/>
  <c r="E38" i="9"/>
  <c r="X151" i="9"/>
  <c r="D83" i="9" s="1"/>
  <c r="D39" i="9"/>
  <c r="X147" i="9"/>
  <c r="D79" i="9" s="1"/>
  <c r="D35" i="9"/>
  <c r="Y153" i="9"/>
  <c r="E85" i="9" s="1"/>
  <c r="E41" i="9"/>
  <c r="X146" i="9"/>
  <c r="D78" i="9" s="1"/>
  <c r="D34" i="9"/>
  <c r="AA150" i="9"/>
  <c r="G82" i="9" s="1"/>
  <c r="G38" i="9"/>
  <c r="X150" i="9"/>
  <c r="D82" i="9" s="1"/>
  <c r="D38" i="9"/>
  <c r="AA154" i="9"/>
  <c r="G86" i="9" s="1"/>
  <c r="G42" i="9"/>
  <c r="X154" i="9"/>
  <c r="D86" i="9" s="1"/>
  <c r="D42" i="9"/>
  <c r="W151" i="9"/>
  <c r="C83" i="9" s="1"/>
  <c r="C39" i="9"/>
  <c r="Y145" i="9"/>
  <c r="E77" i="9" s="1"/>
  <c r="E33" i="9"/>
  <c r="X152" i="9"/>
  <c r="D84" i="9" s="1"/>
  <c r="D40" i="9"/>
  <c r="X148" i="9"/>
  <c r="D80" i="9" s="1"/>
  <c r="D36" i="9"/>
  <c r="AA149" i="9"/>
  <c r="G81" i="9" s="1"/>
  <c r="G37" i="9"/>
  <c r="AG118" i="9"/>
  <c r="M32" i="9" s="1"/>
  <c r="F32" i="9"/>
  <c r="K67" i="7"/>
  <c r="Z151" i="6"/>
  <c r="F82" i="6" s="1"/>
  <c r="F38" i="6"/>
  <c r="Y150" i="6"/>
  <c r="E81" i="6" s="1"/>
  <c r="E37" i="6"/>
  <c r="X148" i="6"/>
  <c r="D79" i="6" s="1"/>
  <c r="D35" i="6"/>
  <c r="W146" i="6"/>
  <c r="C77" i="6" s="1"/>
  <c r="C33" i="6"/>
  <c r="X147" i="6"/>
  <c r="D78" i="6" s="1"/>
  <c r="D34" i="6"/>
  <c r="X149" i="6"/>
  <c r="D80" i="6" s="1"/>
  <c r="D36" i="6"/>
  <c r="Z153" i="6"/>
  <c r="F84" i="6" s="1"/>
  <c r="F40" i="6"/>
  <c r="Z152" i="6"/>
  <c r="F83" i="6" s="1"/>
  <c r="F39" i="6"/>
  <c r="W150" i="6"/>
  <c r="C81" i="6" s="1"/>
  <c r="C37" i="6"/>
  <c r="Z148" i="6"/>
  <c r="F79" i="6" s="1"/>
  <c r="F35" i="6"/>
  <c r="Z146" i="6"/>
  <c r="F77" i="6" s="1"/>
  <c r="F33" i="6"/>
  <c r="W147" i="6"/>
  <c r="C78" i="6" s="1"/>
  <c r="C34" i="6"/>
  <c r="W154" i="6"/>
  <c r="C85" i="6" s="1"/>
  <c r="C41" i="6"/>
  <c r="X154" i="6"/>
  <c r="D85" i="6" s="1"/>
  <c r="D41" i="6"/>
  <c r="Y149" i="6"/>
  <c r="E80" i="6" s="1"/>
  <c r="E36" i="6"/>
  <c r="X153" i="6"/>
  <c r="D84" i="6" s="1"/>
  <c r="D40" i="6"/>
  <c r="X150" i="6"/>
  <c r="D81" i="6" s="1"/>
  <c r="D37" i="6"/>
  <c r="Z145" i="6"/>
  <c r="F76" i="6" s="1"/>
  <c r="F32" i="6"/>
  <c r="X146" i="6"/>
  <c r="D77" i="6" s="1"/>
  <c r="D33" i="6"/>
  <c r="Y154" i="6"/>
  <c r="E85" i="6" s="1"/>
  <c r="E41" i="6"/>
  <c r="W149" i="6"/>
  <c r="C80" i="6" s="1"/>
  <c r="C36" i="6"/>
  <c r="Y151" i="6"/>
  <c r="E82" i="6" s="1"/>
  <c r="E38" i="6"/>
  <c r="W152" i="6"/>
  <c r="C83" i="6" s="1"/>
  <c r="C39" i="6"/>
  <c r="Z150" i="6"/>
  <c r="F81" i="6" s="1"/>
  <c r="F37" i="6"/>
  <c r="W148" i="6"/>
  <c r="C79" i="6" s="1"/>
  <c r="C35" i="6"/>
  <c r="Y145" i="6"/>
  <c r="E76" i="6" s="1"/>
  <c r="E32" i="6"/>
  <c r="Z147" i="6"/>
  <c r="F78" i="6" s="1"/>
  <c r="F34" i="6"/>
  <c r="Z154" i="6"/>
  <c r="F85" i="6" s="1"/>
  <c r="F41" i="6"/>
  <c r="W153" i="6"/>
  <c r="C84" i="6" s="1"/>
  <c r="C40" i="6"/>
  <c r="Z149" i="6"/>
  <c r="F80" i="6" s="1"/>
  <c r="F36" i="6"/>
  <c r="Y153" i="6"/>
  <c r="E84" i="6" s="1"/>
  <c r="E40" i="6"/>
  <c r="W151" i="6"/>
  <c r="C82" i="6" s="1"/>
  <c r="C38" i="6"/>
  <c r="X151" i="6"/>
  <c r="D82" i="6" s="1"/>
  <c r="D38" i="6"/>
  <c r="X152" i="6"/>
  <c r="D83" i="6" s="1"/>
  <c r="D39" i="6"/>
  <c r="Y152" i="6"/>
  <c r="E83" i="6" s="1"/>
  <c r="E39" i="6"/>
  <c r="Y148" i="6"/>
  <c r="E79" i="6" s="1"/>
  <c r="E35" i="6"/>
  <c r="W145" i="6"/>
  <c r="C76" i="6" s="1"/>
  <c r="C32" i="6"/>
  <c r="X145" i="6"/>
  <c r="D76" i="6" s="1"/>
  <c r="D32" i="6"/>
  <c r="Y146" i="6"/>
  <c r="E77" i="6" s="1"/>
  <c r="E33" i="6"/>
  <c r="Y147" i="6"/>
  <c r="E78" i="6" s="1"/>
  <c r="E34" i="6"/>
  <c r="Y148" i="12"/>
  <c r="E79" i="12" s="1"/>
  <c r="E35" i="12"/>
  <c r="Y151" i="12"/>
  <c r="E82" i="12" s="1"/>
  <c r="E38" i="12"/>
  <c r="Z146" i="12"/>
  <c r="F77" i="12" s="1"/>
  <c r="F33" i="12"/>
  <c r="X145" i="12"/>
  <c r="D76" i="12" s="1"/>
  <c r="D32" i="12"/>
  <c r="Y153" i="12"/>
  <c r="E84" i="12" s="1"/>
  <c r="E40" i="12"/>
  <c r="Z154" i="12"/>
  <c r="F85" i="12" s="1"/>
  <c r="F41" i="12"/>
  <c r="Z147" i="12"/>
  <c r="F78" i="12" s="1"/>
  <c r="F34" i="12"/>
  <c r="W150" i="12"/>
  <c r="C81" i="12" s="1"/>
  <c r="C37" i="12"/>
  <c r="AI119" i="12"/>
  <c r="O32" i="12" s="1"/>
  <c r="O31" i="12"/>
  <c r="W145" i="12"/>
  <c r="C76" i="12" s="1"/>
  <c r="C32" i="12"/>
  <c r="Z153" i="12"/>
  <c r="F84" i="12" s="1"/>
  <c r="F40" i="12"/>
  <c r="Y147" i="12"/>
  <c r="E78" i="12" s="1"/>
  <c r="E34" i="12"/>
  <c r="X146" i="12"/>
  <c r="D77" i="12" s="1"/>
  <c r="D33" i="12"/>
  <c r="X154" i="12"/>
  <c r="D85" i="12" s="1"/>
  <c r="D41" i="12"/>
  <c r="W148" i="12"/>
  <c r="C79" i="12" s="1"/>
  <c r="C35" i="12"/>
  <c r="X147" i="12"/>
  <c r="D78" i="12" s="1"/>
  <c r="D34" i="12"/>
  <c r="AA152" i="12"/>
  <c r="G83" i="12" s="1"/>
  <c r="G39" i="12"/>
  <c r="W151" i="12"/>
  <c r="C82" i="12" s="1"/>
  <c r="C38" i="12"/>
  <c r="X151" i="12"/>
  <c r="D82" i="12" s="1"/>
  <c r="D38" i="12"/>
  <c r="W146" i="12"/>
  <c r="C77" i="12" s="1"/>
  <c r="C33" i="12"/>
  <c r="Z149" i="12"/>
  <c r="F80" i="12" s="1"/>
  <c r="F36" i="12"/>
  <c r="Y145" i="12"/>
  <c r="E76" i="12" s="1"/>
  <c r="E32" i="12"/>
  <c r="X153" i="12"/>
  <c r="D84" i="12" s="1"/>
  <c r="D40" i="12"/>
  <c r="Z148" i="12"/>
  <c r="F79" i="12" s="1"/>
  <c r="F35" i="12"/>
  <c r="X150" i="12"/>
  <c r="D81" i="12" s="1"/>
  <c r="D37" i="12"/>
  <c r="Y146" i="12"/>
  <c r="E77" i="12" s="1"/>
  <c r="E33" i="12"/>
  <c r="W149" i="12"/>
  <c r="C80" i="12" s="1"/>
  <c r="C36" i="12"/>
  <c r="X148" i="12"/>
  <c r="D79" i="12" s="1"/>
  <c r="D35" i="12"/>
  <c r="Z151" i="12"/>
  <c r="F82" i="12" s="1"/>
  <c r="F38" i="12"/>
  <c r="Y149" i="12"/>
  <c r="E80" i="12" s="1"/>
  <c r="E36" i="12"/>
  <c r="Y154" i="12"/>
  <c r="E85" i="12" s="1"/>
  <c r="E41" i="12"/>
  <c r="W154" i="12"/>
  <c r="C85" i="12" s="1"/>
  <c r="C41" i="12"/>
  <c r="W147" i="12"/>
  <c r="C78" i="12" s="1"/>
  <c r="C34" i="12"/>
  <c r="AA144" i="12"/>
  <c r="G75" i="12" s="1"/>
  <c r="G31" i="12"/>
  <c r="Z150" i="12"/>
  <c r="F81" i="12" s="1"/>
  <c r="F37" i="12"/>
  <c r="Y150" i="12"/>
  <c r="E81" i="12" s="1"/>
  <c r="E37" i="12"/>
  <c r="X149" i="12"/>
  <c r="D80" i="12" s="1"/>
  <c r="D36" i="12"/>
  <c r="Z145" i="12"/>
  <c r="F76" i="12" s="1"/>
  <c r="F32" i="12"/>
  <c r="W153" i="12"/>
  <c r="C84" i="12" s="1"/>
  <c r="C40" i="12"/>
  <c r="AA154" i="8"/>
  <c r="G85" i="8" s="1"/>
  <c r="G41" i="8"/>
  <c r="AA151" i="8"/>
  <c r="G82" i="8" s="1"/>
  <c r="G38" i="8"/>
  <c r="AA148" i="8"/>
  <c r="G79" i="8" s="1"/>
  <c r="G35" i="8"/>
  <c r="AA144" i="8"/>
  <c r="G75" i="8" s="1"/>
  <c r="G31" i="8"/>
  <c r="AE120" i="8"/>
  <c r="K32" i="8"/>
  <c r="AA145" i="8"/>
  <c r="G76" i="8" s="1"/>
  <c r="G32" i="8"/>
  <c r="AG121" i="8"/>
  <c r="AA150" i="8"/>
  <c r="G81" i="8" s="1"/>
  <c r="G37" i="8"/>
  <c r="AA153" i="8"/>
  <c r="G84" i="8" s="1"/>
  <c r="G40" i="8"/>
  <c r="AA152" i="8"/>
  <c r="G83" i="8" s="1"/>
  <c r="G39" i="8"/>
  <c r="AA147" i="8"/>
  <c r="G78" i="8" s="1"/>
  <c r="G34" i="8"/>
  <c r="AA149" i="8"/>
  <c r="G80" i="8" s="1"/>
  <c r="G36" i="8"/>
  <c r="AI119" i="8"/>
  <c r="O31" i="8"/>
  <c r="AA146" i="8"/>
  <c r="G77" i="8" s="1"/>
  <c r="G33" i="8"/>
  <c r="AD120" i="8"/>
  <c r="J32" i="8"/>
  <c r="T69" i="8"/>
  <c r="Z63" i="8"/>
  <c r="Z70" i="8" s="1"/>
  <c r="W63" i="8"/>
  <c r="W70" i="8" s="1"/>
  <c r="U63" i="8"/>
  <c r="V63" i="8"/>
  <c r="V70" i="8" s="1"/>
  <c r="X63" i="8"/>
  <c r="X70" i="8" s="1"/>
  <c r="Z65" i="9"/>
  <c r="T62" i="8"/>
  <c r="B50" i="8"/>
  <c r="Y64" i="8"/>
  <c r="AF95" i="8"/>
  <c r="AF132" i="8"/>
  <c r="L60" i="8" s="1"/>
  <c r="E67" i="7"/>
  <c r="F67" i="7" s="1"/>
  <c r="AE119" i="12"/>
  <c r="K32" i="12" s="1"/>
  <c r="AA128" i="12"/>
  <c r="AB154" i="12"/>
  <c r="H85" i="12" s="1"/>
  <c r="AA118" i="6"/>
  <c r="G31" i="6" s="1"/>
  <c r="AB144" i="6"/>
  <c r="H75" i="6" s="1"/>
  <c r="AA121" i="12"/>
  <c r="AB147" i="12"/>
  <c r="H78" i="12" s="1"/>
  <c r="AA123" i="6"/>
  <c r="AB149" i="6"/>
  <c r="H80" i="6" s="1"/>
  <c r="W144" i="6"/>
  <c r="C75" i="6" s="1"/>
  <c r="AD118" i="6"/>
  <c r="AH118" i="8"/>
  <c r="AH107" i="9"/>
  <c r="N17" i="9"/>
  <c r="AA125" i="12"/>
  <c r="AB151" i="12"/>
  <c r="H82" i="12" s="1"/>
  <c r="AA127" i="6"/>
  <c r="AB153" i="6"/>
  <c r="H84" i="6" s="1"/>
  <c r="AA120" i="12"/>
  <c r="AB146" i="12"/>
  <c r="H77" i="12" s="1"/>
  <c r="J17" i="9"/>
  <c r="AD107" i="9"/>
  <c r="AI106" i="9"/>
  <c r="O16" i="9"/>
  <c r="AI143" i="9"/>
  <c r="O75" i="9" s="1"/>
  <c r="AE95" i="9"/>
  <c r="AE132" i="9"/>
  <c r="K61" i="9" s="1"/>
  <c r="V64" i="9"/>
  <c r="V71" i="9" s="1"/>
  <c r="U64" i="9"/>
  <c r="U71" i="9" s="1"/>
  <c r="T70" i="9"/>
  <c r="Y64" i="9"/>
  <c r="Y71" i="9" s="1"/>
  <c r="X64" i="9"/>
  <c r="W64" i="9"/>
  <c r="W71" i="9" s="1"/>
  <c r="AI132" i="12"/>
  <c r="O60" i="12" s="1"/>
  <c r="AI95" i="12"/>
  <c r="AA124" i="6"/>
  <c r="AB150" i="6"/>
  <c r="H81" i="6" s="1"/>
  <c r="AA119" i="12"/>
  <c r="AB145" i="12"/>
  <c r="H76" i="12" s="1"/>
  <c r="AD132" i="9"/>
  <c r="J61" i="9" s="1"/>
  <c r="AD95" i="9"/>
  <c r="B50" i="6"/>
  <c r="T62" i="6"/>
  <c r="AE133" i="8"/>
  <c r="K61" i="8" s="1"/>
  <c r="AE96" i="8"/>
  <c r="AF144" i="12"/>
  <c r="L75" i="12" s="1"/>
  <c r="AF107" i="12"/>
  <c r="L16" i="12"/>
  <c r="AF119" i="12"/>
  <c r="AA119" i="6"/>
  <c r="AB145" i="6"/>
  <c r="H76" i="6" s="1"/>
  <c r="AH131" i="12"/>
  <c r="N59" i="12" s="1"/>
  <c r="AH94" i="12"/>
  <c r="AB125" i="9"/>
  <c r="Z151" i="9"/>
  <c r="F83" i="9" s="1"/>
  <c r="AB119" i="9"/>
  <c r="Z145" i="9"/>
  <c r="F77" i="9" s="1"/>
  <c r="AI118" i="6"/>
  <c r="AD97" i="8"/>
  <c r="AA144" i="9"/>
  <c r="G76" i="9" s="1"/>
  <c r="AH118" i="9"/>
  <c r="AE118" i="9"/>
  <c r="X144" i="9"/>
  <c r="D76" i="9" s="1"/>
  <c r="AI132" i="6"/>
  <c r="O60" i="6" s="1"/>
  <c r="AI95" i="6"/>
  <c r="AI144" i="12"/>
  <c r="O75" i="12" s="1"/>
  <c r="AI107" i="12"/>
  <c r="O16" i="12"/>
  <c r="AE118" i="6"/>
  <c r="X144" i="6"/>
  <c r="D75" i="6" s="1"/>
  <c r="Y144" i="6"/>
  <c r="E75" i="6" s="1"/>
  <c r="AF118" i="6"/>
  <c r="AA122" i="12"/>
  <c r="AB148" i="12"/>
  <c r="H79" i="12" s="1"/>
  <c r="AH143" i="12"/>
  <c r="N74" i="12" s="1"/>
  <c r="N15" i="12"/>
  <c r="AH106" i="12"/>
  <c r="AD95" i="6"/>
  <c r="AD132" i="6"/>
  <c r="J60" i="6" s="1"/>
  <c r="AA125" i="6"/>
  <c r="AB151" i="6"/>
  <c r="H82" i="6" s="1"/>
  <c r="Y64" i="6"/>
  <c r="AH107" i="8"/>
  <c r="N16" i="8"/>
  <c r="AD144" i="12"/>
  <c r="J75" i="12" s="1"/>
  <c r="AD107" i="12"/>
  <c r="J16" i="12"/>
  <c r="AH118" i="12"/>
  <c r="N31" i="12" s="1"/>
  <c r="X63" i="6"/>
  <c r="X70" i="6" s="1"/>
  <c r="T69" i="6"/>
  <c r="W63" i="6"/>
  <c r="W70" i="6" s="1"/>
  <c r="V63" i="6"/>
  <c r="V70" i="6" s="1"/>
  <c r="Z63" i="6"/>
  <c r="U63" i="6"/>
  <c r="U70" i="6" s="1"/>
  <c r="AA127" i="12"/>
  <c r="AB153" i="12"/>
  <c r="H84" i="12" s="1"/>
  <c r="L67" i="7"/>
  <c r="AB126" i="9"/>
  <c r="Z152" i="9"/>
  <c r="F84" i="9" s="1"/>
  <c r="AF119" i="8"/>
  <c r="L32" i="8" s="1"/>
  <c r="AF144" i="8"/>
  <c r="L75" i="8" s="1"/>
  <c r="AB122" i="9"/>
  <c r="Z148" i="9"/>
  <c r="F80" i="9" s="1"/>
  <c r="F51" i="7"/>
  <c r="AE107" i="9"/>
  <c r="K17" i="9"/>
  <c r="M16" i="6"/>
  <c r="AG107" i="6"/>
  <c r="AA120" i="6"/>
  <c r="AB146" i="6"/>
  <c r="H77" i="6" s="1"/>
  <c r="AB118" i="9"/>
  <c r="H32" i="9" s="1"/>
  <c r="Z144" i="9"/>
  <c r="F76" i="9" s="1"/>
  <c r="AH95" i="9"/>
  <c r="AH132" i="9"/>
  <c r="N61" i="9" s="1"/>
  <c r="O16" i="6"/>
  <c r="AI107" i="6"/>
  <c r="AE145" i="8"/>
  <c r="K76" i="8" s="1"/>
  <c r="AE108" i="8"/>
  <c r="K17" i="8"/>
  <c r="AE132" i="12"/>
  <c r="K60" i="12" s="1"/>
  <c r="AE95" i="12"/>
  <c r="AG97" i="8"/>
  <c r="AG144" i="12"/>
  <c r="M75" i="12" s="1"/>
  <c r="AG107" i="12"/>
  <c r="M16" i="12"/>
  <c r="AB120" i="9"/>
  <c r="Z146" i="9"/>
  <c r="F78" i="9" s="1"/>
  <c r="B50" i="12"/>
  <c r="T61" i="12" s="1"/>
  <c r="AA122" i="6"/>
  <c r="AB148" i="6"/>
  <c r="H79" i="6" s="1"/>
  <c r="AB124" i="9"/>
  <c r="Z150" i="9"/>
  <c r="F82" i="9" s="1"/>
  <c r="AB128" i="9"/>
  <c r="Z154" i="9"/>
  <c r="F86" i="9" s="1"/>
  <c r="AD95" i="12"/>
  <c r="AD132" i="12"/>
  <c r="J60" i="12" s="1"/>
  <c r="AH94" i="6"/>
  <c r="AH131" i="6"/>
  <c r="N59" i="6" s="1"/>
  <c r="AB123" i="9"/>
  <c r="Z149" i="9"/>
  <c r="F81" i="9" s="1"/>
  <c r="L18" i="8"/>
  <c r="AF109" i="8"/>
  <c r="AF118" i="9"/>
  <c r="Y144" i="9"/>
  <c r="E76" i="9" s="1"/>
  <c r="AE144" i="12"/>
  <c r="K75" i="12" s="1"/>
  <c r="AE107" i="12"/>
  <c r="K16" i="12"/>
  <c r="AA121" i="6"/>
  <c r="AB147" i="6"/>
  <c r="H78" i="6" s="1"/>
  <c r="AI96" i="8"/>
  <c r="AD107" i="6"/>
  <c r="J16" i="6"/>
  <c r="AF107" i="9"/>
  <c r="L17" i="9"/>
  <c r="AA128" i="6"/>
  <c r="AB154" i="6"/>
  <c r="H85" i="6" s="1"/>
  <c r="AD119" i="12"/>
  <c r="AF132" i="9"/>
  <c r="L61" i="9" s="1"/>
  <c r="AF95" i="9"/>
  <c r="AB127" i="9"/>
  <c r="Z153" i="9"/>
  <c r="F85" i="9" s="1"/>
  <c r="K16" i="6"/>
  <c r="AE107" i="6"/>
  <c r="AB121" i="9"/>
  <c r="Z147" i="9"/>
  <c r="F79" i="9" s="1"/>
  <c r="AG132" i="12"/>
  <c r="M60" i="12" s="1"/>
  <c r="AG95" i="12"/>
  <c r="Z144" i="6"/>
  <c r="F75" i="6" s="1"/>
  <c r="AG118" i="6"/>
  <c r="AE132" i="6"/>
  <c r="K60" i="6" s="1"/>
  <c r="AE95" i="6"/>
  <c r="AD145" i="8"/>
  <c r="J76" i="8" s="1"/>
  <c r="J17" i="8"/>
  <c r="AG107" i="9"/>
  <c r="M17" i="9"/>
  <c r="AA124" i="12"/>
  <c r="AB150" i="12"/>
  <c r="H81" i="12" s="1"/>
  <c r="AF107" i="6"/>
  <c r="L16" i="6"/>
  <c r="AA126" i="6"/>
  <c r="AB152" i="6"/>
  <c r="H83" i="6" s="1"/>
  <c r="AI131" i="9"/>
  <c r="O60" i="9" s="1"/>
  <c r="AI94" i="9"/>
  <c r="AH95" i="8"/>
  <c r="AH132" i="8"/>
  <c r="N60" i="8" s="1"/>
  <c r="B51" i="9"/>
  <c r="T63" i="9"/>
  <c r="AA123" i="12"/>
  <c r="AB149" i="12"/>
  <c r="H80" i="12" s="1"/>
  <c r="AF132" i="12"/>
  <c r="L60" i="12" s="1"/>
  <c r="AF95" i="12"/>
  <c r="AG95" i="6"/>
  <c r="AG132" i="6"/>
  <c r="M60" i="6" s="1"/>
  <c r="AG145" i="8"/>
  <c r="M76" i="8" s="1"/>
  <c r="AG108" i="8"/>
  <c r="M17" i="8"/>
  <c r="AF132" i="6"/>
  <c r="L60" i="6" s="1"/>
  <c r="AF95" i="6"/>
  <c r="K51" i="7"/>
  <c r="W144" i="9"/>
  <c r="C76" i="9" s="1"/>
  <c r="AD118" i="9"/>
  <c r="AG132" i="9"/>
  <c r="M61" i="9" s="1"/>
  <c r="AG95" i="9"/>
  <c r="AH106" i="6"/>
  <c r="AH143" i="6"/>
  <c r="N74" i="6" s="1"/>
  <c r="N15" i="6"/>
  <c r="AG119" i="12"/>
  <c r="AI108" i="8" l="1"/>
  <c r="AI133" i="8"/>
  <c r="O61" i="8" s="1"/>
  <c r="AI145" i="8"/>
  <c r="O76" i="8" s="1"/>
  <c r="AD133" i="8"/>
  <c r="J61" i="8" s="1"/>
  <c r="Z69" i="12"/>
  <c r="Y62" i="12"/>
  <c r="Y69" i="12" s="1"/>
  <c r="AE120" i="12"/>
  <c r="AE121" i="12" s="1"/>
  <c r="X61" i="12"/>
  <c r="X68" i="12" s="1"/>
  <c r="V61" i="12"/>
  <c r="V68" i="12" s="1"/>
  <c r="U61" i="12"/>
  <c r="U68" i="12" s="1"/>
  <c r="Z61" i="12"/>
  <c r="W61" i="12"/>
  <c r="W68" i="12" s="1"/>
  <c r="T67" i="12"/>
  <c r="G67" i="7"/>
  <c r="AG144" i="9"/>
  <c r="M76" i="9" s="1"/>
  <c r="AI120" i="12"/>
  <c r="AI121" i="12" s="1"/>
  <c r="AG119" i="9"/>
  <c r="AG120" i="9" s="1"/>
  <c r="AF119" i="9"/>
  <c r="L32" i="9"/>
  <c r="AB150" i="9"/>
  <c r="H82" i="9" s="1"/>
  <c r="H38" i="9"/>
  <c r="AB148" i="9"/>
  <c r="H80" i="9" s="1"/>
  <c r="H36" i="9"/>
  <c r="AB149" i="9"/>
  <c r="H81" i="9" s="1"/>
  <c r="H37" i="9"/>
  <c r="AB152" i="9"/>
  <c r="H84" i="9" s="1"/>
  <c r="H40" i="9"/>
  <c r="AE119" i="9"/>
  <c r="AE145" i="9" s="1"/>
  <c r="K77" i="9" s="1"/>
  <c r="K32" i="9"/>
  <c r="AH119" i="9"/>
  <c r="AH145" i="9" s="1"/>
  <c r="N77" i="9" s="1"/>
  <c r="N32" i="9"/>
  <c r="AB151" i="9"/>
  <c r="H83" i="9" s="1"/>
  <c r="H39" i="9"/>
  <c r="AB147" i="9"/>
  <c r="H79" i="9" s="1"/>
  <c r="H35" i="9"/>
  <c r="AB153" i="9"/>
  <c r="H85" i="9" s="1"/>
  <c r="H41" i="9"/>
  <c r="AB154" i="9"/>
  <c r="H86" i="9" s="1"/>
  <c r="H42" i="9"/>
  <c r="AB146" i="9"/>
  <c r="H78" i="9" s="1"/>
  <c r="H34" i="9"/>
  <c r="AD119" i="9"/>
  <c r="AD145" i="9" s="1"/>
  <c r="J77" i="9" s="1"/>
  <c r="J32" i="9"/>
  <c r="AB145" i="9"/>
  <c r="H77" i="9" s="1"/>
  <c r="H33" i="9"/>
  <c r="AA151" i="6"/>
  <c r="G82" i="6" s="1"/>
  <c r="G38" i="6"/>
  <c r="AF119" i="6"/>
  <c r="AF145" i="6" s="1"/>
  <c r="L76" i="6" s="1"/>
  <c r="L31" i="6"/>
  <c r="AA150" i="6"/>
  <c r="G81" i="6" s="1"/>
  <c r="G37" i="6"/>
  <c r="AA149" i="6"/>
  <c r="G80" i="6" s="1"/>
  <c r="G36" i="6"/>
  <c r="AD119" i="6"/>
  <c r="AD145" i="6" s="1"/>
  <c r="J76" i="6" s="1"/>
  <c r="J31" i="6"/>
  <c r="AG119" i="6"/>
  <c r="AG145" i="6" s="1"/>
  <c r="M76" i="6" s="1"/>
  <c r="M31" i="6"/>
  <c r="AA146" i="6"/>
  <c r="G77" i="6" s="1"/>
  <c r="G33" i="6"/>
  <c r="AA148" i="6"/>
  <c r="G79" i="6" s="1"/>
  <c r="G35" i="6"/>
  <c r="AA152" i="6"/>
  <c r="G83" i="6" s="1"/>
  <c r="G39" i="6"/>
  <c r="AA154" i="6"/>
  <c r="G85" i="6" s="1"/>
  <c r="G41" i="6"/>
  <c r="AA147" i="6"/>
  <c r="G78" i="6" s="1"/>
  <c r="G34" i="6"/>
  <c r="AE119" i="6"/>
  <c r="AE145" i="6" s="1"/>
  <c r="K76" i="6" s="1"/>
  <c r="K31" i="6"/>
  <c r="AI119" i="6"/>
  <c r="AI145" i="6" s="1"/>
  <c r="O76" i="6" s="1"/>
  <c r="O31" i="6"/>
  <c r="AA145" i="6"/>
  <c r="G76" i="6" s="1"/>
  <c r="G32" i="6"/>
  <c r="AA153" i="6"/>
  <c r="G84" i="6" s="1"/>
  <c r="G40" i="6"/>
  <c r="AG120" i="12"/>
  <c r="M32" i="12"/>
  <c r="AD120" i="12"/>
  <c r="J32" i="12"/>
  <c r="AA148" i="12"/>
  <c r="G79" i="12" s="1"/>
  <c r="G35" i="12"/>
  <c r="AA146" i="12"/>
  <c r="G77" i="12" s="1"/>
  <c r="G33" i="12"/>
  <c r="AA151" i="12"/>
  <c r="G82" i="12" s="1"/>
  <c r="G38" i="12"/>
  <c r="AA149" i="12"/>
  <c r="G80" i="12" s="1"/>
  <c r="G36" i="12"/>
  <c r="AA153" i="12"/>
  <c r="G84" i="12" s="1"/>
  <c r="G40" i="12"/>
  <c r="AA145" i="12"/>
  <c r="G76" i="12" s="1"/>
  <c r="G32" i="12"/>
  <c r="AA147" i="12"/>
  <c r="G78" i="12" s="1"/>
  <c r="G34" i="12"/>
  <c r="AA154" i="12"/>
  <c r="G85" i="12" s="1"/>
  <c r="G41" i="12"/>
  <c r="AF120" i="12"/>
  <c r="L32" i="12"/>
  <c r="AA150" i="12"/>
  <c r="G81" i="12" s="1"/>
  <c r="G37" i="12"/>
  <c r="AH119" i="8"/>
  <c r="AH145" i="8" s="1"/>
  <c r="N76" i="8" s="1"/>
  <c r="N31" i="8"/>
  <c r="AD121" i="8"/>
  <c r="J33" i="8"/>
  <c r="AI120" i="8"/>
  <c r="AI146" i="8" s="1"/>
  <c r="O77" i="8" s="1"/>
  <c r="O32" i="8"/>
  <c r="AG122" i="8"/>
  <c r="M34" i="8"/>
  <c r="AE121" i="8"/>
  <c r="K33" i="8"/>
  <c r="F53" i="8"/>
  <c r="M53" i="8"/>
  <c r="D53" i="8"/>
  <c r="K53" i="8"/>
  <c r="H53" i="8"/>
  <c r="O53" i="8"/>
  <c r="B49" i="8"/>
  <c r="T60" i="8" s="1"/>
  <c r="T61" i="8"/>
  <c r="U62" i="8"/>
  <c r="U69" i="8" s="1"/>
  <c r="Z62" i="8"/>
  <c r="X62" i="8"/>
  <c r="X69" i="8" s="1"/>
  <c r="W62" i="8"/>
  <c r="W69" i="8" s="1"/>
  <c r="V62" i="8"/>
  <c r="V69" i="8" s="1"/>
  <c r="T68" i="8"/>
  <c r="Y63" i="8"/>
  <c r="Y70" i="8" s="1"/>
  <c r="U70" i="8"/>
  <c r="AF96" i="8"/>
  <c r="AF133" i="8"/>
  <c r="L61" i="8" s="1"/>
  <c r="E53" i="8"/>
  <c r="L53" i="8"/>
  <c r="AF144" i="9"/>
  <c r="L76" i="9" s="1"/>
  <c r="AD144" i="6"/>
  <c r="J75" i="6" s="1"/>
  <c r="AE144" i="6"/>
  <c r="K75" i="6" s="1"/>
  <c r="AF144" i="6"/>
  <c r="L75" i="6" s="1"/>
  <c r="AE144" i="9"/>
  <c r="K76" i="9" s="1"/>
  <c r="AH119" i="12"/>
  <c r="AI144" i="6"/>
  <c r="O75" i="6" s="1"/>
  <c r="AH144" i="8"/>
  <c r="N75" i="8" s="1"/>
  <c r="AH144" i="9"/>
  <c r="N76" i="9" s="1"/>
  <c r="Z70" i="6"/>
  <c r="Y63" i="6"/>
  <c r="Y70" i="6" s="1"/>
  <c r="N54" i="9"/>
  <c r="G54" i="9"/>
  <c r="AI107" i="9"/>
  <c r="O17" i="9"/>
  <c r="AG96" i="6"/>
  <c r="AG133" i="6"/>
  <c r="M61" i="6" s="1"/>
  <c r="J53" i="12"/>
  <c r="T62" i="9"/>
  <c r="B50" i="9"/>
  <c r="T61" i="9" s="1"/>
  <c r="AE145" i="12"/>
  <c r="K76" i="12" s="1"/>
  <c r="AE108" i="12"/>
  <c r="K17" i="12"/>
  <c r="AF110" i="8"/>
  <c r="L19" i="8"/>
  <c r="AI108" i="6"/>
  <c r="O17" i="6"/>
  <c r="AG108" i="6"/>
  <c r="M17" i="6"/>
  <c r="AE108" i="9"/>
  <c r="K18" i="9"/>
  <c r="AG109" i="8"/>
  <c r="AG135" i="8" s="1"/>
  <c r="M63" i="8" s="1"/>
  <c r="M18" i="8"/>
  <c r="AG146" i="8"/>
  <c r="M77" i="8" s="1"/>
  <c r="AF133" i="12"/>
  <c r="L61" i="12" s="1"/>
  <c r="AF96" i="12"/>
  <c r="H53" i="12"/>
  <c r="O53" i="12" s="1"/>
  <c r="AG134" i="8"/>
  <c r="M62" i="8" s="1"/>
  <c r="AI118" i="9"/>
  <c r="AB144" i="9"/>
  <c r="H76" i="9" s="1"/>
  <c r="M53" i="6"/>
  <c r="F53" i="6"/>
  <c r="T68" i="6"/>
  <c r="W62" i="6"/>
  <c r="W69" i="6" s="1"/>
  <c r="Z62" i="6"/>
  <c r="V62" i="6"/>
  <c r="V69" i="6" s="1"/>
  <c r="U62" i="6"/>
  <c r="U69" i="6" s="1"/>
  <c r="X62" i="6"/>
  <c r="X69" i="6" s="1"/>
  <c r="AI133" i="12"/>
  <c r="O61" i="12" s="1"/>
  <c r="AI96" i="12"/>
  <c r="AG133" i="9"/>
  <c r="M62" i="9" s="1"/>
  <c r="AG96" i="9"/>
  <c r="E53" i="12"/>
  <c r="L53" i="12" s="1"/>
  <c r="AH96" i="8"/>
  <c r="AH133" i="8"/>
  <c r="N61" i="8" s="1"/>
  <c r="M18" i="9"/>
  <c r="AG108" i="9"/>
  <c r="AD146" i="8"/>
  <c r="J77" i="8" s="1"/>
  <c r="AD109" i="8"/>
  <c r="AD135" i="8" s="1"/>
  <c r="J63" i="8" s="1"/>
  <c r="J18" i="8"/>
  <c r="AF145" i="9"/>
  <c r="L77" i="9" s="1"/>
  <c r="AF108" i="9"/>
  <c r="L18" i="9"/>
  <c r="AD108" i="6"/>
  <c r="J17" i="6"/>
  <c r="AH95" i="6"/>
  <c r="AH132" i="6"/>
  <c r="N60" i="6" s="1"/>
  <c r="AD133" i="12"/>
  <c r="J61" i="12" s="1"/>
  <c r="AD96" i="12"/>
  <c r="B49" i="12"/>
  <c r="T60" i="12" s="1"/>
  <c r="AG108" i="12"/>
  <c r="AG145" i="12"/>
  <c r="M76" i="12" s="1"/>
  <c r="M17" i="12"/>
  <c r="AG98" i="8"/>
  <c r="AE146" i="8"/>
  <c r="K77" i="8" s="1"/>
  <c r="AE109" i="8"/>
  <c r="K18" i="8"/>
  <c r="AG144" i="6"/>
  <c r="M75" i="6" s="1"/>
  <c r="AF120" i="8"/>
  <c r="L33" i="8" s="1"/>
  <c r="AF145" i="8"/>
  <c r="L76" i="8" s="1"/>
  <c r="D53" i="6"/>
  <c r="K53" i="6"/>
  <c r="AI145" i="12"/>
  <c r="O76" i="12" s="1"/>
  <c r="AI108" i="12"/>
  <c r="O17" i="12"/>
  <c r="AF145" i="12"/>
  <c r="L76" i="12" s="1"/>
  <c r="AF108" i="12"/>
  <c r="L17" i="12"/>
  <c r="AI109" i="8"/>
  <c r="O18" i="8"/>
  <c r="T61" i="6"/>
  <c r="B49" i="6"/>
  <c r="T60" i="6" s="1"/>
  <c r="AE96" i="9"/>
  <c r="AE133" i="9"/>
  <c r="K62" i="9" s="1"/>
  <c r="AD108" i="9"/>
  <c r="J18" i="9"/>
  <c r="AH118" i="6"/>
  <c r="AA144" i="6"/>
  <c r="G75" i="6" s="1"/>
  <c r="AF133" i="6"/>
  <c r="L61" i="6" s="1"/>
  <c r="AF96" i="6"/>
  <c r="F53" i="12"/>
  <c r="M53" i="12" s="1"/>
  <c r="AF108" i="6"/>
  <c r="L17" i="6"/>
  <c r="AF133" i="9"/>
  <c r="L62" i="9" s="1"/>
  <c r="AF96" i="9"/>
  <c r="AH96" i="9"/>
  <c r="AH133" i="9"/>
  <c r="N62" i="9" s="1"/>
  <c r="AH107" i="6"/>
  <c r="N16" i="6"/>
  <c r="D53" i="12"/>
  <c r="K53" i="12" s="1"/>
  <c r="Y63" i="9"/>
  <c r="Y70" i="9" s="1"/>
  <c r="U63" i="9"/>
  <c r="U70" i="9" s="1"/>
  <c r="X63" i="9"/>
  <c r="W63" i="9"/>
  <c r="W70" i="9" s="1"/>
  <c r="V63" i="9"/>
  <c r="V70" i="9" s="1"/>
  <c r="T69" i="9"/>
  <c r="AI95" i="9"/>
  <c r="AI132" i="9"/>
  <c r="O61" i="9" s="1"/>
  <c r="AE133" i="6"/>
  <c r="K61" i="6" s="1"/>
  <c r="AE96" i="6"/>
  <c r="AG133" i="12"/>
  <c r="M61" i="12" s="1"/>
  <c r="AG96" i="12"/>
  <c r="K17" i="6"/>
  <c r="AE108" i="6"/>
  <c r="AI134" i="8"/>
  <c r="O62" i="8" s="1"/>
  <c r="AI97" i="8"/>
  <c r="AE133" i="12"/>
  <c r="K61" i="12" s="1"/>
  <c r="AE96" i="12"/>
  <c r="L53" i="6"/>
  <c r="E53" i="6"/>
  <c r="AH108" i="8"/>
  <c r="N17" i="8"/>
  <c r="AD133" i="6"/>
  <c r="J61" i="6" s="1"/>
  <c r="AD96" i="6"/>
  <c r="AD96" i="9"/>
  <c r="AD133" i="9"/>
  <c r="J62" i="9" s="1"/>
  <c r="E54" i="9"/>
  <c r="L54" i="9"/>
  <c r="J54" i="9"/>
  <c r="C54" i="9"/>
  <c r="C53" i="6"/>
  <c r="J53" i="6"/>
  <c r="AD145" i="12"/>
  <c r="J76" i="12" s="1"/>
  <c r="AD108" i="12"/>
  <c r="J17" i="12"/>
  <c r="AH144" i="12"/>
  <c r="N75" i="12" s="1"/>
  <c r="AH107" i="12"/>
  <c r="N16" i="12"/>
  <c r="AI133" i="6"/>
  <c r="O61" i="6" s="1"/>
  <c r="AI96" i="6"/>
  <c r="AD98" i="8"/>
  <c r="AH132" i="12"/>
  <c r="N60" i="12" s="1"/>
  <c r="AH95" i="12"/>
  <c r="AE134" i="8"/>
  <c r="K62" i="8" s="1"/>
  <c r="AE97" i="8"/>
  <c r="X71" i="9"/>
  <c r="Z64" i="9"/>
  <c r="Z71" i="9" s="1"/>
  <c r="K54" i="9"/>
  <c r="D54" i="9"/>
  <c r="AD144" i="9"/>
  <c r="J76" i="9" s="1"/>
  <c r="AH108" i="9"/>
  <c r="N18" i="9"/>
  <c r="M33" i="9" l="1"/>
  <c r="O33" i="12"/>
  <c r="K33" i="12"/>
  <c r="Z68" i="12"/>
  <c r="Y61" i="12"/>
  <c r="Y68" i="12" s="1"/>
  <c r="T66" i="12"/>
  <c r="V60" i="12"/>
  <c r="V67" i="12" s="1"/>
  <c r="U60" i="12"/>
  <c r="U67" i="12" s="1"/>
  <c r="W60" i="12"/>
  <c r="W67" i="12" s="1"/>
  <c r="Z60" i="12"/>
  <c r="X60" i="12"/>
  <c r="X67" i="12" s="1"/>
  <c r="T59" i="12"/>
  <c r="AG145" i="9"/>
  <c r="M77" i="9" s="1"/>
  <c r="AD120" i="9"/>
  <c r="J33" i="9"/>
  <c r="AH120" i="9"/>
  <c r="AH146" i="9" s="1"/>
  <c r="N78" i="9" s="1"/>
  <c r="N33" i="9"/>
  <c r="M34" i="9"/>
  <c r="AG121" i="9"/>
  <c r="AI119" i="9"/>
  <c r="AI145" i="9" s="1"/>
  <c r="O77" i="9" s="1"/>
  <c r="O32" i="9"/>
  <c r="AE120" i="9"/>
  <c r="AE146" i="9" s="1"/>
  <c r="K78" i="9" s="1"/>
  <c r="K33" i="9"/>
  <c r="AF120" i="9"/>
  <c r="AF146" i="9" s="1"/>
  <c r="L78" i="9" s="1"/>
  <c r="L33" i="9"/>
  <c r="AE120" i="6"/>
  <c r="AE146" i="6" s="1"/>
  <c r="K77" i="6" s="1"/>
  <c r="K32" i="6"/>
  <c r="AG120" i="6"/>
  <c r="AG146" i="6" s="1"/>
  <c r="M77" i="6" s="1"/>
  <c r="M32" i="6"/>
  <c r="AF120" i="6"/>
  <c r="AF146" i="6" s="1"/>
  <c r="L77" i="6" s="1"/>
  <c r="L32" i="6"/>
  <c r="AH119" i="6"/>
  <c r="AH145" i="6" s="1"/>
  <c r="N76" i="6" s="1"/>
  <c r="N31" i="6"/>
  <c r="AI120" i="6"/>
  <c r="O32" i="6"/>
  <c r="AD120" i="6"/>
  <c r="AD146" i="6" s="1"/>
  <c r="J77" i="6" s="1"/>
  <c r="J32" i="6"/>
  <c r="AI122" i="12"/>
  <c r="O34" i="12"/>
  <c r="AF121" i="12"/>
  <c r="L33" i="12"/>
  <c r="AD121" i="12"/>
  <c r="J33" i="12"/>
  <c r="AH120" i="12"/>
  <c r="N32" i="12"/>
  <c r="AE122" i="12"/>
  <c r="K34" i="12"/>
  <c r="AG121" i="12"/>
  <c r="M33" i="12"/>
  <c r="AG123" i="8"/>
  <c r="M35" i="8"/>
  <c r="AD122" i="8"/>
  <c r="J34" i="8"/>
  <c r="AE122" i="8"/>
  <c r="K34" i="8"/>
  <c r="AI121" i="8"/>
  <c r="AI147" i="8" s="1"/>
  <c r="O78" i="8" s="1"/>
  <c r="O33" i="8"/>
  <c r="AH120" i="8"/>
  <c r="N32" i="8"/>
  <c r="G53" i="8"/>
  <c r="N53" i="8"/>
  <c r="F52" i="8"/>
  <c r="M52" i="8"/>
  <c r="X60" i="8"/>
  <c r="Z60" i="8"/>
  <c r="W60" i="8"/>
  <c r="V60" i="8"/>
  <c r="T59" i="8"/>
  <c r="T66" i="8"/>
  <c r="U60" i="8"/>
  <c r="Z69" i="8"/>
  <c r="Y62" i="8"/>
  <c r="Y69" i="8" s="1"/>
  <c r="AF134" i="8"/>
  <c r="L62" i="8" s="1"/>
  <c r="AF97" i="8"/>
  <c r="K52" i="8"/>
  <c r="D52" i="8"/>
  <c r="J52" i="8"/>
  <c r="C52" i="8"/>
  <c r="J53" i="8"/>
  <c r="C53" i="8"/>
  <c r="E52" i="8"/>
  <c r="L52" i="8"/>
  <c r="T67" i="8"/>
  <c r="X61" i="8"/>
  <c r="X68" i="8" s="1"/>
  <c r="Z61" i="8"/>
  <c r="W61" i="8"/>
  <c r="W68" i="8" s="1"/>
  <c r="U61" i="8"/>
  <c r="U68" i="8" s="1"/>
  <c r="V61" i="8"/>
  <c r="V68" i="8" s="1"/>
  <c r="Z63" i="9"/>
  <c r="Z70" i="9" s="1"/>
  <c r="X70" i="9"/>
  <c r="AF109" i="12"/>
  <c r="AF146" i="12"/>
  <c r="L77" i="12" s="1"/>
  <c r="L18" i="12"/>
  <c r="AG99" i="8"/>
  <c r="AG146" i="12"/>
  <c r="M77" i="12" s="1"/>
  <c r="AG109" i="12"/>
  <c r="M18" i="12"/>
  <c r="J18" i="6"/>
  <c r="AD109" i="6"/>
  <c r="AH134" i="8"/>
  <c r="N62" i="8" s="1"/>
  <c r="AH97" i="8"/>
  <c r="J52" i="6"/>
  <c r="C52" i="6"/>
  <c r="E52" i="12"/>
  <c r="L52" i="12" s="1"/>
  <c r="X62" i="9"/>
  <c r="V62" i="9"/>
  <c r="V69" i="9" s="1"/>
  <c r="T68" i="9"/>
  <c r="U62" i="9"/>
  <c r="U69" i="9" s="1"/>
  <c r="W62" i="9"/>
  <c r="W69" i="9" s="1"/>
  <c r="Y62" i="9"/>
  <c r="Y69" i="9" s="1"/>
  <c r="AG134" i="6"/>
  <c r="M62" i="6" s="1"/>
  <c r="AG97" i="6"/>
  <c r="F54" i="9"/>
  <c r="M54" i="9"/>
  <c r="AI135" i="8"/>
  <c r="O63" i="8" s="1"/>
  <c r="AI98" i="8"/>
  <c r="AE135" i="8"/>
  <c r="K63" i="8" s="1"/>
  <c r="AE98" i="8"/>
  <c r="AD99" i="8"/>
  <c r="AD146" i="12"/>
  <c r="J77" i="12" s="1"/>
  <c r="AD109" i="12"/>
  <c r="J18" i="12"/>
  <c r="AG134" i="12"/>
  <c r="M62" i="12" s="1"/>
  <c r="AG97" i="12"/>
  <c r="AH109" i="9"/>
  <c r="N19" i="9"/>
  <c r="AH145" i="12"/>
  <c r="N76" i="12" s="1"/>
  <c r="AH108" i="12"/>
  <c r="N17" i="12"/>
  <c r="AD134" i="9"/>
  <c r="J63" i="9" s="1"/>
  <c r="AD97" i="9"/>
  <c r="AE134" i="12"/>
  <c r="K62" i="12" s="1"/>
  <c r="AE97" i="12"/>
  <c r="K18" i="6"/>
  <c r="AE109" i="6"/>
  <c r="AI96" i="9"/>
  <c r="AI133" i="9"/>
  <c r="O62" i="9" s="1"/>
  <c r="O54" i="9"/>
  <c r="H54" i="9"/>
  <c r="AH133" i="12"/>
  <c r="N61" i="12" s="1"/>
  <c r="AH96" i="12"/>
  <c r="AI134" i="6"/>
  <c r="O62" i="6" s="1"/>
  <c r="AI97" i="6"/>
  <c r="AD134" i="6"/>
  <c r="J62" i="6" s="1"/>
  <c r="AD97" i="6"/>
  <c r="AH146" i="8"/>
  <c r="N77" i="8" s="1"/>
  <c r="AH109" i="8"/>
  <c r="N18" i="8"/>
  <c r="AE97" i="6"/>
  <c r="AE134" i="6"/>
  <c r="K62" i="6" s="1"/>
  <c r="C53" i="9"/>
  <c r="J53" i="9"/>
  <c r="AH144" i="6"/>
  <c r="N75" i="6" s="1"/>
  <c r="AH97" i="9"/>
  <c r="AH134" i="9"/>
  <c r="N63" i="9" s="1"/>
  <c r="AF97" i="6"/>
  <c r="AF134" i="6"/>
  <c r="L62" i="6" s="1"/>
  <c r="AE134" i="9"/>
  <c r="K63" i="9" s="1"/>
  <c r="AE97" i="9"/>
  <c r="AI110" i="8"/>
  <c r="O19" i="8"/>
  <c r="AF121" i="8"/>
  <c r="L34" i="8" s="1"/>
  <c r="AF146" i="8"/>
  <c r="L77" i="8" s="1"/>
  <c r="AG146" i="9"/>
  <c r="M78" i="9" s="1"/>
  <c r="AG109" i="9"/>
  <c r="M19" i="9"/>
  <c r="AI134" i="12"/>
  <c r="O62" i="12" s="1"/>
  <c r="AI97" i="12"/>
  <c r="D52" i="6"/>
  <c r="K52" i="6"/>
  <c r="AG109" i="6"/>
  <c r="M18" i="6"/>
  <c r="AE146" i="12"/>
  <c r="K77" i="12" s="1"/>
  <c r="AE109" i="12"/>
  <c r="K18" i="12"/>
  <c r="K53" i="9"/>
  <c r="D53" i="9"/>
  <c r="G53" i="9"/>
  <c r="N53" i="9"/>
  <c r="AF134" i="9"/>
  <c r="L63" i="9" s="1"/>
  <c r="AF97" i="9"/>
  <c r="AF109" i="6"/>
  <c r="L18" i="6"/>
  <c r="AD109" i="9"/>
  <c r="AD146" i="9"/>
  <c r="J78" i="9" s="1"/>
  <c r="J19" i="9"/>
  <c r="U60" i="6"/>
  <c r="T59" i="6"/>
  <c r="X60" i="6"/>
  <c r="T66" i="6"/>
  <c r="W60" i="6"/>
  <c r="V60" i="6"/>
  <c r="Z60" i="6"/>
  <c r="AE110" i="8"/>
  <c r="K19" i="8"/>
  <c r="AE147" i="8"/>
  <c r="K78" i="8" s="1"/>
  <c r="AH133" i="6"/>
  <c r="N61" i="6" s="1"/>
  <c r="AH96" i="6"/>
  <c r="AD147" i="8"/>
  <c r="J78" i="8" s="1"/>
  <c r="AD110" i="8"/>
  <c r="AD136" i="8" s="1"/>
  <c r="J64" i="8" s="1"/>
  <c r="J19" i="8"/>
  <c r="Y62" i="6"/>
  <c r="Y69" i="6" s="1"/>
  <c r="Z69" i="6"/>
  <c r="F52" i="12"/>
  <c r="M52" i="12" s="1"/>
  <c r="D52" i="12"/>
  <c r="K52" i="12" s="1"/>
  <c r="G53" i="12"/>
  <c r="N53" i="12" s="1"/>
  <c r="AE109" i="9"/>
  <c r="K19" i="9"/>
  <c r="AI108" i="9"/>
  <c r="O18" i="9"/>
  <c r="G53" i="6"/>
  <c r="N53" i="6"/>
  <c r="L53" i="9"/>
  <c r="E53" i="9"/>
  <c r="AH108" i="6"/>
  <c r="N17" i="6"/>
  <c r="Z61" i="6"/>
  <c r="V61" i="6"/>
  <c r="V68" i="6" s="1"/>
  <c r="U61" i="6"/>
  <c r="U68" i="6" s="1"/>
  <c r="X61" i="6"/>
  <c r="X68" i="6" s="1"/>
  <c r="T67" i="6"/>
  <c r="W61" i="6"/>
  <c r="W68" i="6" s="1"/>
  <c r="AI146" i="12"/>
  <c r="O77" i="12" s="1"/>
  <c r="AI109" i="12"/>
  <c r="O18" i="12"/>
  <c r="AD134" i="12"/>
  <c r="J62" i="12" s="1"/>
  <c r="AD97" i="12"/>
  <c r="AF109" i="9"/>
  <c r="L19" i="9"/>
  <c r="AG97" i="9"/>
  <c r="AG134" i="9"/>
  <c r="M63" i="9" s="1"/>
  <c r="M52" i="6"/>
  <c r="F52" i="6"/>
  <c r="E52" i="6"/>
  <c r="L52" i="6"/>
  <c r="C52" i="12"/>
  <c r="J52" i="12" s="1"/>
  <c r="H52" i="12"/>
  <c r="O52" i="12" s="1"/>
  <c r="AF134" i="12"/>
  <c r="L62" i="12" s="1"/>
  <c r="AF97" i="12"/>
  <c r="AG147" i="8"/>
  <c r="M78" i="8" s="1"/>
  <c r="AG110" i="8"/>
  <c r="AG136" i="8" s="1"/>
  <c r="M64" i="8" s="1"/>
  <c r="M19" i="8"/>
  <c r="O18" i="6"/>
  <c r="AI109" i="6"/>
  <c r="AI146" i="6"/>
  <c r="O77" i="6" s="1"/>
  <c r="L20" i="8"/>
  <c r="AF111" i="8"/>
  <c r="T67" i="9"/>
  <c r="W61" i="9"/>
  <c r="Y61" i="9"/>
  <c r="X61" i="9"/>
  <c r="U61" i="9"/>
  <c r="V61" i="9"/>
  <c r="T60" i="9"/>
  <c r="AI144" i="9"/>
  <c r="O76" i="9" s="1"/>
  <c r="H53" i="6"/>
  <c r="O53" i="6"/>
  <c r="V68" i="9" l="1"/>
  <c r="Y68" i="9"/>
  <c r="Y60" i="12"/>
  <c r="Y67" i="12" s="1"/>
  <c r="Z67" i="12"/>
  <c r="Z59" i="12"/>
  <c r="U59" i="12"/>
  <c r="U66" i="12" s="1"/>
  <c r="V59" i="12"/>
  <c r="V66" i="12" s="1"/>
  <c r="X59" i="12"/>
  <c r="X66" i="12" s="1"/>
  <c r="W59" i="12"/>
  <c r="W66" i="12" s="1"/>
  <c r="AF121" i="9"/>
  <c r="AF147" i="9" s="1"/>
  <c r="L79" i="9" s="1"/>
  <c r="L34" i="9"/>
  <c r="AI120" i="9"/>
  <c r="AI146" i="9" s="1"/>
  <c r="O78" i="9" s="1"/>
  <c r="O33" i="9"/>
  <c r="AH121" i="9"/>
  <c r="AH147" i="9" s="1"/>
  <c r="N79" i="9" s="1"/>
  <c r="N34" i="9"/>
  <c r="U68" i="9"/>
  <c r="C51" i="9" s="1"/>
  <c r="AG122" i="9"/>
  <c r="M35" i="9"/>
  <c r="AE121" i="9"/>
  <c r="AE147" i="9" s="1"/>
  <c r="K79" i="9" s="1"/>
  <c r="K34" i="9"/>
  <c r="AD121" i="9"/>
  <c r="J34" i="9"/>
  <c r="AD121" i="6"/>
  <c r="AD147" i="6" s="1"/>
  <c r="J78" i="6" s="1"/>
  <c r="J33" i="6"/>
  <c r="AH120" i="6"/>
  <c r="AH146" i="6" s="1"/>
  <c r="N77" i="6" s="1"/>
  <c r="N32" i="6"/>
  <c r="AG121" i="6"/>
  <c r="AG147" i="6" s="1"/>
  <c r="M78" i="6" s="1"/>
  <c r="M33" i="6"/>
  <c r="AI121" i="6"/>
  <c r="AI147" i="6" s="1"/>
  <c r="O78" i="6" s="1"/>
  <c r="O33" i="6"/>
  <c r="AF121" i="6"/>
  <c r="AF147" i="6" s="1"/>
  <c r="L78" i="6" s="1"/>
  <c r="L33" i="6"/>
  <c r="AE121" i="6"/>
  <c r="AE147" i="6" s="1"/>
  <c r="K78" i="6" s="1"/>
  <c r="K33" i="6"/>
  <c r="AG122" i="12"/>
  <c r="M34" i="12"/>
  <c r="AH121" i="12"/>
  <c r="N33" i="12"/>
  <c r="AF122" i="12"/>
  <c r="L34" i="12"/>
  <c r="AE123" i="12"/>
  <c r="K35" i="12"/>
  <c r="AD122" i="12"/>
  <c r="J34" i="12"/>
  <c r="AI123" i="12"/>
  <c r="O35" i="12"/>
  <c r="AI122" i="8"/>
  <c r="O34" i="8"/>
  <c r="AD123" i="8"/>
  <c r="J35" i="8"/>
  <c r="AH121" i="8"/>
  <c r="N33" i="8"/>
  <c r="AE123" i="8"/>
  <c r="K35" i="8"/>
  <c r="AG124" i="8"/>
  <c r="M36" i="8"/>
  <c r="V67" i="6"/>
  <c r="K50" i="6" s="1"/>
  <c r="C51" i="8"/>
  <c r="J51" i="8"/>
  <c r="O52" i="8"/>
  <c r="H52" i="8"/>
  <c r="V67" i="8"/>
  <c r="W67" i="6"/>
  <c r="L51" i="8"/>
  <c r="E51" i="8"/>
  <c r="AF98" i="8"/>
  <c r="AF135" i="8"/>
  <c r="L63" i="8" s="1"/>
  <c r="U67" i="8"/>
  <c r="W67" i="8"/>
  <c r="Y61" i="8"/>
  <c r="Y68" i="8" s="1"/>
  <c r="Z68" i="8"/>
  <c r="Y60" i="8"/>
  <c r="Z67" i="8"/>
  <c r="D51" i="8"/>
  <c r="K51" i="8"/>
  <c r="M51" i="8"/>
  <c r="F51" i="8"/>
  <c r="G52" i="8"/>
  <c r="N52" i="8"/>
  <c r="V59" i="8"/>
  <c r="V66" i="8" s="1"/>
  <c r="Z59" i="8"/>
  <c r="U59" i="8"/>
  <c r="U66" i="8" s="1"/>
  <c r="X59" i="8"/>
  <c r="X66" i="8" s="1"/>
  <c r="W59" i="8"/>
  <c r="W66" i="8" s="1"/>
  <c r="X67" i="8"/>
  <c r="K51" i="9"/>
  <c r="D51" i="9"/>
  <c r="W68" i="9"/>
  <c r="E51" i="6"/>
  <c r="L51" i="6"/>
  <c r="K51" i="6"/>
  <c r="D51" i="6"/>
  <c r="AD111" i="8"/>
  <c r="AD137" i="8" s="1"/>
  <c r="J65" i="8" s="1"/>
  <c r="AD148" i="8"/>
  <c r="J79" i="8" s="1"/>
  <c r="J20" i="8"/>
  <c r="D51" i="12"/>
  <c r="K51" i="12" s="1"/>
  <c r="C51" i="12"/>
  <c r="J51" i="12" s="1"/>
  <c r="AE111" i="8"/>
  <c r="AE148" i="8"/>
  <c r="K79" i="8" s="1"/>
  <c r="K20" i="8"/>
  <c r="AG110" i="6"/>
  <c r="M19" i="6"/>
  <c r="AI98" i="12"/>
  <c r="AI135" i="12"/>
  <c r="O63" i="12" s="1"/>
  <c r="AF135" i="6"/>
  <c r="L63" i="6" s="1"/>
  <c r="AF98" i="6"/>
  <c r="AI134" i="9"/>
  <c r="O63" i="9" s="1"/>
  <c r="AI97" i="9"/>
  <c r="AE135" i="12"/>
  <c r="K63" i="12" s="1"/>
  <c r="AE98" i="12"/>
  <c r="AD100" i="8"/>
  <c r="AG148" i="8"/>
  <c r="M79" i="8" s="1"/>
  <c r="M20" i="8"/>
  <c r="AG111" i="8"/>
  <c r="AG137" i="8" s="1"/>
  <c r="M65" i="8" s="1"/>
  <c r="G52" i="12"/>
  <c r="N52" i="12" s="1"/>
  <c r="AF110" i="9"/>
  <c r="L20" i="9"/>
  <c r="Y61" i="6"/>
  <c r="Y68" i="6" s="1"/>
  <c r="Z68" i="6"/>
  <c r="AE110" i="9"/>
  <c r="K20" i="9"/>
  <c r="H52" i="6"/>
  <c r="O52" i="6"/>
  <c r="E51" i="12"/>
  <c r="L51" i="12" s="1"/>
  <c r="Y60" i="6"/>
  <c r="Z67" i="6"/>
  <c r="X67" i="6"/>
  <c r="AF110" i="6"/>
  <c r="L19" i="6"/>
  <c r="AE110" i="12"/>
  <c r="AE147" i="12"/>
  <c r="K78" i="12" s="1"/>
  <c r="K19" i="12"/>
  <c r="D50" i="12"/>
  <c r="K50" i="12" s="1"/>
  <c r="AF122" i="8"/>
  <c r="L35" i="8" s="1"/>
  <c r="AF147" i="8"/>
  <c r="L78" i="8" s="1"/>
  <c r="AE135" i="9"/>
  <c r="K64" i="9" s="1"/>
  <c r="AE98" i="9"/>
  <c r="AH147" i="8"/>
  <c r="N78" i="8" s="1"/>
  <c r="AH110" i="8"/>
  <c r="N19" i="8"/>
  <c r="AI98" i="6"/>
  <c r="AI135" i="6"/>
  <c r="O63" i="6" s="1"/>
  <c r="AH146" i="12"/>
  <c r="N77" i="12" s="1"/>
  <c r="AH109" i="12"/>
  <c r="N18" i="12"/>
  <c r="AH110" i="9"/>
  <c r="N20" i="9"/>
  <c r="AD147" i="12"/>
  <c r="J78" i="12" s="1"/>
  <c r="AD110" i="12"/>
  <c r="J19" i="12"/>
  <c r="AE99" i="8"/>
  <c r="AE136" i="8"/>
  <c r="K64" i="8" s="1"/>
  <c r="N52" i="9"/>
  <c r="G52" i="9"/>
  <c r="D52" i="9"/>
  <c r="K52" i="9"/>
  <c r="AD110" i="6"/>
  <c r="J19" i="6"/>
  <c r="AG147" i="12"/>
  <c r="M78" i="12" s="1"/>
  <c r="AG110" i="12"/>
  <c r="M19" i="12"/>
  <c r="AF147" i="12"/>
  <c r="L78" i="12" s="1"/>
  <c r="L19" i="12"/>
  <c r="AF110" i="12"/>
  <c r="Z61" i="9"/>
  <c r="X68" i="9"/>
  <c r="L21" i="8"/>
  <c r="AF112" i="8"/>
  <c r="AI110" i="6"/>
  <c r="O19" i="6"/>
  <c r="AI110" i="12"/>
  <c r="AI147" i="12"/>
  <c r="O78" i="12" s="1"/>
  <c r="O19" i="12"/>
  <c r="AI109" i="9"/>
  <c r="O19" i="9"/>
  <c r="N52" i="6"/>
  <c r="G52" i="6"/>
  <c r="F51" i="12"/>
  <c r="M51" i="12" s="1"/>
  <c r="X59" i="6"/>
  <c r="X66" i="6" s="1"/>
  <c r="W59" i="6"/>
  <c r="W66" i="6" s="1"/>
  <c r="Z59" i="6"/>
  <c r="V59" i="6"/>
  <c r="V66" i="6" s="1"/>
  <c r="U59" i="6"/>
  <c r="U66" i="6" s="1"/>
  <c r="J20" i="9"/>
  <c r="AD110" i="9"/>
  <c r="AF135" i="9"/>
  <c r="L64" i="9" s="1"/>
  <c r="AF98" i="9"/>
  <c r="C50" i="12"/>
  <c r="J50" i="12" s="1"/>
  <c r="E50" i="12"/>
  <c r="L50" i="12" s="1"/>
  <c r="AH135" i="9"/>
  <c r="N64" i="9" s="1"/>
  <c r="AH98" i="9"/>
  <c r="AE110" i="6"/>
  <c r="K19" i="6"/>
  <c r="AD135" i="9"/>
  <c r="J64" i="9" s="1"/>
  <c r="AD98" i="9"/>
  <c r="AG135" i="12"/>
  <c r="M63" i="12" s="1"/>
  <c r="AG98" i="12"/>
  <c r="E52" i="9"/>
  <c r="L52" i="9"/>
  <c r="X69" i="9"/>
  <c r="Z62" i="9"/>
  <c r="Z69" i="9" s="1"/>
  <c r="M53" i="9"/>
  <c r="F53" i="9"/>
  <c r="F51" i="6"/>
  <c r="M51" i="6"/>
  <c r="AH134" i="6"/>
  <c r="N62" i="6" s="1"/>
  <c r="AH97" i="6"/>
  <c r="V60" i="9"/>
  <c r="V67" i="9" s="1"/>
  <c r="W60" i="9"/>
  <c r="W67" i="9" s="1"/>
  <c r="U60" i="9"/>
  <c r="U67" i="9" s="1"/>
  <c r="Y60" i="9"/>
  <c r="Y67" i="9" s="1"/>
  <c r="X60" i="9"/>
  <c r="N51" i="9"/>
  <c r="G51" i="9"/>
  <c r="AF135" i="12"/>
  <c r="L63" i="12" s="1"/>
  <c r="AF98" i="12"/>
  <c r="AG98" i="9"/>
  <c r="AG135" i="9"/>
  <c r="M64" i="9" s="1"/>
  <c r="AD135" i="12"/>
  <c r="J63" i="12" s="1"/>
  <c r="AD98" i="12"/>
  <c r="J51" i="6"/>
  <c r="C51" i="6"/>
  <c r="N18" i="6"/>
  <c r="AH109" i="6"/>
  <c r="H51" i="12"/>
  <c r="O51" i="12" s="1"/>
  <c r="L50" i="6"/>
  <c r="E50" i="6"/>
  <c r="U67" i="6"/>
  <c r="AG110" i="9"/>
  <c r="AG147" i="9"/>
  <c r="M79" i="9" s="1"/>
  <c r="M20" i="9"/>
  <c r="H50" i="12"/>
  <c r="O50" i="12" s="1"/>
  <c r="F50" i="12"/>
  <c r="M50" i="12" s="1"/>
  <c r="AI111" i="8"/>
  <c r="AI148" i="8"/>
  <c r="O79" i="8" s="1"/>
  <c r="O20" i="8"/>
  <c r="AE98" i="6"/>
  <c r="AE135" i="6"/>
  <c r="K63" i="6" s="1"/>
  <c r="AD98" i="6"/>
  <c r="AD135" i="6"/>
  <c r="J63" i="6" s="1"/>
  <c r="AH134" i="12"/>
  <c r="N62" i="12" s="1"/>
  <c r="AH97" i="12"/>
  <c r="AI99" i="8"/>
  <c r="AI136" i="8"/>
  <c r="O64" i="8" s="1"/>
  <c r="AG135" i="6"/>
  <c r="M63" i="6" s="1"/>
  <c r="AG98" i="6"/>
  <c r="J52" i="9"/>
  <c r="C52" i="9"/>
  <c r="AH135" i="8"/>
  <c r="N63" i="8" s="1"/>
  <c r="AH98" i="8"/>
  <c r="AG100" i="8"/>
  <c r="H53" i="9"/>
  <c r="O53" i="9"/>
  <c r="J51" i="9" l="1"/>
  <c r="Y59" i="12"/>
  <c r="Y66" i="12" s="1"/>
  <c r="Z66" i="12"/>
  <c r="D50" i="6"/>
  <c r="AD122" i="9"/>
  <c r="AD148" i="9" s="1"/>
  <c r="J80" i="9" s="1"/>
  <c r="J35" i="9"/>
  <c r="AG123" i="9"/>
  <c r="M36" i="9"/>
  <c r="AI121" i="9"/>
  <c r="AI147" i="9" s="1"/>
  <c r="O79" i="9" s="1"/>
  <c r="O34" i="9"/>
  <c r="AD147" i="9"/>
  <c r="J79" i="9" s="1"/>
  <c r="AE122" i="9"/>
  <c r="K35" i="9"/>
  <c r="AH122" i="9"/>
  <c r="AH148" i="9" s="1"/>
  <c r="N80" i="9" s="1"/>
  <c r="N35" i="9"/>
  <c r="AF122" i="9"/>
  <c r="AF148" i="9" s="1"/>
  <c r="L80" i="9" s="1"/>
  <c r="L35" i="9"/>
  <c r="AE122" i="6"/>
  <c r="AE148" i="6" s="1"/>
  <c r="K79" i="6" s="1"/>
  <c r="K34" i="6"/>
  <c r="AI122" i="6"/>
  <c r="AI148" i="6" s="1"/>
  <c r="O79" i="6" s="1"/>
  <c r="O34" i="6"/>
  <c r="AH121" i="6"/>
  <c r="AH147" i="6" s="1"/>
  <c r="N78" i="6" s="1"/>
  <c r="N33" i="6"/>
  <c r="Y67" i="6"/>
  <c r="G50" i="6" s="1"/>
  <c r="AF122" i="6"/>
  <c r="L34" i="6"/>
  <c r="AG122" i="6"/>
  <c r="AG148" i="6" s="1"/>
  <c r="M79" i="6" s="1"/>
  <c r="M34" i="6"/>
  <c r="AD122" i="6"/>
  <c r="J34" i="6"/>
  <c r="AD123" i="12"/>
  <c r="J35" i="12"/>
  <c r="AF123" i="12"/>
  <c r="L35" i="12"/>
  <c r="AG123" i="12"/>
  <c r="M35" i="12"/>
  <c r="AI124" i="12"/>
  <c r="O36" i="12"/>
  <c r="AE124" i="12"/>
  <c r="K36" i="12"/>
  <c r="AH122" i="12"/>
  <c r="N34" i="12"/>
  <c r="Y67" i="8"/>
  <c r="N50" i="8" s="1"/>
  <c r="AE124" i="8"/>
  <c r="K36" i="8"/>
  <c r="AD124" i="8"/>
  <c r="J36" i="8"/>
  <c r="AG125" i="8"/>
  <c r="M37" i="8"/>
  <c r="AH122" i="8"/>
  <c r="AH148" i="8" s="1"/>
  <c r="N79" i="8" s="1"/>
  <c r="N34" i="8"/>
  <c r="AI123" i="8"/>
  <c r="AI149" i="8" s="1"/>
  <c r="O80" i="8" s="1"/>
  <c r="O35" i="8"/>
  <c r="E49" i="8"/>
  <c r="L49" i="8"/>
  <c r="D49" i="8"/>
  <c r="K49" i="8"/>
  <c r="C50" i="8"/>
  <c r="J50" i="8"/>
  <c r="F49" i="8"/>
  <c r="M49" i="8"/>
  <c r="O51" i="8"/>
  <c r="H51" i="8"/>
  <c r="C49" i="8"/>
  <c r="J49" i="8"/>
  <c r="G51" i="8"/>
  <c r="N51" i="8"/>
  <c r="AF136" i="8"/>
  <c r="L64" i="8" s="1"/>
  <c r="AF99" i="8"/>
  <c r="D50" i="8"/>
  <c r="K50" i="8"/>
  <c r="M50" i="8"/>
  <c r="F50" i="8"/>
  <c r="Y59" i="8"/>
  <c r="Y66" i="8" s="1"/>
  <c r="Z66" i="8"/>
  <c r="H50" i="8"/>
  <c r="O50" i="8"/>
  <c r="L50" i="8"/>
  <c r="E50" i="8"/>
  <c r="L50" i="9"/>
  <c r="E50" i="9"/>
  <c r="H52" i="9"/>
  <c r="O52" i="9"/>
  <c r="AG99" i="12"/>
  <c r="AG136" i="12"/>
  <c r="M64" i="12" s="1"/>
  <c r="AH136" i="8"/>
  <c r="N64" i="8" s="1"/>
  <c r="AH99" i="8"/>
  <c r="AG99" i="6"/>
  <c r="AG136" i="6"/>
  <c r="M64" i="6" s="1"/>
  <c r="AH135" i="12"/>
  <c r="N63" i="12" s="1"/>
  <c r="AH98" i="12"/>
  <c r="AI112" i="8"/>
  <c r="O21" i="8"/>
  <c r="AG148" i="9"/>
  <c r="M80" i="9" s="1"/>
  <c r="M21" i="9"/>
  <c r="AG111" i="9"/>
  <c r="AD136" i="12"/>
  <c r="J64" i="12" s="1"/>
  <c r="AD99" i="12"/>
  <c r="AF136" i="12"/>
  <c r="L64" i="12" s="1"/>
  <c r="AF99" i="12"/>
  <c r="N50" i="9"/>
  <c r="G50" i="9"/>
  <c r="AH98" i="6"/>
  <c r="AH135" i="6"/>
  <c r="N63" i="6" s="1"/>
  <c r="AD99" i="9"/>
  <c r="AD136" i="9"/>
  <c r="J65" i="9" s="1"/>
  <c r="K20" i="6"/>
  <c r="AE111" i="6"/>
  <c r="G51" i="12"/>
  <c r="N51" i="12" s="1"/>
  <c r="C50" i="9"/>
  <c r="J50" i="9"/>
  <c r="AH136" i="9"/>
  <c r="N65" i="9" s="1"/>
  <c r="AH99" i="9"/>
  <c r="AD111" i="9"/>
  <c r="J21" i="9"/>
  <c r="D49" i="6"/>
  <c r="K49" i="6"/>
  <c r="AF148" i="12"/>
  <c r="L79" i="12" s="1"/>
  <c r="AF111" i="12"/>
  <c r="L20" i="12"/>
  <c r="AE137" i="8"/>
  <c r="K65" i="8" s="1"/>
  <c r="AE100" i="8"/>
  <c r="AH147" i="12"/>
  <c r="N78" i="12" s="1"/>
  <c r="AH110" i="12"/>
  <c r="N19" i="12"/>
  <c r="O50" i="6"/>
  <c r="H50" i="6"/>
  <c r="AE111" i="9"/>
  <c r="K21" i="9"/>
  <c r="AF111" i="9"/>
  <c r="L21" i="9"/>
  <c r="AG112" i="8"/>
  <c r="AG138" i="8" s="1"/>
  <c r="M66" i="8" s="1"/>
  <c r="AG149" i="8"/>
  <c r="M80" i="8" s="1"/>
  <c r="M21" i="8"/>
  <c r="H49" i="12"/>
  <c r="O49" i="12" s="1"/>
  <c r="AD112" i="8"/>
  <c r="AD138" i="8" s="1"/>
  <c r="J66" i="8" s="1"/>
  <c r="AD149" i="8"/>
  <c r="J80" i="8" s="1"/>
  <c r="J21" i="8"/>
  <c r="Z66" i="6"/>
  <c r="Y59" i="6"/>
  <c r="Y66" i="6" s="1"/>
  <c r="AH111" i="9"/>
  <c r="N21" i="9"/>
  <c r="AH111" i="8"/>
  <c r="N20" i="8"/>
  <c r="AF111" i="6"/>
  <c r="L20" i="6"/>
  <c r="O51" i="6"/>
  <c r="H51" i="6"/>
  <c r="AI98" i="9"/>
  <c r="AI135" i="9"/>
  <c r="O64" i="9" s="1"/>
  <c r="D49" i="12"/>
  <c r="K49" i="12" s="1"/>
  <c r="E49" i="12"/>
  <c r="L49" i="12" s="1"/>
  <c r="AG111" i="6"/>
  <c r="M20" i="6"/>
  <c r="AE149" i="8"/>
  <c r="K80" i="8" s="1"/>
  <c r="AE112" i="8"/>
  <c r="K21" i="8"/>
  <c r="E51" i="9"/>
  <c r="L51" i="9"/>
  <c r="AG101" i="8"/>
  <c r="AI137" i="8"/>
  <c r="O65" i="8" s="1"/>
  <c r="AI100" i="8"/>
  <c r="AD99" i="6"/>
  <c r="AD136" i="6"/>
  <c r="J64" i="6" s="1"/>
  <c r="G50" i="12"/>
  <c r="N50" i="12" s="1"/>
  <c r="AH110" i="6"/>
  <c r="N19" i="6"/>
  <c r="AG136" i="9"/>
  <c r="M65" i="9" s="1"/>
  <c r="AG99" i="9"/>
  <c r="K50" i="9"/>
  <c r="D50" i="9"/>
  <c r="M52" i="9"/>
  <c r="F52" i="9"/>
  <c r="AF136" i="9"/>
  <c r="L65" i="9" s="1"/>
  <c r="AF99" i="9"/>
  <c r="L49" i="6"/>
  <c r="E49" i="6"/>
  <c r="O20" i="6"/>
  <c r="AI111" i="6"/>
  <c r="F51" i="9"/>
  <c r="M51" i="9"/>
  <c r="AG148" i="12"/>
  <c r="M79" i="12" s="1"/>
  <c r="AG111" i="12"/>
  <c r="M20" i="12"/>
  <c r="AD111" i="6"/>
  <c r="J20" i="6"/>
  <c r="AD111" i="12"/>
  <c r="AD148" i="12"/>
  <c r="J79" i="12" s="1"/>
  <c r="J20" i="12"/>
  <c r="AF123" i="8"/>
  <c r="L36" i="8" s="1"/>
  <c r="AF148" i="8"/>
  <c r="L79" i="8" s="1"/>
  <c r="N51" i="6"/>
  <c r="G51" i="6"/>
  <c r="AD101" i="8"/>
  <c r="F49" i="12"/>
  <c r="M49" i="12" s="1"/>
  <c r="X67" i="9"/>
  <c r="Z60" i="9"/>
  <c r="Z67" i="9" s="1"/>
  <c r="AE136" i="6"/>
  <c r="K64" i="6" s="1"/>
  <c r="AE99" i="6"/>
  <c r="C50" i="6"/>
  <c r="J50" i="6"/>
  <c r="C49" i="6"/>
  <c r="J49" i="6"/>
  <c r="M49" i="6"/>
  <c r="F49" i="6"/>
  <c r="AI110" i="9"/>
  <c r="O20" i="9"/>
  <c r="AI148" i="12"/>
  <c r="O79" i="12" s="1"/>
  <c r="AI111" i="12"/>
  <c r="O20" i="12"/>
  <c r="L22" i="8"/>
  <c r="AF113" i="8"/>
  <c r="Z68" i="9"/>
  <c r="AI136" i="6"/>
  <c r="O64" i="6" s="1"/>
  <c r="AI99" i="6"/>
  <c r="AE136" i="9"/>
  <c r="K65" i="9" s="1"/>
  <c r="AE99" i="9"/>
  <c r="AE148" i="12"/>
  <c r="K79" i="12" s="1"/>
  <c r="K20" i="12"/>
  <c r="AE111" i="12"/>
  <c r="F50" i="6"/>
  <c r="M50" i="6"/>
  <c r="AE136" i="12"/>
  <c r="K64" i="12" s="1"/>
  <c r="AE99" i="12"/>
  <c r="AF136" i="6"/>
  <c r="L64" i="6" s="1"/>
  <c r="AF99" i="6"/>
  <c r="C49" i="12"/>
  <c r="J49" i="12" s="1"/>
  <c r="AI136" i="12"/>
  <c r="O64" i="12" s="1"/>
  <c r="AI99" i="12"/>
  <c r="N50" i="6" l="1"/>
  <c r="G50" i="8"/>
  <c r="AF123" i="9"/>
  <c r="AF149" i="9" s="1"/>
  <c r="L81" i="9" s="1"/>
  <c r="L36" i="9"/>
  <c r="AE123" i="9"/>
  <c r="AE149" i="9" s="1"/>
  <c r="K81" i="9" s="1"/>
  <c r="K36" i="9"/>
  <c r="AG124" i="9"/>
  <c r="M37" i="9"/>
  <c r="AH123" i="9"/>
  <c r="N36" i="9"/>
  <c r="AE148" i="9"/>
  <c r="K80" i="9" s="1"/>
  <c r="AI122" i="9"/>
  <c r="O35" i="9"/>
  <c r="AD123" i="9"/>
  <c r="AD149" i="9" s="1"/>
  <c r="J81" i="9" s="1"/>
  <c r="J36" i="9"/>
  <c r="AF123" i="6"/>
  <c r="AF149" i="6" s="1"/>
  <c r="L80" i="6" s="1"/>
  <c r="L35" i="6"/>
  <c r="AF148" i="6"/>
  <c r="L79" i="6" s="1"/>
  <c r="AI123" i="6"/>
  <c r="O35" i="6"/>
  <c r="AD123" i="6"/>
  <c r="AD149" i="6" s="1"/>
  <c r="J80" i="6" s="1"/>
  <c r="J35" i="6"/>
  <c r="AD148" i="6"/>
  <c r="J79" i="6" s="1"/>
  <c r="AG123" i="6"/>
  <c r="M35" i="6"/>
  <c r="AH122" i="6"/>
  <c r="AH148" i="6" s="1"/>
  <c r="N79" i="6" s="1"/>
  <c r="N34" i="6"/>
  <c r="AE123" i="6"/>
  <c r="AE149" i="6" s="1"/>
  <c r="K80" i="6" s="1"/>
  <c r="K35" i="6"/>
  <c r="AH123" i="12"/>
  <c r="N35" i="12"/>
  <c r="AI125" i="12"/>
  <c r="O37" i="12"/>
  <c r="AF124" i="12"/>
  <c r="L36" i="12"/>
  <c r="AE125" i="12"/>
  <c r="K37" i="12"/>
  <c r="AG124" i="12"/>
  <c r="M36" i="12"/>
  <c r="AD124" i="12"/>
  <c r="J36" i="12"/>
  <c r="AG126" i="8"/>
  <c r="M38" i="8"/>
  <c r="AE125" i="8"/>
  <c r="K37" i="8"/>
  <c r="AH123" i="8"/>
  <c r="AH149" i="8" s="1"/>
  <c r="N80" i="8" s="1"/>
  <c r="N35" i="8"/>
  <c r="AD125" i="8"/>
  <c r="J37" i="8"/>
  <c r="AI124" i="8"/>
  <c r="AI150" i="8" s="1"/>
  <c r="O81" i="8" s="1"/>
  <c r="O36" i="8"/>
  <c r="H49" i="8"/>
  <c r="O49" i="8"/>
  <c r="N49" i="8"/>
  <c r="G49" i="8"/>
  <c r="AF100" i="8"/>
  <c r="AF137" i="8"/>
  <c r="L65" i="8" s="1"/>
  <c r="AG112" i="12"/>
  <c r="AG149" i="12"/>
  <c r="M80" i="12" s="1"/>
  <c r="M21" i="12"/>
  <c r="AF149" i="12"/>
  <c r="L80" i="12" s="1"/>
  <c r="AF112" i="12"/>
  <c r="L21" i="12"/>
  <c r="AI137" i="6"/>
  <c r="O65" i="6" s="1"/>
  <c r="AI100" i="6"/>
  <c r="H51" i="9"/>
  <c r="O51" i="9"/>
  <c r="AI148" i="9"/>
  <c r="O80" i="9" s="1"/>
  <c r="AI111" i="9"/>
  <c r="O21" i="9"/>
  <c r="AE137" i="6"/>
  <c r="K65" i="6" s="1"/>
  <c r="AE100" i="6"/>
  <c r="AF137" i="9"/>
  <c r="L66" i="9" s="1"/>
  <c r="AF100" i="9"/>
  <c r="AI136" i="9"/>
  <c r="O65" i="9" s="1"/>
  <c r="AI99" i="9"/>
  <c r="G49" i="12"/>
  <c r="N49" i="12" s="1"/>
  <c r="AG113" i="8"/>
  <c r="AG139" i="8" s="1"/>
  <c r="M67" i="8" s="1"/>
  <c r="AG150" i="8"/>
  <c r="M81" i="8" s="1"/>
  <c r="M22" i="8"/>
  <c r="AE138" i="8"/>
  <c r="K66" i="8" s="1"/>
  <c r="AE101" i="8"/>
  <c r="AD112" i="9"/>
  <c r="J22" i="9"/>
  <c r="AE112" i="6"/>
  <c r="K21" i="6"/>
  <c r="AD137" i="9"/>
  <c r="J66" i="9" s="1"/>
  <c r="AD100" i="9"/>
  <c r="AE137" i="12"/>
  <c r="K65" i="12" s="1"/>
  <c r="AE100" i="12"/>
  <c r="AE149" i="12"/>
  <c r="K80" i="12" s="1"/>
  <c r="AE112" i="12"/>
  <c r="K21" i="12"/>
  <c r="F50" i="9"/>
  <c r="M50" i="9"/>
  <c r="AF124" i="8"/>
  <c r="L37" i="8" s="1"/>
  <c r="AF149" i="8"/>
  <c r="L80" i="8" s="1"/>
  <c r="AD137" i="12"/>
  <c r="J65" i="12" s="1"/>
  <c r="AD100" i="12"/>
  <c r="AH100" i="8"/>
  <c r="AH137" i="8"/>
  <c r="N65" i="8" s="1"/>
  <c r="AI137" i="12"/>
  <c r="O65" i="12" s="1"/>
  <c r="AI100" i="12"/>
  <c r="AF100" i="6"/>
  <c r="AF137" i="6"/>
  <c r="L65" i="6" s="1"/>
  <c r="AI149" i="12"/>
  <c r="O80" i="12" s="1"/>
  <c r="AI112" i="12"/>
  <c r="O21" i="12"/>
  <c r="AD112" i="6"/>
  <c r="J21" i="6"/>
  <c r="AH112" i="9"/>
  <c r="N22" i="9"/>
  <c r="AE112" i="9"/>
  <c r="K22" i="9"/>
  <c r="AF137" i="12"/>
  <c r="L65" i="12" s="1"/>
  <c r="AF100" i="12"/>
  <c r="AG149" i="9"/>
  <c r="M81" i="9" s="1"/>
  <c r="AG112" i="9"/>
  <c r="M22" i="9"/>
  <c r="AI113" i="8"/>
  <c r="O22" i="8"/>
  <c r="O21" i="6"/>
  <c r="AI112" i="6"/>
  <c r="AI138" i="8"/>
  <c r="O66" i="8" s="1"/>
  <c r="AI101" i="8"/>
  <c r="H49" i="6"/>
  <c r="O49" i="6"/>
  <c r="AH136" i="12"/>
  <c r="N64" i="12" s="1"/>
  <c r="AH99" i="12"/>
  <c r="AE137" i="9"/>
  <c r="K66" i="9" s="1"/>
  <c r="AE100" i="9"/>
  <c r="AF114" i="8"/>
  <c r="L23" i="8"/>
  <c r="O50" i="9"/>
  <c r="H50" i="9"/>
  <c r="AD102" i="8"/>
  <c r="AD149" i="12"/>
  <c r="J80" i="12" s="1"/>
  <c r="AD112" i="12"/>
  <c r="J21" i="12"/>
  <c r="AG100" i="9"/>
  <c r="AG137" i="9"/>
  <c r="M66" i="9" s="1"/>
  <c r="AH111" i="6"/>
  <c r="N20" i="6"/>
  <c r="AD137" i="6"/>
  <c r="J65" i="6" s="1"/>
  <c r="AD100" i="6"/>
  <c r="AG102" i="8"/>
  <c r="AE150" i="8"/>
  <c r="K81" i="8" s="1"/>
  <c r="AE113" i="8"/>
  <c r="K22" i="8"/>
  <c r="AG112" i="6"/>
  <c r="M21" i="6"/>
  <c r="AG149" i="6"/>
  <c r="M80" i="6" s="1"/>
  <c r="L21" i="6"/>
  <c r="AF112" i="6"/>
  <c r="AH112" i="8"/>
  <c r="N21" i="8"/>
  <c r="G49" i="6"/>
  <c r="N49" i="6"/>
  <c r="AD150" i="8"/>
  <c r="J81" i="8" s="1"/>
  <c r="AD113" i="8"/>
  <c r="J22" i="8"/>
  <c r="AF112" i="9"/>
  <c r="L22" i="9"/>
  <c r="AH111" i="12"/>
  <c r="AH148" i="12"/>
  <c r="N79" i="12" s="1"/>
  <c r="N20" i="12"/>
  <c r="AH137" i="9"/>
  <c r="N66" i="9" s="1"/>
  <c r="AH100" i="9"/>
  <c r="AH99" i="6"/>
  <c r="AH136" i="6"/>
  <c r="N64" i="6" s="1"/>
  <c r="AG100" i="6"/>
  <c r="AG137" i="6"/>
  <c r="M65" i="6" s="1"/>
  <c r="AG137" i="12"/>
  <c r="M65" i="12" s="1"/>
  <c r="AG100" i="12"/>
  <c r="AI123" i="9" l="1"/>
  <c r="AI149" i="9" s="1"/>
  <c r="O81" i="9" s="1"/>
  <c r="O36" i="9"/>
  <c r="AD124" i="9"/>
  <c r="AD150" i="9" s="1"/>
  <c r="J82" i="9" s="1"/>
  <c r="J37" i="9"/>
  <c r="AH124" i="9"/>
  <c r="N37" i="9"/>
  <c r="AE124" i="9"/>
  <c r="AE150" i="9" s="1"/>
  <c r="K82" i="9" s="1"/>
  <c r="K37" i="9"/>
  <c r="AH149" i="9"/>
  <c r="N81" i="9" s="1"/>
  <c r="AG125" i="9"/>
  <c r="M38" i="9"/>
  <c r="AF124" i="9"/>
  <c r="AF150" i="9" s="1"/>
  <c r="L82" i="9" s="1"/>
  <c r="L37" i="9"/>
  <c r="AI124" i="6"/>
  <c r="AI150" i="6" s="1"/>
  <c r="O81" i="6" s="1"/>
  <c r="O36" i="6"/>
  <c r="AH123" i="6"/>
  <c r="AH149" i="6" s="1"/>
  <c r="N80" i="6" s="1"/>
  <c r="N35" i="6"/>
  <c r="AI149" i="6"/>
  <c r="O80" i="6" s="1"/>
  <c r="AD124" i="6"/>
  <c r="AD150" i="6" s="1"/>
  <c r="J81" i="6" s="1"/>
  <c r="J36" i="6"/>
  <c r="AE124" i="6"/>
  <c r="AE150" i="6" s="1"/>
  <c r="K81" i="6" s="1"/>
  <c r="K36" i="6"/>
  <c r="AG124" i="6"/>
  <c r="AG150" i="6" s="1"/>
  <c r="M81" i="6" s="1"/>
  <c r="M36" i="6"/>
  <c r="AF124" i="6"/>
  <c r="L36" i="6"/>
  <c r="AG125" i="12"/>
  <c r="M37" i="12"/>
  <c r="AF125" i="12"/>
  <c r="L37" i="12"/>
  <c r="AH124" i="12"/>
  <c r="N36" i="12"/>
  <c r="AD125" i="12"/>
  <c r="J37" i="12"/>
  <c r="AE126" i="12"/>
  <c r="K38" i="12"/>
  <c r="AI126" i="12"/>
  <c r="O38" i="12"/>
  <c r="AD126" i="8"/>
  <c r="J38" i="8"/>
  <c r="AE126" i="8"/>
  <c r="K38" i="8"/>
  <c r="AI125" i="8"/>
  <c r="AI151" i="8" s="1"/>
  <c r="O82" i="8" s="1"/>
  <c r="O37" i="8"/>
  <c r="AH124" i="8"/>
  <c r="AH150" i="8" s="1"/>
  <c r="N81" i="8" s="1"/>
  <c r="N36" i="8"/>
  <c r="AG127" i="8"/>
  <c r="M39" i="8"/>
  <c r="AF138" i="8"/>
  <c r="L66" i="8" s="1"/>
  <c r="AF101" i="8"/>
  <c r="AH149" i="12"/>
  <c r="N80" i="12" s="1"/>
  <c r="AH112" i="12"/>
  <c r="N21" i="12"/>
  <c r="AH137" i="12"/>
  <c r="N65" i="12" s="1"/>
  <c r="AH100" i="12"/>
  <c r="AI139" i="8"/>
  <c r="O67" i="8" s="1"/>
  <c r="AI102" i="8"/>
  <c r="J22" i="6"/>
  <c r="AD113" i="6"/>
  <c r="AE138" i="12"/>
  <c r="K66" i="12" s="1"/>
  <c r="AE101" i="12"/>
  <c r="AD113" i="9"/>
  <c r="J23" i="9"/>
  <c r="AI112" i="9"/>
  <c r="O22" i="9"/>
  <c r="AI101" i="6"/>
  <c r="AI138" i="6"/>
  <c r="O66" i="6" s="1"/>
  <c r="AD151" i="8"/>
  <c r="J82" i="8" s="1"/>
  <c r="AD114" i="8"/>
  <c r="AD140" i="8" s="1"/>
  <c r="J68" i="8" s="1"/>
  <c r="J23" i="8"/>
  <c r="AG113" i="6"/>
  <c r="M22" i="6"/>
  <c r="AG150" i="9"/>
  <c r="M82" i="9" s="1"/>
  <c r="AG113" i="9"/>
  <c r="M23" i="9"/>
  <c r="AH150" i="9"/>
  <c r="N82" i="9" s="1"/>
  <c r="N23" i="9"/>
  <c r="AH113" i="9"/>
  <c r="K22" i="6"/>
  <c r="AE113" i="6"/>
  <c r="AI137" i="9"/>
  <c r="O66" i="9" s="1"/>
  <c r="AI100" i="9"/>
  <c r="AE138" i="6"/>
  <c r="K66" i="6" s="1"/>
  <c r="AE101" i="6"/>
  <c r="AF113" i="6"/>
  <c r="L22" i="6"/>
  <c r="AG138" i="6"/>
  <c r="M66" i="6" s="1"/>
  <c r="AG101" i="6"/>
  <c r="AG138" i="9"/>
  <c r="M67" i="9" s="1"/>
  <c r="AG101" i="9"/>
  <c r="AD103" i="8"/>
  <c r="AG138" i="12"/>
  <c r="M66" i="12" s="1"/>
  <c r="AG101" i="12"/>
  <c r="AF113" i="9"/>
  <c r="L23" i="9"/>
  <c r="AG103" i="8"/>
  <c r="AD139" i="8"/>
  <c r="J67" i="8" s="1"/>
  <c r="AE138" i="9"/>
  <c r="K67" i="9" s="1"/>
  <c r="AE101" i="9"/>
  <c r="O22" i="6"/>
  <c r="AI113" i="6"/>
  <c r="AI114" i="8"/>
  <c r="O23" i="8"/>
  <c r="AE113" i="9"/>
  <c r="K23" i="9"/>
  <c r="AF101" i="6"/>
  <c r="AF138" i="6"/>
  <c r="L66" i="6" s="1"/>
  <c r="AH138" i="8"/>
  <c r="N66" i="8" s="1"/>
  <c r="AH101" i="8"/>
  <c r="AF125" i="8"/>
  <c r="L38" i="8" s="1"/>
  <c r="AF150" i="8"/>
  <c r="L81" i="8" s="1"/>
  <c r="AE150" i="12"/>
  <c r="K81" i="12" s="1"/>
  <c r="AE113" i="12"/>
  <c r="K22" i="12"/>
  <c r="AD138" i="9"/>
  <c r="J67" i="9" s="1"/>
  <c r="AD101" i="9"/>
  <c r="AE139" i="8"/>
  <c r="K67" i="8" s="1"/>
  <c r="AE102" i="8"/>
  <c r="AG151" i="8"/>
  <c r="M82" i="8" s="1"/>
  <c r="AG114" i="8"/>
  <c r="M23" i="8"/>
  <c r="AH138" i="9"/>
  <c r="N67" i="9" s="1"/>
  <c r="AH101" i="9"/>
  <c r="AH137" i="6"/>
  <c r="N65" i="6" s="1"/>
  <c r="AH100" i="6"/>
  <c r="AH113" i="8"/>
  <c r="N22" i="8"/>
  <c r="AE151" i="8"/>
  <c r="K82" i="8" s="1"/>
  <c r="K23" i="8"/>
  <c r="AE114" i="8"/>
  <c r="AD138" i="6"/>
  <c r="J66" i="6" s="1"/>
  <c r="AD101" i="6"/>
  <c r="N21" i="6"/>
  <c r="AH112" i="6"/>
  <c r="AD150" i="12"/>
  <c r="J81" i="12" s="1"/>
  <c r="AD113" i="12"/>
  <c r="J22" i="12"/>
  <c r="L24" i="8"/>
  <c r="AF115" i="8"/>
  <c r="AF138" i="12"/>
  <c r="L66" i="12" s="1"/>
  <c r="AF101" i="12"/>
  <c r="AI150" i="12"/>
  <c r="O81" i="12" s="1"/>
  <c r="AI113" i="12"/>
  <c r="O22" i="12"/>
  <c r="AI138" i="12"/>
  <c r="O66" i="12" s="1"/>
  <c r="AI101" i="12"/>
  <c r="AD138" i="12"/>
  <c r="J66" i="12" s="1"/>
  <c r="AD101" i="12"/>
  <c r="AF138" i="9"/>
  <c r="L67" i="9" s="1"/>
  <c r="AF101" i="9"/>
  <c r="AF150" i="12"/>
  <c r="L81" i="12" s="1"/>
  <c r="AF113" i="12"/>
  <c r="L22" i="12"/>
  <c r="AG150" i="12"/>
  <c r="M81" i="12" s="1"/>
  <c r="AG113" i="12"/>
  <c r="M22" i="12"/>
  <c r="AD125" i="9" l="1"/>
  <c r="J38" i="9"/>
  <c r="AG126" i="9"/>
  <c r="M39" i="9"/>
  <c r="AF125" i="9"/>
  <c r="AF151" i="9" s="1"/>
  <c r="L83" i="9" s="1"/>
  <c r="L38" i="9"/>
  <c r="AE125" i="9"/>
  <c r="K38" i="9"/>
  <c r="AH125" i="9"/>
  <c r="AH151" i="9" s="1"/>
  <c r="N83" i="9" s="1"/>
  <c r="N38" i="9"/>
  <c r="AI124" i="9"/>
  <c r="O37" i="9"/>
  <c r="AF125" i="6"/>
  <c r="AF151" i="6" s="1"/>
  <c r="L82" i="6" s="1"/>
  <c r="L37" i="6"/>
  <c r="AH124" i="6"/>
  <c r="AH150" i="6" s="1"/>
  <c r="N81" i="6" s="1"/>
  <c r="N36" i="6"/>
  <c r="AE125" i="6"/>
  <c r="AE151" i="6" s="1"/>
  <c r="K82" i="6" s="1"/>
  <c r="K37" i="6"/>
  <c r="AF150" i="6"/>
  <c r="L81" i="6" s="1"/>
  <c r="AG125" i="6"/>
  <c r="M37" i="6"/>
  <c r="AD125" i="6"/>
  <c r="AD151" i="6" s="1"/>
  <c r="J82" i="6" s="1"/>
  <c r="J37" i="6"/>
  <c r="AI125" i="6"/>
  <c r="O37" i="6"/>
  <c r="AI127" i="12"/>
  <c r="O39" i="12"/>
  <c r="AD126" i="12"/>
  <c r="J38" i="12"/>
  <c r="AF126" i="12"/>
  <c r="L38" i="12"/>
  <c r="AE127" i="12"/>
  <c r="K39" i="12"/>
  <c r="AH125" i="12"/>
  <c r="N37" i="12"/>
  <c r="AG126" i="12"/>
  <c r="M38" i="12"/>
  <c r="AH125" i="8"/>
  <c r="AH151" i="8" s="1"/>
  <c r="N82" i="8" s="1"/>
  <c r="N37" i="8"/>
  <c r="AE127" i="8"/>
  <c r="K39" i="8"/>
  <c r="AG128" i="8"/>
  <c r="M41" i="8" s="1"/>
  <c r="M40" i="8"/>
  <c r="AI126" i="8"/>
  <c r="AI152" i="8" s="1"/>
  <c r="O83" i="8" s="1"/>
  <c r="O38" i="8"/>
  <c r="AD127" i="8"/>
  <c r="J39" i="8"/>
  <c r="AF102" i="8"/>
  <c r="AF139" i="8"/>
  <c r="L67" i="8" s="1"/>
  <c r="AF139" i="12"/>
  <c r="L67" i="12" s="1"/>
  <c r="AF102" i="12"/>
  <c r="AH113" i="6"/>
  <c r="N22" i="6"/>
  <c r="AE103" i="8"/>
  <c r="AE140" i="8"/>
  <c r="K68" i="8" s="1"/>
  <c r="AF126" i="8"/>
  <c r="L39" i="8" s="1"/>
  <c r="AF151" i="8"/>
  <c r="L82" i="8" s="1"/>
  <c r="AF139" i="6"/>
  <c r="L67" i="6" s="1"/>
  <c r="AF102" i="6"/>
  <c r="AD104" i="8"/>
  <c r="AG139" i="6"/>
  <c r="M67" i="6" s="1"/>
  <c r="AG102" i="6"/>
  <c r="AF114" i="6"/>
  <c r="L23" i="6"/>
  <c r="AH114" i="9"/>
  <c r="N24" i="9"/>
  <c r="AG114" i="9"/>
  <c r="M24" i="9"/>
  <c r="AG151" i="9"/>
  <c r="M83" i="9" s="1"/>
  <c r="AE139" i="12"/>
  <c r="K67" i="12" s="1"/>
  <c r="AE102" i="12"/>
  <c r="AF151" i="12"/>
  <c r="L82" i="12" s="1"/>
  <c r="AF114" i="12"/>
  <c r="L23" i="12"/>
  <c r="AD139" i="12"/>
  <c r="J67" i="12" s="1"/>
  <c r="AD102" i="12"/>
  <c r="AE115" i="8"/>
  <c r="AE152" i="8"/>
  <c r="K83" i="8" s="1"/>
  <c r="K24" i="8"/>
  <c r="AH114" i="8"/>
  <c r="N23" i="8"/>
  <c r="AE114" i="12"/>
  <c r="AE151" i="12"/>
  <c r="K82" i="12" s="1"/>
  <c r="K23" i="12"/>
  <c r="AH139" i="8"/>
  <c r="N67" i="8" s="1"/>
  <c r="AH102" i="8"/>
  <c r="AG104" i="8"/>
  <c r="AF114" i="9"/>
  <c r="L24" i="9"/>
  <c r="AE102" i="6"/>
  <c r="AE139" i="6"/>
  <c r="K67" i="6" s="1"/>
  <c r="AI102" i="6"/>
  <c r="AI139" i="6"/>
  <c r="O67" i="6" s="1"/>
  <c r="AI103" i="8"/>
  <c r="AI140" i="8"/>
  <c r="O68" i="8" s="1"/>
  <c r="AG151" i="12"/>
  <c r="M82" i="12" s="1"/>
  <c r="AG114" i="12"/>
  <c r="M23" i="12"/>
  <c r="AI151" i="12"/>
  <c r="O82" i="12" s="1"/>
  <c r="AI114" i="12"/>
  <c r="O23" i="12"/>
  <c r="L25" i="8"/>
  <c r="AF116" i="8"/>
  <c r="AD151" i="12"/>
  <c r="J82" i="12" s="1"/>
  <c r="AD114" i="12"/>
  <c r="J23" i="12"/>
  <c r="AG152" i="8"/>
  <c r="M83" i="8" s="1"/>
  <c r="AG115" i="8"/>
  <c r="M24" i="8"/>
  <c r="AD139" i="9"/>
  <c r="J68" i="9" s="1"/>
  <c r="AD102" i="9"/>
  <c r="AE114" i="9"/>
  <c r="K24" i="9"/>
  <c r="AI115" i="8"/>
  <c r="O24" i="8"/>
  <c r="AE139" i="9"/>
  <c r="K68" i="9" s="1"/>
  <c r="AE102" i="9"/>
  <c r="AG140" i="8"/>
  <c r="M68" i="8" s="1"/>
  <c r="AG139" i="12"/>
  <c r="M67" i="12" s="1"/>
  <c r="AG102" i="12"/>
  <c r="AG139" i="9"/>
  <c r="M68" i="9" s="1"/>
  <c r="AG102" i="9"/>
  <c r="AE114" i="6"/>
  <c r="K23" i="6"/>
  <c r="AD115" i="8"/>
  <c r="J24" i="8"/>
  <c r="AD152" i="8"/>
  <c r="J83" i="8" s="1"/>
  <c r="AD114" i="6"/>
  <c r="J23" i="6"/>
  <c r="AH150" i="12"/>
  <c r="N81" i="12" s="1"/>
  <c r="AH113" i="12"/>
  <c r="N22" i="12"/>
  <c r="AF139" i="9"/>
  <c r="L68" i="9" s="1"/>
  <c r="AF102" i="9"/>
  <c r="AI102" i="12"/>
  <c r="AI139" i="12"/>
  <c r="O67" i="12" s="1"/>
  <c r="AD102" i="6"/>
  <c r="AD139" i="6"/>
  <c r="J67" i="6" s="1"/>
  <c r="AH138" i="6"/>
  <c r="N66" i="6" s="1"/>
  <c r="AH101" i="6"/>
  <c r="AH139" i="9"/>
  <c r="N68" i="9" s="1"/>
  <c r="AH102" i="9"/>
  <c r="AI114" i="6"/>
  <c r="O23" i="6"/>
  <c r="AI138" i="9"/>
  <c r="O67" i="9" s="1"/>
  <c r="AI101" i="9"/>
  <c r="M23" i="6"/>
  <c r="AG114" i="6"/>
  <c r="AI113" i="9"/>
  <c r="O23" i="9"/>
  <c r="AD151" i="9"/>
  <c r="J83" i="9" s="1"/>
  <c r="AD114" i="9"/>
  <c r="J24" i="9"/>
  <c r="AH138" i="12"/>
  <c r="N66" i="12" s="1"/>
  <c r="AH101" i="12"/>
  <c r="AI125" i="9" l="1"/>
  <c r="AI151" i="9" s="1"/>
  <c r="O83" i="9" s="1"/>
  <c r="O38" i="9"/>
  <c r="AG127" i="9"/>
  <c r="M40" i="9"/>
  <c r="AI150" i="9"/>
  <c r="O82" i="9" s="1"/>
  <c r="AE126" i="9"/>
  <c r="AE152" i="9" s="1"/>
  <c r="K84" i="9" s="1"/>
  <c r="K39" i="9"/>
  <c r="AE151" i="9"/>
  <c r="K83" i="9" s="1"/>
  <c r="AH126" i="9"/>
  <c r="AH152" i="9" s="1"/>
  <c r="N84" i="9" s="1"/>
  <c r="N39" i="9"/>
  <c r="AF126" i="9"/>
  <c r="AF152" i="9" s="1"/>
  <c r="L84" i="9" s="1"/>
  <c r="L39" i="9"/>
  <c r="AD126" i="9"/>
  <c r="AD152" i="9" s="1"/>
  <c r="J84" i="9" s="1"/>
  <c r="J39" i="9"/>
  <c r="AH125" i="6"/>
  <c r="AH151" i="6" s="1"/>
  <c r="N82" i="6" s="1"/>
  <c r="N37" i="6"/>
  <c r="AI126" i="6"/>
  <c r="O38" i="6"/>
  <c r="AI151" i="6"/>
  <c r="O82" i="6" s="1"/>
  <c r="AD126" i="6"/>
  <c r="AD152" i="6" s="1"/>
  <c r="J83" i="6" s="1"/>
  <c r="J38" i="6"/>
  <c r="AG126" i="6"/>
  <c r="M38" i="6"/>
  <c r="AG151" i="6"/>
  <c r="M82" i="6" s="1"/>
  <c r="AE126" i="6"/>
  <c r="AE152" i="6" s="1"/>
  <c r="K83" i="6" s="1"/>
  <c r="K38" i="6"/>
  <c r="AF126" i="6"/>
  <c r="AF152" i="6" s="1"/>
  <c r="L83" i="6" s="1"/>
  <c r="L38" i="6"/>
  <c r="AH126" i="12"/>
  <c r="N38" i="12"/>
  <c r="AF127" i="12"/>
  <c r="L39" i="12"/>
  <c r="AI128" i="12"/>
  <c r="O41" i="12" s="1"/>
  <c r="O40" i="12"/>
  <c r="AG127" i="12"/>
  <c r="M39" i="12"/>
  <c r="AE128" i="12"/>
  <c r="K41" i="12" s="1"/>
  <c r="K40" i="12"/>
  <c r="AD127" i="12"/>
  <c r="J39" i="12"/>
  <c r="AI127" i="8"/>
  <c r="O39" i="8"/>
  <c r="AE128" i="8"/>
  <c r="K41" i="8" s="1"/>
  <c r="K40" i="8"/>
  <c r="AD128" i="8"/>
  <c r="J41" i="8" s="1"/>
  <c r="J40" i="8"/>
  <c r="AH126" i="8"/>
  <c r="AH152" i="8" s="1"/>
  <c r="N83" i="8" s="1"/>
  <c r="N38" i="8"/>
  <c r="AF140" i="8"/>
  <c r="L68" i="8" s="1"/>
  <c r="AF103" i="8"/>
  <c r="AI139" i="9"/>
  <c r="O68" i="9" s="1"/>
  <c r="AI102" i="9"/>
  <c r="AI152" i="6"/>
  <c r="O83" i="6" s="1"/>
  <c r="AI115" i="6"/>
  <c r="O24" i="6"/>
  <c r="AI140" i="12"/>
  <c r="O68" i="12" s="1"/>
  <c r="AI103" i="12"/>
  <c r="AH151" i="12"/>
  <c r="N82" i="12" s="1"/>
  <c r="AH114" i="12"/>
  <c r="N23" i="12"/>
  <c r="AD115" i="6"/>
  <c r="J24" i="6"/>
  <c r="AE140" i="9"/>
  <c r="K69" i="9" s="1"/>
  <c r="AE103" i="9"/>
  <c r="AI153" i="8"/>
  <c r="O84" i="8" s="1"/>
  <c r="AI116" i="8"/>
  <c r="O25" i="8"/>
  <c r="AE153" i="8"/>
  <c r="K84" i="8" s="1"/>
  <c r="AE116" i="8"/>
  <c r="K25" i="8"/>
  <c r="N23" i="6"/>
  <c r="AH114" i="6"/>
  <c r="AH139" i="12"/>
  <c r="N67" i="12" s="1"/>
  <c r="AH102" i="12"/>
  <c r="AG115" i="6"/>
  <c r="M24" i="6"/>
  <c r="AH103" i="9"/>
  <c r="AH140" i="9"/>
  <c r="N69" i="9" s="1"/>
  <c r="AF103" i="9"/>
  <c r="AF140" i="9"/>
  <c r="L69" i="9" s="1"/>
  <c r="AG140" i="12"/>
  <c r="M68" i="12" s="1"/>
  <c r="AG103" i="12"/>
  <c r="AD140" i="12"/>
  <c r="J68" i="12" s="1"/>
  <c r="AD103" i="12"/>
  <c r="AG103" i="6"/>
  <c r="AG140" i="6"/>
  <c r="M68" i="6" s="1"/>
  <c r="AF140" i="6"/>
  <c r="L68" i="6" s="1"/>
  <c r="AF103" i="6"/>
  <c r="AD140" i="9"/>
  <c r="J69" i="9" s="1"/>
  <c r="AD103" i="9"/>
  <c r="AI140" i="6"/>
  <c r="O68" i="6" s="1"/>
  <c r="AI103" i="6"/>
  <c r="AF115" i="9"/>
  <c r="L25" i="9"/>
  <c r="AF127" i="8"/>
  <c r="L40" i="8" s="1"/>
  <c r="AF152" i="8"/>
  <c r="L83" i="8" s="1"/>
  <c r="AD103" i="6"/>
  <c r="AD140" i="6"/>
  <c r="J68" i="6" s="1"/>
  <c r="K24" i="6"/>
  <c r="AE115" i="6"/>
  <c r="AE115" i="9"/>
  <c r="K25" i="9"/>
  <c r="AD115" i="12"/>
  <c r="AD152" i="12"/>
  <c r="J83" i="12" s="1"/>
  <c r="J24" i="12"/>
  <c r="AI141" i="8"/>
  <c r="O69" i="8" s="1"/>
  <c r="AI104" i="8"/>
  <c r="AE140" i="6"/>
  <c r="K68" i="6" s="1"/>
  <c r="AE103" i="6"/>
  <c r="AE140" i="12"/>
  <c r="K68" i="12" s="1"/>
  <c r="AE103" i="12"/>
  <c r="AG152" i="9"/>
  <c r="M84" i="9" s="1"/>
  <c r="M25" i="9"/>
  <c r="AG115" i="9"/>
  <c r="AE141" i="8"/>
  <c r="K69" i="8" s="1"/>
  <c r="AE104" i="8"/>
  <c r="AF140" i="12"/>
  <c r="L68" i="12" s="1"/>
  <c r="AF103" i="12"/>
  <c r="AD115" i="9"/>
  <c r="J25" i="9"/>
  <c r="L26" i="8"/>
  <c r="AI152" i="12"/>
  <c r="O83" i="12" s="1"/>
  <c r="AI115" i="12"/>
  <c r="O24" i="12"/>
  <c r="AH140" i="8"/>
  <c r="N68" i="8" s="1"/>
  <c r="AH103" i="8"/>
  <c r="AE152" i="12"/>
  <c r="K83" i="12" s="1"/>
  <c r="AE115" i="12"/>
  <c r="K24" i="12"/>
  <c r="AH115" i="8"/>
  <c r="N24" i="8"/>
  <c r="AF152" i="12"/>
  <c r="L83" i="12" s="1"/>
  <c r="AF115" i="12"/>
  <c r="L24" i="12"/>
  <c r="AH115" i="9"/>
  <c r="N25" i="9"/>
  <c r="O24" i="9"/>
  <c r="AI114" i="9"/>
  <c r="AH139" i="6"/>
  <c r="N67" i="6" s="1"/>
  <c r="AH102" i="6"/>
  <c r="AD116" i="8"/>
  <c r="AD142" i="8" s="1"/>
  <c r="J70" i="8" s="1"/>
  <c r="AD153" i="8"/>
  <c r="J84" i="8" s="1"/>
  <c r="J25" i="8"/>
  <c r="AG140" i="9"/>
  <c r="M69" i="9" s="1"/>
  <c r="AG103" i="9"/>
  <c r="AG116" i="8"/>
  <c r="AG142" i="8" s="1"/>
  <c r="M70" i="8" s="1"/>
  <c r="AG153" i="8"/>
  <c r="M84" i="8" s="1"/>
  <c r="M25" i="8"/>
  <c r="AG152" i="12"/>
  <c r="M83" i="12" s="1"/>
  <c r="AG115" i="12"/>
  <c r="M24" i="12"/>
  <c r="AG141" i="8"/>
  <c r="M69" i="8" s="1"/>
  <c r="AF115" i="6"/>
  <c r="L24" i="6"/>
  <c r="AD141" i="8"/>
  <c r="J69" i="8" s="1"/>
  <c r="AF127" i="9" l="1"/>
  <c r="L40" i="9"/>
  <c r="AG128" i="9"/>
  <c r="M42" i="9" s="1"/>
  <c r="M41" i="9"/>
  <c r="AE127" i="9"/>
  <c r="K40" i="9"/>
  <c r="AD127" i="9"/>
  <c r="AD153" i="9" s="1"/>
  <c r="J85" i="9" s="1"/>
  <c r="J40" i="9"/>
  <c r="AH127" i="9"/>
  <c r="N40" i="9"/>
  <c r="AI126" i="9"/>
  <c r="AI152" i="9" s="1"/>
  <c r="O84" i="9" s="1"/>
  <c r="O39" i="9"/>
  <c r="AG127" i="6"/>
  <c r="AG153" i="6" s="1"/>
  <c r="M84" i="6" s="1"/>
  <c r="M39" i="6"/>
  <c r="AE127" i="6"/>
  <c r="AE153" i="6" s="1"/>
  <c r="K84" i="6" s="1"/>
  <c r="K39" i="6"/>
  <c r="AI127" i="6"/>
  <c r="AI153" i="6" s="1"/>
  <c r="O84" i="6" s="1"/>
  <c r="O39" i="6"/>
  <c r="AD127" i="6"/>
  <c r="AD153" i="6" s="1"/>
  <c r="J84" i="6" s="1"/>
  <c r="J39" i="6"/>
  <c r="AG152" i="6"/>
  <c r="M83" i="6" s="1"/>
  <c r="AF127" i="6"/>
  <c r="AF153" i="6" s="1"/>
  <c r="L84" i="6" s="1"/>
  <c r="L39" i="6"/>
  <c r="AH126" i="6"/>
  <c r="N38" i="6"/>
  <c r="AD128" i="12"/>
  <c r="J41" i="12" s="1"/>
  <c r="J40" i="12"/>
  <c r="AG128" i="12"/>
  <c r="M41" i="12" s="1"/>
  <c r="M40" i="12"/>
  <c r="AF128" i="12"/>
  <c r="L41" i="12" s="1"/>
  <c r="L40" i="12"/>
  <c r="AH127" i="12"/>
  <c r="N39" i="12"/>
  <c r="AH127" i="8"/>
  <c r="AH153" i="8" s="1"/>
  <c r="N84" i="8" s="1"/>
  <c r="N39" i="8"/>
  <c r="AI128" i="8"/>
  <c r="O41" i="8" s="1"/>
  <c r="O40" i="8"/>
  <c r="AF141" i="8"/>
  <c r="L69" i="8" s="1"/>
  <c r="AF104" i="8"/>
  <c r="AF142" i="8" s="1"/>
  <c r="L70" i="8" s="1"/>
  <c r="AI142" i="8"/>
  <c r="O70" i="8" s="1"/>
  <c r="AE153" i="12"/>
  <c r="K84" i="12" s="1"/>
  <c r="K25" i="12"/>
  <c r="AE116" i="12"/>
  <c r="AD153" i="12"/>
  <c r="J84" i="12" s="1"/>
  <c r="AD116" i="12"/>
  <c r="J25" i="12"/>
  <c r="AD141" i="9"/>
  <c r="J70" i="9" s="1"/>
  <c r="AD104" i="9"/>
  <c r="AE154" i="8"/>
  <c r="K85" i="8" s="1"/>
  <c r="K26" i="8"/>
  <c r="AH116" i="8"/>
  <c r="N25" i="8"/>
  <c r="AI153" i="12"/>
  <c r="O84" i="12" s="1"/>
  <c r="AI116" i="12"/>
  <c r="O25" i="12"/>
  <c r="AF153" i="9"/>
  <c r="L85" i="9" s="1"/>
  <c r="AF116" i="9"/>
  <c r="L26" i="9"/>
  <c r="AG104" i="6"/>
  <c r="AG141" i="6"/>
  <c r="M69" i="6" s="1"/>
  <c r="AG141" i="12"/>
  <c r="M69" i="12" s="1"/>
  <c r="AG104" i="12"/>
  <c r="AG116" i="6"/>
  <c r="M25" i="6"/>
  <c r="AH115" i="6"/>
  <c r="N24" i="6"/>
  <c r="AE104" i="9"/>
  <c r="AE141" i="9"/>
  <c r="K70" i="9" s="1"/>
  <c r="J25" i="6"/>
  <c r="AD116" i="6"/>
  <c r="AI141" i="12"/>
  <c r="O69" i="12" s="1"/>
  <c r="AI104" i="12"/>
  <c r="AH103" i="6"/>
  <c r="AH140" i="6"/>
  <c r="N68" i="6" s="1"/>
  <c r="AD141" i="6"/>
  <c r="J69" i="6" s="1"/>
  <c r="AD104" i="6"/>
  <c r="AF141" i="9"/>
  <c r="L70" i="9" s="1"/>
  <c r="AF104" i="9"/>
  <c r="O25" i="6"/>
  <c r="AI116" i="6"/>
  <c r="AF116" i="6"/>
  <c r="L25" i="6"/>
  <c r="AG153" i="12"/>
  <c r="M84" i="12" s="1"/>
  <c r="AG116" i="12"/>
  <c r="M25" i="12"/>
  <c r="AG154" i="8"/>
  <c r="M85" i="8" s="1"/>
  <c r="M26" i="8"/>
  <c r="AI115" i="9"/>
  <c r="O25" i="9"/>
  <c r="AF153" i="12"/>
  <c r="L84" i="12" s="1"/>
  <c r="AF116" i="12"/>
  <c r="L25" i="12"/>
  <c r="AH104" i="8"/>
  <c r="AH141" i="8"/>
  <c r="N69" i="8" s="1"/>
  <c r="AE142" i="8"/>
  <c r="K70" i="8" s="1"/>
  <c r="AE141" i="6"/>
  <c r="K69" i="6" s="1"/>
  <c r="AE104" i="6"/>
  <c r="AE153" i="9"/>
  <c r="K85" i="9" s="1"/>
  <c r="K26" i="9"/>
  <c r="AE116" i="9"/>
  <c r="AF128" i="8"/>
  <c r="AF153" i="8"/>
  <c r="L84" i="8" s="1"/>
  <c r="AI141" i="6"/>
  <c r="O69" i="6" s="1"/>
  <c r="AI104" i="6"/>
  <c r="AF104" i="6"/>
  <c r="AF141" i="6"/>
  <c r="L69" i="6" s="1"/>
  <c r="AD141" i="12"/>
  <c r="J69" i="12" s="1"/>
  <c r="AD104" i="12"/>
  <c r="AH141" i="9"/>
  <c r="N70" i="9" s="1"/>
  <c r="AH104" i="9"/>
  <c r="AH103" i="12"/>
  <c r="AH140" i="12"/>
  <c r="N68" i="12" s="1"/>
  <c r="AI140" i="9"/>
  <c r="O69" i="9" s="1"/>
  <c r="AI103" i="9"/>
  <c r="AF141" i="12"/>
  <c r="L69" i="12" s="1"/>
  <c r="AF104" i="12"/>
  <c r="AG116" i="9"/>
  <c r="M26" i="9"/>
  <c r="AG153" i="9"/>
  <c r="M85" i="9" s="1"/>
  <c r="K25" i="6"/>
  <c r="AE116" i="6"/>
  <c r="AG141" i="9"/>
  <c r="M70" i="9" s="1"/>
  <c r="AG104" i="9"/>
  <c r="AD154" i="8"/>
  <c r="J85" i="8" s="1"/>
  <c r="J26" i="8"/>
  <c r="AH153" i="9"/>
  <c r="N85" i="9" s="1"/>
  <c r="AH116" i="9"/>
  <c r="N26" i="9"/>
  <c r="AD116" i="9"/>
  <c r="J26" i="9"/>
  <c r="AE141" i="12"/>
  <c r="K69" i="12" s="1"/>
  <c r="AE104" i="12"/>
  <c r="O26" i="8"/>
  <c r="AH115" i="12"/>
  <c r="AH152" i="12"/>
  <c r="N83" i="12" s="1"/>
  <c r="N24" i="12"/>
  <c r="AF142" i="9" l="1"/>
  <c r="L71" i="9" s="1"/>
  <c r="AI154" i="8"/>
  <c r="O85" i="8" s="1"/>
  <c r="AI127" i="9"/>
  <c r="AI153" i="9" s="1"/>
  <c r="O85" i="9" s="1"/>
  <c r="O40" i="9"/>
  <c r="AD128" i="9"/>
  <c r="J42" i="9" s="1"/>
  <c r="J41" i="9"/>
  <c r="AH128" i="9"/>
  <c r="N42" i="9" s="1"/>
  <c r="N41" i="9"/>
  <c r="AE128" i="9"/>
  <c r="K42" i="9" s="1"/>
  <c r="K41" i="9"/>
  <c r="AF128" i="9"/>
  <c r="L42" i="9" s="1"/>
  <c r="L41" i="9"/>
  <c r="AH127" i="6"/>
  <c r="AH153" i="6" s="1"/>
  <c r="N84" i="6" s="1"/>
  <c r="N39" i="6"/>
  <c r="AH152" i="6"/>
  <c r="N83" i="6" s="1"/>
  <c r="AD128" i="6"/>
  <c r="J41" i="6" s="1"/>
  <c r="J40" i="6"/>
  <c r="AE128" i="6"/>
  <c r="K41" i="6" s="1"/>
  <c r="K40" i="6"/>
  <c r="AF128" i="6"/>
  <c r="L41" i="6" s="1"/>
  <c r="L40" i="6"/>
  <c r="AI128" i="6"/>
  <c r="O41" i="6" s="1"/>
  <c r="O40" i="6"/>
  <c r="AG128" i="6"/>
  <c r="M41" i="6" s="1"/>
  <c r="M40" i="6"/>
  <c r="AH128" i="12"/>
  <c r="N41" i="12" s="1"/>
  <c r="N40" i="12"/>
  <c r="AF142" i="12"/>
  <c r="L70" i="12" s="1"/>
  <c r="AD142" i="12"/>
  <c r="J70" i="12" s="1"/>
  <c r="AG142" i="12"/>
  <c r="M70" i="12" s="1"/>
  <c r="AF154" i="8"/>
  <c r="L85" i="8" s="1"/>
  <c r="L41" i="8"/>
  <c r="AH128" i="8"/>
  <c r="N41" i="8" s="1"/>
  <c r="N40" i="8"/>
  <c r="AE142" i="12"/>
  <c r="K70" i="12" s="1"/>
  <c r="AI142" i="12"/>
  <c r="O70" i="12" s="1"/>
  <c r="AI142" i="6"/>
  <c r="O70" i="6" s="1"/>
  <c r="AF142" i="6"/>
  <c r="L70" i="6" s="1"/>
  <c r="AD142" i="6"/>
  <c r="J70" i="6" s="1"/>
  <c r="AH142" i="8"/>
  <c r="N70" i="8" s="1"/>
  <c r="AE142" i="6"/>
  <c r="K70" i="6" s="1"/>
  <c r="AD142" i="9"/>
  <c r="J71" i="9" s="1"/>
  <c r="AG154" i="9"/>
  <c r="M86" i="9" s="1"/>
  <c r="M27" i="9"/>
  <c r="M26" i="6"/>
  <c r="AG142" i="6"/>
  <c r="M70" i="6" s="1"/>
  <c r="AH154" i="9"/>
  <c r="N86" i="9" s="1"/>
  <c r="N27" i="9"/>
  <c r="AE154" i="9"/>
  <c r="K86" i="9" s="1"/>
  <c r="K27" i="9"/>
  <c r="AI116" i="9"/>
  <c r="O26" i="9"/>
  <c r="N25" i="6"/>
  <c r="AH116" i="6"/>
  <c r="AI154" i="12"/>
  <c r="O85" i="12" s="1"/>
  <c r="O26" i="12"/>
  <c r="N26" i="8"/>
  <c r="AE154" i="12"/>
  <c r="K85" i="12" s="1"/>
  <c r="K26" i="12"/>
  <c r="AG142" i="9"/>
  <c r="M71" i="9" s="1"/>
  <c r="J27" i="9"/>
  <c r="AH141" i="12"/>
  <c r="N69" i="12" s="1"/>
  <c r="AH104" i="12"/>
  <c r="AF154" i="12"/>
  <c r="L85" i="12" s="1"/>
  <c r="L26" i="12"/>
  <c r="AG154" i="12"/>
  <c r="M85" i="12" s="1"/>
  <c r="M26" i="12"/>
  <c r="L26" i="6"/>
  <c r="J26" i="6"/>
  <c r="AE142" i="9"/>
  <c r="K71" i="9" s="1"/>
  <c r="L27" i="9"/>
  <c r="AH153" i="12"/>
  <c r="N84" i="12" s="1"/>
  <c r="AH116" i="12"/>
  <c r="N25" i="12"/>
  <c r="K26" i="6"/>
  <c r="AI104" i="9"/>
  <c r="AI141" i="9"/>
  <c r="O70" i="9" s="1"/>
  <c r="AH142" i="9"/>
  <c r="N71" i="9" s="1"/>
  <c r="O26" i="6"/>
  <c r="AH141" i="6"/>
  <c r="N69" i="6" s="1"/>
  <c r="AH104" i="6"/>
  <c r="AD154" i="12"/>
  <c r="J85" i="12" s="1"/>
  <c r="J26" i="12"/>
  <c r="AH154" i="8" l="1"/>
  <c r="N85" i="8" s="1"/>
  <c r="AF154" i="9"/>
  <c r="L86" i="9" s="1"/>
  <c r="AI154" i="6"/>
  <c r="O85" i="6" s="1"/>
  <c r="AE154" i="6"/>
  <c r="K85" i="6" s="1"/>
  <c r="AD154" i="9"/>
  <c r="J86" i="9" s="1"/>
  <c r="AI128" i="9"/>
  <c r="O42" i="9" s="1"/>
  <c r="O41" i="9"/>
  <c r="AD154" i="6"/>
  <c r="J85" i="6" s="1"/>
  <c r="AF154" i="6"/>
  <c r="L85" i="6" s="1"/>
  <c r="AG154" i="6"/>
  <c r="M85" i="6" s="1"/>
  <c r="AH128" i="6"/>
  <c r="N41" i="6" s="1"/>
  <c r="N40" i="6"/>
  <c r="AH142" i="12"/>
  <c r="N70" i="12" s="1"/>
  <c r="AI142" i="9"/>
  <c r="O71" i="9" s="1"/>
  <c r="AH142" i="6"/>
  <c r="N70" i="6" s="1"/>
  <c r="AH154" i="12"/>
  <c r="N85" i="12" s="1"/>
  <c r="N26" i="12"/>
  <c r="N26" i="6"/>
  <c r="O27" i="9"/>
  <c r="AI154" i="9" l="1"/>
  <c r="O86" i="9" s="1"/>
  <c r="AH154" i="6"/>
  <c r="N85" i="6" s="1"/>
</calcChain>
</file>

<file path=xl/sharedStrings.xml><?xml version="1.0" encoding="utf-8"?>
<sst xmlns="http://schemas.openxmlformats.org/spreadsheetml/2006/main" count="4102" uniqueCount="630">
  <si>
    <t>Año_seleccionado--&gt;</t>
  </si>
  <si>
    <t>Mes_seleccionado--&gt;</t>
  </si>
  <si>
    <t>Periodo_seleccionado--&gt;</t>
  </si>
  <si>
    <t>Año_anterior_seleccionado--&gt;</t>
  </si>
  <si>
    <t>AA.TT.</t>
  </si>
  <si>
    <t>Total</t>
  </si>
  <si>
    <t xml:space="preserve">Total </t>
  </si>
  <si>
    <t>Total 
(1)</t>
  </si>
  <si>
    <t>Resto</t>
  </si>
  <si>
    <t>Total 
a = b + c = 
d + e + f</t>
  </si>
  <si>
    <t>Total
(2)</t>
  </si>
  <si>
    <t>CC.AA.</t>
  </si>
  <si>
    <t>CC.LL.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</si>
  <si>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</si>
  <si>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</si>
  <si>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</si>
  <si>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</si>
  <si>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</si>
  <si>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</si>
  <si>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</si>
  <si>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</si>
  <si>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</si>
  <si>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</si>
  <si>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</si>
  <si>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</si>
  <si>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</si>
  <si>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</si>
  <si>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</si>
  <si>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</si>
  <si>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</si>
  <si>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</si>
  <si>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</si>
  <si>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</si>
  <si>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</si>
  <si>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</si>
  <si>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</si>
  <si>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</si>
  <si>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</si>
  <si>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</si>
  <si>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STATISTICS TABLES INDEX</t>
  </si>
  <si>
    <t>1. Tax revenue by items and Administrations Share</t>
  </si>
  <si>
    <t>2. Refunds, Local Administrations Share and Other Reductions. Gross Receipts</t>
  </si>
  <si>
    <t>3. Homogeneous Tax Revenue</t>
  </si>
  <si>
    <t>Table 1.1</t>
  </si>
  <si>
    <t xml:space="preserve"> REVENUE BY TAXES AND ITS ALLOCATION BY ADMINISTRATIONS.</t>
  </si>
  <si>
    <t>ABSTRACT. CURRENT MONTH AND YEAR-TO-DATE.</t>
  </si>
  <si>
    <t>(€ Million)</t>
  </si>
  <si>
    <t xml:space="preserve">   Year:</t>
  </si>
  <si>
    <t xml:space="preserve">                Month:</t>
  </si>
  <si>
    <t>CURRENT MONTH</t>
  </si>
  <si>
    <t>Central Gov.</t>
  </si>
  <si>
    <t>Local Adm.</t>
  </si>
  <si>
    <t>Central G.</t>
  </si>
  <si>
    <t>Personal Income Tax</t>
  </si>
  <si>
    <t>Corporation Tax</t>
  </si>
  <si>
    <t>Non- Residents Tax</t>
  </si>
  <si>
    <t>Environmental Taxes</t>
  </si>
  <si>
    <t>Other</t>
  </si>
  <si>
    <t>Value Added Tax</t>
  </si>
  <si>
    <t xml:space="preserve">   + Import</t>
  </si>
  <si>
    <t xml:space="preserve">   + Domestic Transactions</t>
  </si>
  <si>
    <t>Excise Taxes</t>
  </si>
  <si>
    <t xml:space="preserve">   + Alcohol </t>
  </si>
  <si>
    <t xml:space="preserve">   + Beer</t>
  </si>
  <si>
    <t xml:space="preserve">   + Fuels</t>
  </si>
  <si>
    <t xml:space="preserve">   + Tobacco</t>
  </si>
  <si>
    <t xml:space="preserve">   + Electricity</t>
  </si>
  <si>
    <t xml:space="preserve">   + Coal</t>
  </si>
  <si>
    <t xml:space="preserve">   + Other</t>
  </si>
  <si>
    <t>Insurance Premiums Tax</t>
  </si>
  <si>
    <t>Custom Duties</t>
  </si>
  <si>
    <t>CHAP. III - FEES AND OTHER REVENUE</t>
  </si>
  <si>
    <t>TOTAL AMOUNT</t>
  </si>
  <si>
    <t>YEAR-TO-DATE</t>
  </si>
  <si>
    <t>Page II-2</t>
  </si>
  <si>
    <t>Table 1.2</t>
  </si>
  <si>
    <t>EVOLUTION. MONTHLY AND YEAR-TO-DATE</t>
  </si>
  <si>
    <t>(€ million)</t>
  </si>
  <si>
    <t xml:space="preserve">              Year:   </t>
  </si>
  <si>
    <t>Año_seleccionado_C.1.2--&gt;</t>
  </si>
  <si>
    <t>Mes hasta--&gt;</t>
  </si>
  <si>
    <t>MONTHLY</t>
  </si>
  <si>
    <t>Año_anterior_seleccionado_C.1.2--&gt;</t>
  </si>
  <si>
    <t>PIT</t>
  </si>
  <si>
    <t>CT</t>
  </si>
  <si>
    <t>VAT</t>
  </si>
  <si>
    <t>Excise T.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</si>
  <si>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</si>
  <si>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</si>
  <si>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</si>
  <si>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</si>
  <si>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</si>
  <si>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</si>
  <si>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</si>
  <si>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</si>
  <si>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</si>
  <si>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</si>
  <si>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</si>
  <si>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</si>
  <si>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</si>
  <si>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GROWTH RATES (%)</t>
  </si>
  <si>
    <t>IRPF</t>
  </si>
  <si>
    <t>IS</t>
  </si>
  <si>
    <t>IVA</t>
  </si>
  <si>
    <t>IIEE</t>
  </si>
  <si>
    <t xml:space="preserve">Page II-3 </t>
  </si>
  <si>
    <t>ACUMULADO</t>
  </si>
  <si>
    <t>TASAS</t>
  </si>
  <si>
    <t>Table 2.1</t>
  </si>
  <si>
    <t>REFUNDS, LOCAL ADMINISTRATIONS SHARES AND OTHER REDUCTIONS. MONTH AND YEAR-TO-DATE</t>
  </si>
  <si>
    <t>Año_seleccionado_C.2.1--&gt;</t>
  </si>
  <si>
    <t>Mes_seleccionado_C.2.1--&gt;</t>
  </si>
  <si>
    <t>Periodo_seleccionado_C.2.1--&gt;</t>
  </si>
  <si>
    <t xml:space="preserve">Year:   </t>
  </si>
  <si>
    <t xml:space="preserve">Month:     </t>
  </si>
  <si>
    <t>Año_anterior_seleccionado_C.2.1--&gt;</t>
  </si>
  <si>
    <t>MONTH</t>
  </si>
  <si>
    <t>Difference</t>
  </si>
  <si>
    <t>%</t>
  </si>
  <si>
    <t xml:space="preserve">  + Annual Return Outcome</t>
  </si>
  <si>
    <t xml:space="preserve">  + AEAT Assessments</t>
  </si>
  <si>
    <t xml:space="preserve">  + Other Refunds</t>
  </si>
  <si>
    <t xml:space="preserve">  + Spanish Goverment Treasury</t>
  </si>
  <si>
    <t>Annual Return Outcome</t>
  </si>
  <si>
    <t>Non-Residents Tax</t>
  </si>
  <si>
    <t xml:space="preserve">  + Otras devoluciones</t>
  </si>
  <si>
    <t xml:space="preserve">  + D. G. del Tesoro y Política Financiera</t>
  </si>
  <si>
    <t xml:space="preserve">  + Yearly and Other</t>
  </si>
  <si>
    <t xml:space="preserve">  + Monthly</t>
  </si>
  <si>
    <t xml:space="preserve">  + Basque Country Taxation Clearings (1)</t>
  </si>
  <si>
    <t xml:space="preserve">  + Navarre Taxation Clearings (1)</t>
  </si>
  <si>
    <t>TOTAL REFUNDS</t>
  </si>
  <si>
    <t xml:space="preserve">  + Catholic Church Share</t>
  </si>
  <si>
    <t xml:space="preserve">  + Local Administrations PIT Share</t>
  </si>
  <si>
    <t>Local Administrations VAT Share</t>
  </si>
  <si>
    <t>Local Administrations Excise Taxes Share</t>
  </si>
  <si>
    <t>TOTAL REDUCTIONS</t>
  </si>
  <si>
    <t>TOTAL REFUNDS AND</t>
  </si>
  <si>
    <t>REDUCTIONS</t>
  </si>
  <si>
    <t xml:space="preserve">  (1) Single Assessments included</t>
  </si>
  <si>
    <t xml:space="preserve">Page II-6 </t>
  </si>
  <si>
    <t>Table 2.2</t>
  </si>
  <si>
    <t>REFUNDS. EVOLUTION</t>
  </si>
  <si>
    <t>Año_seleccionado_C.2.2--&gt;</t>
  </si>
  <si>
    <t>Año_anterior_seleccionado_C.2.2--&gt;</t>
  </si>
  <si>
    <t>Table 2.3</t>
  </si>
  <si>
    <t>LOCAL ADMINISTRATIONS SHARES AND OTHER REDUCTIONS. EVOLUTION</t>
  </si>
  <si>
    <t>Año_seleccionado_C.2.3--&gt;</t>
  </si>
  <si>
    <t>Año_anterior_seleccionado_C.2.3--&gt;</t>
  </si>
  <si>
    <t>LOCAL ADMINISTRATIONS SHARE</t>
  </si>
  <si>
    <t>CAT.CHURCH</t>
  </si>
  <si>
    <t>PARTICIPACIÓN DE LAS AA.TT.</t>
  </si>
  <si>
    <t>ASIG. I.C.</t>
  </si>
  <si>
    <t>MINOR.</t>
  </si>
  <si>
    <t>Table 2.4</t>
  </si>
  <si>
    <t>GROSS RECEIPTS. MONTH AND YEAR-TO-DATE</t>
  </si>
  <si>
    <t xml:space="preserve"> Year:   </t>
  </si>
  <si>
    <t xml:space="preserve">   </t>
  </si>
  <si>
    <t>Año_seleccionado_C.2.4--&gt;</t>
  </si>
  <si>
    <t>Mes_seleccionado_C.2.4--&gt;</t>
  </si>
  <si>
    <t>Periodo_seleccionado_C.2.4--&gt;</t>
  </si>
  <si>
    <t>Payroll Withholdings</t>
  </si>
  <si>
    <t>Año_anterior_seleccionado_C.2.4--&gt;</t>
  </si>
  <si>
    <t xml:space="preserve">               - Public Administrations</t>
  </si>
  <si>
    <t xml:space="preserve">               - Large Corporations</t>
  </si>
  <si>
    <t xml:space="preserve">               - Small Corporations</t>
  </si>
  <si>
    <t xml:space="preserve">               - Other receipts</t>
  </si>
  <si>
    <t xml:space="preserve">   - Annual Return Outcome</t>
  </si>
  <si>
    <t xml:space="preserve">   -  AEAT Assessments.</t>
  </si>
  <si>
    <t xml:space="preserve">   -  Import</t>
  </si>
  <si>
    <t xml:space="preserve">   -  Large Corporations</t>
  </si>
  <si>
    <t xml:space="preserve">   -  Small Corporations</t>
  </si>
  <si>
    <t xml:space="preserve">   -  Other receipts</t>
  </si>
  <si>
    <t xml:space="preserve">   -  Alcohol</t>
  </si>
  <si>
    <t xml:space="preserve">   -  Beer</t>
  </si>
  <si>
    <t xml:space="preserve">   -  Fuels</t>
  </si>
  <si>
    <t xml:space="preserve">   -  Tobacco</t>
  </si>
  <si>
    <t xml:space="preserve">   -  Electricity</t>
  </si>
  <si>
    <t xml:space="preserve">   -  Coal</t>
  </si>
  <si>
    <t xml:space="preserve">   -  Other</t>
  </si>
  <si>
    <t>Other Gross Receipts</t>
  </si>
  <si>
    <t>TOTAL GROSS RECEIPTS</t>
  </si>
  <si>
    <t>Page II-9</t>
  </si>
  <si>
    <t>Table 3.1</t>
  </si>
  <si>
    <t>Año_seleccionado_C.3.1--&gt;</t>
  </si>
  <si>
    <t>HOMOGENEOUS TAX REVENUE. ABSTRACT</t>
  </si>
  <si>
    <t>Mes_seleccionado_C.3.1--&gt;</t>
  </si>
  <si>
    <t>Periodo_seleccionado_C.3.1--&gt;</t>
  </si>
  <si>
    <t>Año_anterior_seleccionado_C.3.1--&gt;</t>
  </si>
  <si>
    <t xml:space="preserve">           Month:  </t>
  </si>
  <si>
    <t>PIT, Total Revenue</t>
  </si>
  <si>
    <t xml:space="preserve">  Total adjustments</t>
  </si>
  <si>
    <t xml:space="preserve">   + Different refunds schedules in 2019/2020</t>
  </si>
  <si>
    <t xml:space="preserve">   + Public Administrations payroll withholdings </t>
  </si>
  <si>
    <t>PIT, Homogeneous</t>
  </si>
  <si>
    <t>CT, Total Revenue</t>
  </si>
  <si>
    <t xml:space="preserve">   + Different refunds schedules in 2020/2019</t>
  </si>
  <si>
    <t>CT, Homogeneous</t>
  </si>
  <si>
    <t>VAT, Total Revenue</t>
  </si>
  <si>
    <t>VAT, Homogeneous</t>
  </si>
  <si>
    <t>Excise Taxes, Total Revenue</t>
  </si>
  <si>
    <t xml:space="preserve">   + Tobacco yield in Basque Country and Navarra</t>
  </si>
  <si>
    <t>Excise Taxes, Homogeneous</t>
  </si>
  <si>
    <t xml:space="preserve">Other Revenue </t>
  </si>
  <si>
    <t xml:space="preserve">   + Corrección retenciones Deuda Pública</t>
  </si>
  <si>
    <t xml:space="preserve">   + Levy on radio and electric spectrum use</t>
  </si>
  <si>
    <t>Other Homogeneous Revenue</t>
  </si>
  <si>
    <t>HOMOGENEOUS TOTAL REVENUE</t>
  </si>
  <si>
    <t>Años homogeneizaciones</t>
  </si>
  <si>
    <t>Table 3.2</t>
  </si>
  <si>
    <t>HOMOGENEOUS TAX REVENUE. EVOLUTION</t>
  </si>
  <si>
    <t>Año_seleccionado_C.3.2--&gt;</t>
  </si>
  <si>
    <t>Año_anterior_seleccionado_C.3.2--&gt;</t>
  </si>
  <si>
    <t>Ene</t>
  </si>
  <si>
    <t>Abr</t>
  </si>
  <si>
    <t>Ago</t>
  </si>
  <si>
    <t>Dic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</si>
  <si>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</si>
  <si>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</si>
  <si>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</si>
  <si>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</si>
  <si>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</si>
  <si>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</si>
  <si>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</si>
  <si>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</si>
  <si>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</si>
  <si>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</si>
  <si>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</si>
  <si>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</si>
  <si>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Years</t>
  </si>
  <si>
    <t>Months</t>
  </si>
  <si>
    <t>Periods</t>
  </si>
  <si>
    <t xml:space="preserve">Page II-4 </t>
  </si>
  <si>
    <t xml:space="preserve">Page II-5 </t>
  </si>
  <si>
    <t>Page II-7</t>
  </si>
  <si>
    <t>Page II-8</t>
  </si>
  <si>
    <t>96</t>
  </si>
  <si>
    <t>---</t>
  </si>
  <si>
    <t>97</t>
  </si>
  <si>
    <t>98</t>
  </si>
  <si>
    <t>99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</si>
  <si>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</si>
  <si>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</si>
  <si>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</si>
  <si>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</si>
  <si>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</si>
  <si>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</si>
  <si>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</si>
  <si>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</si>
  <si>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</si>
  <si>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</si>
  <si>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</si>
  <si>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</si>
  <si>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</si>
  <si>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</si>
  <si>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</si>
  <si>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</si>
  <si>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</si>
  <si>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</si>
  <si>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</si>
  <si>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</si>
  <si>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</si>
  <si>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-</t>
  </si>
  <si>
    <t>SERIES</t>
  </si>
  <si>
    <t>4.</t>
  </si>
  <si>
    <t>4.1.</t>
  </si>
  <si>
    <t>4.1.1.</t>
  </si>
  <si>
    <t>4.1.2.</t>
  </si>
  <si>
    <t>4.1.3.</t>
  </si>
  <si>
    <t>4.1.4.</t>
  </si>
  <si>
    <t>4.1.4.1.</t>
  </si>
  <si>
    <t>4.1.4.2.</t>
  </si>
  <si>
    <t>4.1.4.2.1.</t>
  </si>
  <si>
    <t>4.1.4.2.2.</t>
  </si>
  <si>
    <t>4.2.</t>
  </si>
  <si>
    <t>4.2.1.</t>
  </si>
  <si>
    <t>4.2.1.1.</t>
  </si>
  <si>
    <t>4.2.1.2.</t>
  </si>
  <si>
    <t>4.2.1.2.1.</t>
  </si>
  <si>
    <t>4.2.1.2.2.</t>
  </si>
  <si>
    <t>4.2.1.3.</t>
  </si>
  <si>
    <t>4.2.1.4.</t>
  </si>
  <si>
    <t>4.2.2.</t>
  </si>
  <si>
    <t>4.2.2.1.</t>
  </si>
  <si>
    <t>4.2.2.1.1.</t>
  </si>
  <si>
    <t>4.2.2.1.2.</t>
  </si>
  <si>
    <t>4.2.2.1.3.</t>
  </si>
  <si>
    <t>4.2.2.1.4.</t>
  </si>
  <si>
    <t>4.2.2.1.5.</t>
  </si>
  <si>
    <t>4.2.2.2.</t>
  </si>
  <si>
    <t>4.2.2.3.</t>
  </si>
  <si>
    <t>4.2.2.4.</t>
  </si>
  <si>
    <t>4.2.3.</t>
  </si>
  <si>
    <t>4.2.4.</t>
  </si>
  <si>
    <t>4.2.4.1.</t>
  </si>
  <si>
    <t>4.2.4.2.</t>
  </si>
  <si>
    <t>4.2.4.2.1.</t>
  </si>
  <si>
    <t>4.2.4.2.2.</t>
  </si>
  <si>
    <t>4.2.4.3.</t>
  </si>
  <si>
    <t>4.2.4.3.1.</t>
  </si>
  <si>
    <t>4.2.4.3.2.</t>
  </si>
  <si>
    <t>4.2.4.3.3.</t>
  </si>
  <si>
    <t>4.2.4.4.</t>
  </si>
  <si>
    <t>4.2.4.5.</t>
  </si>
  <si>
    <t>4.2.4.6.</t>
  </si>
  <si>
    <t>4.2.4.7.</t>
  </si>
  <si>
    <t>4.2.4.8.</t>
  </si>
  <si>
    <t>4.2.4.9.</t>
  </si>
  <si>
    <t>4.2.4.10.</t>
  </si>
  <si>
    <t>4.2.4.11.</t>
  </si>
  <si>
    <t>4.2.4.12.</t>
  </si>
  <si>
    <t>4.3.</t>
  </si>
  <si>
    <t>4.3.1.</t>
  </si>
  <si>
    <t>4.3.1.1.</t>
  </si>
  <si>
    <t>4.3.1.2.</t>
  </si>
  <si>
    <t>4.3.1.2.1.</t>
  </si>
  <si>
    <t>4.3.1.2.2.</t>
  </si>
  <si>
    <t>4.3.1.2.3.</t>
  </si>
  <si>
    <t>4.3.1.2.4.</t>
  </si>
  <si>
    <t>4.3.1.3.</t>
  </si>
  <si>
    <t>4.3.1.4.</t>
  </si>
  <si>
    <t>4.3.2.</t>
  </si>
  <si>
    <t>4.3.2.1.</t>
  </si>
  <si>
    <t>4.3.2.1.1.</t>
  </si>
  <si>
    <t>4.3.2.1.2.</t>
  </si>
  <si>
    <t>4.3.2.1.3.</t>
  </si>
  <si>
    <t>4.3.2.1.4.</t>
  </si>
  <si>
    <t>4.3.2.1.5.</t>
  </si>
  <si>
    <t>4.3.2.2.</t>
  </si>
  <si>
    <t>4.3.2.3.</t>
  </si>
  <si>
    <t>4.3.3.</t>
  </si>
  <si>
    <t>4.3.3.1.</t>
  </si>
  <si>
    <t>4.3.3.2.</t>
  </si>
  <si>
    <t>4.3.3.3.</t>
  </si>
  <si>
    <t>4.3.3.4.</t>
  </si>
  <si>
    <t>4.3.3.5.</t>
  </si>
  <si>
    <t>4.3.3.5.1.</t>
  </si>
  <si>
    <t>4.3.3.5.2.</t>
  </si>
  <si>
    <t>4.3.3.5.3.</t>
  </si>
  <si>
    <t>4.3.3.5.4.</t>
  </si>
  <si>
    <t>4.3.3.6.</t>
  </si>
  <si>
    <t>4.3.3.7.</t>
  </si>
  <si>
    <t>4.3.3.8.</t>
  </si>
  <si>
    <t>4.4.</t>
  </si>
  <si>
    <t>4.4.1.</t>
  </si>
  <si>
    <t>4.4.2.</t>
  </si>
  <si>
    <t>4.4.2.1.</t>
  </si>
  <si>
    <t>4.4.2.2.</t>
  </si>
  <si>
    <t>4.4.3.</t>
  </si>
  <si>
    <t>4.4.3.1.</t>
  </si>
  <si>
    <t>4.4.3.2.</t>
  </si>
  <si>
    <t>4.4.3.3.</t>
  </si>
  <si>
    <t>4.5.</t>
  </si>
  <si>
    <t>4.5.1.</t>
  </si>
  <si>
    <t>4.5.1.1.</t>
  </si>
  <si>
    <t>4.5.1.2.</t>
  </si>
  <si>
    <t>4.5.1.2.1.</t>
  </si>
  <si>
    <t>4.5.1.2.2.</t>
  </si>
  <si>
    <t>4.5.1.2.3.</t>
  </si>
  <si>
    <t>4.5.1.2.3.1.</t>
  </si>
  <si>
    <t>4.5.1.2.3.2.</t>
  </si>
  <si>
    <t>4.5.1.2.3.3.</t>
  </si>
  <si>
    <t>4.5.2.</t>
  </si>
  <si>
    <t>4.5.2.1.</t>
  </si>
  <si>
    <t>4.5.2.1.1.</t>
  </si>
  <si>
    <t>4.5.2.1.2.</t>
  </si>
  <si>
    <t>4.5.2.1.3.</t>
  </si>
  <si>
    <t>4.5.2.1.4.</t>
  </si>
  <si>
    <t>4.5.2.2.</t>
  </si>
  <si>
    <t>4.5.2.2.1.</t>
  </si>
  <si>
    <t>4.5.2.2.2.</t>
  </si>
  <si>
    <t>4.5.2.2.3.</t>
  </si>
  <si>
    <t>4.5.2.3.</t>
  </si>
  <si>
    <t>4.5.2.4.</t>
  </si>
  <si>
    <t>4.5.3.</t>
  </si>
  <si>
    <t>4.5.3.1.</t>
  </si>
  <si>
    <t>4.5.3.2.</t>
  </si>
  <si>
    <t>4.5.3.2.1.</t>
  </si>
  <si>
    <t>4.5.3.2.2.</t>
  </si>
  <si>
    <t>4.6.</t>
  </si>
  <si>
    <t>4.6.1.</t>
  </si>
  <si>
    <t>4.6.1.1.</t>
  </si>
  <si>
    <t>4.6.1.2.</t>
  </si>
  <si>
    <t>4.6.1.3.</t>
  </si>
  <si>
    <t>4.6.1.4.</t>
  </si>
  <si>
    <t>4.6.1.5.</t>
  </si>
  <si>
    <t>4.6.1.6.</t>
  </si>
  <si>
    <t>4.6.1.7.</t>
  </si>
  <si>
    <t>4.6.1.8.</t>
  </si>
  <si>
    <t>4.6.2.</t>
  </si>
  <si>
    <t>4.6.2.1.</t>
  </si>
  <si>
    <t>4.6.2.2.</t>
  </si>
  <si>
    <t>4.6.2.3.</t>
  </si>
  <si>
    <t>4.6.2.4.</t>
  </si>
  <si>
    <t>4.6.2.4.1.</t>
  </si>
  <si>
    <t>4.6.2.4.2.</t>
  </si>
  <si>
    <t>4.6.2.4.3.</t>
  </si>
  <si>
    <t>4.6.2.5.</t>
  </si>
  <si>
    <t>4.6.2.6.</t>
  </si>
  <si>
    <t>4.6.2.7.</t>
  </si>
  <si>
    <t>4.6.2.8.</t>
  </si>
  <si>
    <t>4.6.3.</t>
  </si>
  <si>
    <t>4.6.3.1.</t>
  </si>
  <si>
    <t>4.6.3.2.</t>
  </si>
  <si>
    <t>4.6.3.2.1.</t>
  </si>
  <si>
    <t>4.6.3.2.2.</t>
  </si>
  <si>
    <t>4.6.3.3.</t>
  </si>
  <si>
    <t>4.6.3.3.1.</t>
  </si>
  <si>
    <t>4.6.3.3.2.</t>
  </si>
  <si>
    <t>4.6.3.3.2.1.</t>
  </si>
  <si>
    <t>4.6.3.3.2.2.</t>
  </si>
  <si>
    <t>4.6.3.4.</t>
  </si>
  <si>
    <t>4.6.3.4.1.</t>
  </si>
  <si>
    <t>4.6.3.4.2.</t>
  </si>
  <si>
    <t>4.6.3.4.2.1.</t>
  </si>
  <si>
    <t>4.6.3.4.2.2.</t>
  </si>
  <si>
    <t>4.6.3.5.</t>
  </si>
  <si>
    <t>4.6.3.5.1.</t>
  </si>
  <si>
    <t>4.6.3.5.2.</t>
  </si>
  <si>
    <t>4.6.3.5.2.1.</t>
  </si>
  <si>
    <t>4.6.3.5.2.2.</t>
  </si>
  <si>
    <t>4.6.3.6.</t>
  </si>
  <si>
    <t>4.6.3.6.1.</t>
  </si>
  <si>
    <t>4.6.3.6.2.</t>
  </si>
  <si>
    <t>4.6.3.6.2.1.</t>
  </si>
  <si>
    <t>4.6.3.6.2.2.</t>
  </si>
  <si>
    <t>4.6.3.7.</t>
  </si>
  <si>
    <t>4.6.3.7.1.</t>
  </si>
  <si>
    <t>4.6.3.7.2.</t>
  </si>
  <si>
    <t>4.6.3.7.2.1.</t>
  </si>
  <si>
    <t>4.6.3.7.2.2.</t>
  </si>
  <si>
    <t>4.6.3.8.</t>
  </si>
  <si>
    <t>4.6.3.8.1.</t>
  </si>
  <si>
    <t>4.6.3.8.2.</t>
  </si>
  <si>
    <t>4.6.3.9.</t>
  </si>
  <si>
    <t>4.6.3.10.</t>
  </si>
  <si>
    <t>4.7.</t>
  </si>
  <si>
    <t>4.7.1.</t>
  </si>
  <si>
    <t>4.7.2.</t>
  </si>
  <si>
    <t>4.7.3.</t>
  </si>
  <si>
    <t>4.7.3.1.</t>
  </si>
  <si>
    <t>4.7.3.1.1.</t>
  </si>
  <si>
    <t>4.7.3.1.2.</t>
  </si>
  <si>
    <t>4.7.3.2.</t>
  </si>
  <si>
    <t>4.7.3.3.</t>
  </si>
  <si>
    <t>4.7.3.4.</t>
  </si>
  <si>
    <t>4.7.3.5.</t>
  </si>
  <si>
    <t>4.7.3.6.</t>
  </si>
  <si>
    <t>5.</t>
  </si>
  <si>
    <t>6.</t>
  </si>
  <si>
    <t>INDEX</t>
  </si>
  <si>
    <t>Table 2.4. Gross Receipts. Month and Year-to-date</t>
  </si>
  <si>
    <t>Table 2.3. Local Administrations Share and Other Reductions. Evolution</t>
  </si>
  <si>
    <t>Table 2.2. Refunds. Evolution</t>
  </si>
  <si>
    <t>Table 1.2. Evolution</t>
  </si>
  <si>
    <t>Table 1.1. Abstract. Month and Year-to-date</t>
  </si>
  <si>
    <t>Table 3.1. Abstract. Month and Year-to-date</t>
  </si>
  <si>
    <t>Table 3.2. Evolution</t>
  </si>
  <si>
    <t>Tax Revenue</t>
  </si>
  <si>
    <t>Gross receipts</t>
  </si>
  <si>
    <t>Refunds</t>
  </si>
  <si>
    <t>Net Revenue</t>
  </si>
  <si>
    <t>Central Goverment (State)</t>
  </si>
  <si>
    <t>Local Administrations (AA.TT.)</t>
  </si>
  <si>
    <t>Autonomous Communities (CC.AA.)</t>
  </si>
  <si>
    <t>Town Councils/Municipalities (CC.LL.)</t>
  </si>
  <si>
    <t>Autonomous Communities/Regional Governments (CC.AA.)</t>
  </si>
  <si>
    <t>Payroll withholdings</t>
  </si>
  <si>
    <t>Campaign</t>
  </si>
  <si>
    <t>Rest</t>
  </si>
  <si>
    <t>AEAT assessments</t>
  </si>
  <si>
    <t>Other receipts</t>
  </si>
  <si>
    <t>Family allowances paid in advance, year t</t>
  </si>
  <si>
    <t>Family allowances paid in advance, year t-1</t>
  </si>
  <si>
    <t>Annual return, year t-1</t>
  </si>
  <si>
    <t>Annual return, year t-2</t>
  </si>
  <si>
    <t>Other refunds</t>
  </si>
  <si>
    <t>Spanish Government Treasury</t>
  </si>
  <si>
    <t>Main Public Administrations</t>
  </si>
  <si>
    <t>Large Corporations</t>
  </si>
  <si>
    <t>Small Businesses</t>
  </si>
  <si>
    <t>Withholdings on interests and dividends</t>
  </si>
  <si>
    <t>Withholdings on real estate leases</t>
  </si>
  <si>
    <t>Withholdings on mutual investment funds gains</t>
  </si>
  <si>
    <t>Lottery Tax</t>
  </si>
  <si>
    <t>Payments on account</t>
  </si>
  <si>
    <t>Catholic Church Share</t>
  </si>
  <si>
    <t>Instalments</t>
  </si>
  <si>
    <t>Large Corporations (Groups excluded)</t>
  </si>
  <si>
    <t>Consolidated Groups</t>
  </si>
  <si>
    <t>Small Corporations</t>
  </si>
  <si>
    <t>Annual Return Outcome+AEAT assessments</t>
  </si>
  <si>
    <t xml:space="preserve"> - Breakdown per accrual year</t>
  </si>
  <si>
    <t xml:space="preserve"> - Breakdown per items</t>
  </si>
  <si>
    <t xml:space="preserve"> - Breakdown per Administration</t>
  </si>
  <si>
    <t>Year t-1</t>
  </si>
  <si>
    <t>Year t-2</t>
  </si>
  <si>
    <t>Non-Residents Income Tax</t>
  </si>
  <si>
    <t>Annual Return and other</t>
  </si>
  <si>
    <t>Withholdings and Payments on account</t>
  </si>
  <si>
    <t>Annual return, Compliance control and other</t>
  </si>
  <si>
    <t>Import VAT</t>
  </si>
  <si>
    <t>Domestic Transactions</t>
  </si>
  <si>
    <t xml:space="preserve">Large Corporations </t>
  </si>
  <si>
    <t>Basque Country Taxation Clearings</t>
  </si>
  <si>
    <t>Yearly and Import VAT</t>
  </si>
  <si>
    <t>Import VAT Refunds</t>
  </si>
  <si>
    <t>Monthly</t>
  </si>
  <si>
    <t>Year t</t>
  </si>
  <si>
    <t>Navarre Taxation Clearings</t>
  </si>
  <si>
    <t xml:space="preserve">Alcohol and Derivated Beverages </t>
  </si>
  <si>
    <t>Beer</t>
  </si>
  <si>
    <t>Intermediate Products</t>
  </si>
  <si>
    <t>Fuels</t>
  </si>
  <si>
    <t>Tobacco</t>
  </si>
  <si>
    <t>Electricity</t>
  </si>
  <si>
    <t>Coal</t>
  </si>
  <si>
    <t>Certain Means of Transport</t>
  </si>
  <si>
    <t>For farming</t>
  </si>
  <si>
    <t>For transport professionals</t>
  </si>
  <si>
    <t xml:space="preserve"> - Breakdown per item and Administration</t>
  </si>
  <si>
    <t>State</t>
  </si>
  <si>
    <t>Town Councils (CC.LL.)</t>
  </si>
  <si>
    <t>Rest of tax receipts</t>
  </si>
  <si>
    <t>Environmental Taxation (Chapter I)</t>
  </si>
  <si>
    <t>Tax on Fluorinated Greenhouse Effect Gases</t>
  </si>
  <si>
    <t>Foreign Trade Tax</t>
  </si>
  <si>
    <t>Tax on Insurance Primes</t>
  </si>
  <si>
    <t>Tax on Betting</t>
  </si>
  <si>
    <t>Fees</t>
  </si>
  <si>
    <t>Levy on the use of Radioelectric Public Domain</t>
  </si>
  <si>
    <t>Canon on the use of inland waters</t>
  </si>
  <si>
    <t>Rest of fees</t>
  </si>
  <si>
    <t>From Chapter I</t>
  </si>
  <si>
    <t>From Chapter II</t>
  </si>
  <si>
    <t>From Chapter III</t>
  </si>
  <si>
    <t xml:space="preserve">Total Tax Revenue and Homogeneous Tax Revenue (adjustments) </t>
  </si>
  <si>
    <t>Homogeneous Tax Revenue (rates)</t>
  </si>
  <si>
    <t>PERIOD</t>
  </si>
  <si>
    <t>Gross Receipts</t>
  </si>
  <si>
    <t>Per Administration</t>
  </si>
  <si>
    <t>AEAT Assessments</t>
  </si>
  <si>
    <t>Other Receipts</t>
  </si>
  <si>
    <t>Family Allowances paid in advance year t</t>
  </si>
  <si>
    <t>Family Allowances paidin advance year t-1</t>
  </si>
  <si>
    <t>Annual Return year t-1</t>
  </si>
  <si>
    <t>Annual Return year t-2</t>
  </si>
  <si>
    <t>Other Refunds
(1)</t>
  </si>
  <si>
    <t>Payroll Withholdings
(1)</t>
  </si>
  <si>
    <t>from which:</t>
  </si>
  <si>
    <t>Withholdings on Savings Yields
(1)</t>
  </si>
  <si>
    <t>Payments on Account</t>
  </si>
  <si>
    <t>Annual Return Outcome
(1)</t>
  </si>
  <si>
    <t>Per item</t>
  </si>
  <si>
    <t>Large Corporations
(Groups excluded)</t>
  </si>
  <si>
    <t>Annual Return Outcome + AEAT assessments</t>
  </si>
  <si>
    <t>Annual Return Outcome 
(1) 
                      (b)</t>
  </si>
  <si>
    <t>Per accrual year</t>
  </si>
  <si>
    <t>Year
 t-1 
(d)</t>
  </si>
  <si>
    <t>Year
 t-2 
(e)</t>
  </si>
  <si>
    <t>Other
(f)</t>
  </si>
  <si>
    <t>Other
refunds
(1)</t>
  </si>
  <si>
    <t>Spanish Goverment Treasury</t>
  </si>
  <si>
    <t>Withholdings on savings yields
(1)</t>
  </si>
  <si>
    <t>Annual returns and other</t>
  </si>
  <si>
    <t xml:space="preserve">Net Revenue </t>
  </si>
  <si>
    <t>Withholdings and payments on account</t>
  </si>
  <si>
    <t>Annual Return, Compliance control and other</t>
  </si>
  <si>
    <t>Basque Country Taxation Clearings 
(2)</t>
  </si>
  <si>
    <t>Navarre Taxation Clearings
(2)</t>
  </si>
  <si>
    <t>Year
 t-1</t>
  </si>
  <si>
    <t xml:space="preserve">Year
 t-2 </t>
  </si>
  <si>
    <t>Year
t</t>
  </si>
  <si>
    <t>Basque Country Clearings
(2)</t>
  </si>
  <si>
    <t>Navarre Clearings
 (2)</t>
  </si>
  <si>
    <t>Net Refunds</t>
  </si>
  <si>
    <t>Alcohol and Derivative Beverages</t>
  </si>
  <si>
    <t>Per item and Administration</t>
  </si>
  <si>
    <t>Environmental Taxation
(Chapter I)</t>
  </si>
  <si>
    <t>Insurance Primes Tax</t>
  </si>
  <si>
    <t>Rest of Tax Receipts</t>
  </si>
  <si>
    <t>Levy on the use of Public Radioelectric Domain</t>
  </si>
  <si>
    <t>Canon on the use of Inlands Waters</t>
  </si>
  <si>
    <t>Rest of the Fees</t>
  </si>
  <si>
    <t>Chapter I</t>
  </si>
  <si>
    <t>Chapter II</t>
  </si>
  <si>
    <t>Chapter III</t>
  </si>
  <si>
    <t>TAX REVENUE (rates)</t>
  </si>
  <si>
    <t>Total Revenue</t>
  </si>
  <si>
    <t>Homog. Revenue</t>
  </si>
  <si>
    <t>Adjustments</t>
  </si>
  <si>
    <t>Refunds payments pace</t>
  </si>
  <si>
    <t>Public Payroll Withholdings</t>
  </si>
  <si>
    <t>Refunds payment pace</t>
  </si>
  <si>
    <t>Tobacco Tax in Basque Country and Navarre</t>
  </si>
  <si>
    <t xml:space="preserve">Levy on the use of Public Radioelectric Domain </t>
  </si>
  <si>
    <t>HOMOG. TAX REVENUE.
Year-to-Year variation rates (%).</t>
  </si>
  <si>
    <t>Monthly Rates</t>
  </si>
  <si>
    <t>Rest of Receipts</t>
  </si>
  <si>
    <t>Year-to-date Rates</t>
  </si>
  <si>
    <t>Family Allowances paid in advance year t-1</t>
  </si>
  <si>
    <t>Table 2.1. Refunds, Local Administrations Share and Other Reductions. Month and Year-to-date</t>
  </si>
  <si>
    <t xml:space="preserve"> Tax Revenue </t>
  </si>
  <si>
    <t xml:space="preserve">(click '+' , on the left, to see the breakdown) </t>
  </si>
  <si>
    <t xml:space="preserve">             Year:   </t>
  </si>
  <si>
    <t xml:space="preserve">          Month:  </t>
  </si>
  <si>
    <t>TAX REVENUE
(€ million)</t>
  </si>
  <si>
    <t>4.7.3.7.</t>
  </si>
  <si>
    <t>4.7.3.7.1.</t>
  </si>
  <si>
    <t>4.7.3.7.2.</t>
  </si>
  <si>
    <t>4.7.3.7.3.</t>
  </si>
  <si>
    <t>4.7.3.8.</t>
  </si>
  <si>
    <t>4.7.3.8.1.</t>
  </si>
  <si>
    <t>4.7.3.8.2.</t>
  </si>
  <si>
    <t>4.7.3.8.3.</t>
  </si>
  <si>
    <t>Financial Transaction Tax (FTT)</t>
  </si>
  <si>
    <t>Digital Services Tax (DST)</t>
  </si>
  <si>
    <t>Tax Revenue
(€ thousand)</t>
  </si>
  <si>
    <t>TOTAL AND HOMOGENEOUS TAX REVENUE. € Thousand</t>
  </si>
  <si>
    <t/>
  </si>
  <si>
    <t>Non-Reusable Plastic Packaging</t>
  </si>
  <si>
    <t>4.6.2.9.</t>
  </si>
  <si>
    <t>4.6.3.11.</t>
  </si>
  <si>
    <t>4.6.1.9.</t>
  </si>
  <si>
    <t xml:space="preserve">   -  Non-Reusable Plastic Packaging</t>
  </si>
  <si>
    <t xml:space="preserve">   + Non-Reusable Plastic Packaging</t>
  </si>
  <si>
    <t>CHAP. II - INDIRECT TAXES</t>
  </si>
  <si>
    <t>CHAPTER I - DIRECT TAXES</t>
  </si>
  <si>
    <t>Year to date (23)</t>
  </si>
  <si>
    <t>Year to date (24)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</si>
</sst>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General_)"/>
    <numFmt numFmtId="165" formatCode="#,##0.0"/>
    <numFmt numFmtId="166" formatCode="0.0"/>
    <numFmt numFmtId="167" formatCode="##,##0"/>
    <numFmt numFmtId="168" formatCode="#,##0.00000"/>
    <numFmt numFmtId="169" formatCode="#\ ##0"/>
    <numFmt numFmtId="170" formatCode="##,##0.0"/>
  </numFmts>
  <fonts count="66">
    <font>
      <sz val="10"/>
      <name val="Verdana"/>
    </font>
    <font>
      <sz val="11"/>
      <color theme="1"/>
      <name val="Calibri"/>
      <family val="2"/>
      <scheme val="minor"/>
    </font>
    <font>
      <sz val="10"/>
      <name val="Univers"/>
      <family val="2"/>
    </font>
    <font>
      <sz val="10"/>
      <name val="Verdana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theme="1"/>
      <name val="Arial"/>
      <family val="2"/>
    </font>
    <font>
      <sz val="12"/>
      <name val="Arial MT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0"/>
      <name val="Verdana"/>
      <family val="2"/>
    </font>
    <font>
      <b/>
      <sz val="10"/>
      <color rgb="FFC0000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3"/>
      <color theme="0"/>
      <name val="Arial"/>
      <family val="2"/>
    </font>
    <font>
      <b/>
      <sz val="9"/>
      <name val="Arial"/>
      <family val="2"/>
    </font>
    <font>
      <b/>
      <sz val="14"/>
      <color rgb="FF5F5F5F"/>
      <name val="Arial"/>
      <family val="2"/>
    </font>
    <font>
      <b/>
      <sz val="12"/>
      <color theme="1" tint="0.499984740745262"/>
      <name val="Arial"/>
      <family val="2"/>
    </font>
    <font>
      <sz val="12"/>
      <color theme="1" tint="0.499984740745262"/>
      <name val="Arial"/>
      <family val="2"/>
    </font>
    <font>
      <b/>
      <u/>
      <sz val="11"/>
      <color rgb="FFC00000"/>
      <name val="Arial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name val="Verdana"/>
      <family val="2"/>
    </font>
    <font>
      <sz val="12"/>
      <color theme="1"/>
      <name val="Arial"/>
      <family val="2"/>
    </font>
    <font>
      <sz val="12"/>
      <name val="Verdana"/>
      <family val="2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10"/>
      <color theme="1"/>
      <name val="Verdana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9"/>
      <color rgb="FF212121"/>
      <name val="Arial"/>
      <family val="2"/>
    </font>
    <font>
      <b/>
      <i/>
      <sz val="10"/>
      <name val="Arial"/>
      <family val="2"/>
    </font>
    <font>
      <b/>
      <i/>
      <sz val="10"/>
      <color theme="0"/>
      <name val="Arial"/>
      <family val="2"/>
    </font>
    <font>
      <b/>
      <sz val="12"/>
      <color rgb="FF5F5F5F"/>
      <name val="Arial"/>
      <family val="2"/>
    </font>
    <font>
      <sz val="12"/>
      <name val="Arial"/>
      <family val="2"/>
    </font>
    <font>
      <i/>
      <sz val="10"/>
      <name val="Verdana"/>
      <family val="2"/>
    </font>
    <font>
      <b/>
      <u/>
      <sz val="10"/>
      <name val="Verdana"/>
      <family val="2"/>
    </font>
    <font>
      <sz val="12"/>
      <name val="Courier"/>
      <family val="3"/>
    </font>
    <font>
      <b/>
      <sz val="13"/>
      <name val="Arial"/>
      <family val="2"/>
    </font>
    <font>
      <sz val="8"/>
      <name val="Arial"/>
      <family val="2"/>
    </font>
    <font>
      <b/>
      <sz val="10"/>
      <color rgb="FF5F5F5F"/>
      <name val="Arial"/>
      <family val="2"/>
    </font>
    <font>
      <sz val="10"/>
      <color rgb="FF5F5F5F"/>
      <name val="Arial"/>
      <family val="2"/>
    </font>
    <font>
      <b/>
      <sz val="8.5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sz val="8"/>
      <name val="Courier"/>
      <family val="3"/>
    </font>
    <font>
      <sz val="8"/>
      <color theme="1"/>
      <name val="Arial"/>
      <family val="2"/>
    </font>
    <font>
      <b/>
      <sz val="9"/>
      <name val="Verdana"/>
      <family val="2"/>
    </font>
    <font>
      <sz val="9"/>
      <name val="Verdana"/>
      <family val="2"/>
    </font>
    <font>
      <b/>
      <sz val="11"/>
      <name val="Verdana"/>
      <family val="2"/>
    </font>
    <font>
      <b/>
      <u/>
      <sz val="10"/>
      <color theme="4" tint="-0.499984740745262"/>
      <name val="Verdana"/>
      <family val="2"/>
    </font>
    <font>
      <b/>
      <u/>
      <sz val="12"/>
      <name val="Verdana"/>
      <family val="2"/>
    </font>
    <font>
      <b/>
      <sz val="10"/>
      <color theme="4" tint="-0.499984740745262"/>
      <name val="Verdana"/>
      <family val="2"/>
    </font>
    <font>
      <sz val="10"/>
      <color theme="4" tint="-0.499984740745262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rgb="FFDDEBF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4F0DC"/>
        <bgColor indexed="64"/>
      </patternFill>
    </fill>
    <fill>
      <patternFill patternType="solid">
        <fgColor rgb="FFE8E1DC"/>
        <bgColor indexed="64"/>
      </patternFill>
    </fill>
    <fill>
      <patternFill patternType="solid">
        <fgColor rgb="FFFDF4DB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FEE8FA"/>
        <bgColor indexed="64"/>
      </patternFill>
    </fill>
    <fill>
      <patternFill patternType="solid">
        <fgColor rgb="FFD7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/>
      <top/>
      <bottom style="medium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 style="thick">
        <color theme="4" tint="-0.24994659260841701"/>
      </bottom>
      <diagonal/>
    </border>
    <border>
      <left/>
      <right/>
      <top style="thick">
        <color theme="4" tint="-0.24994659260841701"/>
      </top>
      <bottom style="thick">
        <color theme="4" tint="-0.24994659260841701"/>
      </bottom>
      <diagonal/>
    </border>
    <border>
      <left/>
      <right style="thick">
        <color theme="4" tint="-0.24994659260841701"/>
      </right>
      <top style="thick">
        <color theme="4" tint="-0.24994659260841701"/>
      </top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4" tint="-0.24994659260841701"/>
      </top>
      <bottom style="thin">
        <color theme="4" tint="-0.24994659260841701"/>
      </bottom>
      <diagonal/>
    </border>
  </borders>
  <cellStyleXfs count="13">
    <xf numFmtId="0" fontId="0" fillId="0" borderId="0"/>
    <xf numFmtId="0" fontId="2" fillId="0" borderId="0"/>
    <xf numFmtId="164" fontId="8" fillId="0" borderId="0"/>
    <xf numFmtId="0" fontId="1" fillId="0" borderId="0"/>
    <xf numFmtId="0" fontId="31" fillId="0" borderId="0"/>
    <xf numFmtId="0" fontId="1" fillId="0" borderId="0"/>
    <xf numFmtId="0" fontId="39" fillId="0" borderId="0" applyNumberFormat="0" applyFill="0" applyBorder="0" applyAlignment="0" applyProtection="0"/>
    <xf numFmtId="164" fontId="49" fillId="0" borderId="0"/>
    <xf numFmtId="0" fontId="2" fillId="0" borderId="0"/>
    <xf numFmtId="164" fontId="49" fillId="0" borderId="0"/>
    <xf numFmtId="0" fontId="3" fillId="0" borderId="0"/>
    <xf numFmtId="0" fontId="3" fillId="0" borderId="0"/>
    <xf numFmtId="0" fontId="16" fillId="0" borderId="0"/>
  </cellStyleXfs>
  <cellXfs count="441">
    <xf numFmtId="0" fontId="0" fillId="0" borderId="0" xfId="0"/>
    <xf numFmtId="0" fontId="3" fillId="0" borderId="1" xfId="1" applyFont="1" applyBorder="1"/>
    <xf numFmtId="0" fontId="3" fillId="0" borderId="0" xfId="1" applyFont="1"/>
    <xf numFmtId="0" fontId="4" fillId="0" borderId="0" xfId="1" applyFont="1" applyFill="1" applyBorder="1" applyAlignment="1">
      <alignment horizontal="center"/>
    </xf>
    <xf numFmtId="0" fontId="5" fillId="0" borderId="0" xfId="1" applyFont="1" applyBorder="1" applyAlignment="1"/>
    <xf numFmtId="0" fontId="6" fillId="0" borderId="0" xfId="1" applyFont="1" applyBorder="1" applyAlignment="1"/>
    <xf numFmtId="0" fontId="7" fillId="0" borderId="0" xfId="0" applyFont="1" applyFill="1" applyBorder="1" applyAlignment="1" applyProtection="1">
      <alignment vertical="center"/>
      <protection locked="0"/>
    </xf>
    <xf numFmtId="164" fontId="9" fillId="0" borderId="0" xfId="2" quotePrefix="1" applyFont="1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64" fontId="12" fillId="0" borderId="0" xfId="2" quotePrefix="1" applyFont="1" applyAlignment="1">
      <alignment horizont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164" fontId="13" fillId="2" borderId="2" xfId="2" quotePrefix="1" applyFont="1" applyFill="1" applyBorder="1" applyAlignment="1">
      <alignment horizontal="left" vertical="center"/>
    </xf>
    <xf numFmtId="164" fontId="13" fillId="2" borderId="3" xfId="2" quotePrefix="1" applyFont="1" applyFill="1" applyBorder="1" applyAlignment="1">
      <alignment horizontal="left" vertical="center"/>
    </xf>
    <xf numFmtId="164" fontId="9" fillId="2" borderId="3" xfId="2" quotePrefix="1" applyFont="1" applyFill="1" applyBorder="1" applyAlignment="1">
      <alignment horizontal="center"/>
    </xf>
    <xf numFmtId="164" fontId="9" fillId="2" borderId="4" xfId="2" quotePrefix="1" applyFont="1" applyFill="1" applyBorder="1" applyAlignment="1">
      <alignment horizontal="center"/>
    </xf>
    <xf numFmtId="0" fontId="11" fillId="0" borderId="0" xfId="1" applyFont="1" applyFill="1" applyBorder="1" applyAlignment="1">
      <alignment horizontal="left"/>
    </xf>
    <xf numFmtId="164" fontId="9" fillId="0" borderId="0" xfId="2" quotePrefix="1" applyFont="1" applyFill="1" applyBorder="1" applyAlignment="1">
      <alignment horizontal="center" vertical="center"/>
    </xf>
    <xf numFmtId="164" fontId="14" fillId="0" borderId="0" xfId="2" quotePrefix="1" applyFont="1" applyFill="1" applyBorder="1" applyAlignment="1">
      <alignment horizontal="center" vertical="center"/>
    </xf>
    <xf numFmtId="164" fontId="14" fillId="0" borderId="0" xfId="2" applyFont="1" applyFill="1" applyBorder="1" applyAlignment="1">
      <alignment horizontal="center" vertical="center"/>
    </xf>
    <xf numFmtId="164" fontId="9" fillId="0" borderId="0" xfId="2" applyFont="1" applyFill="1" applyBorder="1" applyAlignment="1">
      <alignment horizontal="center" vertical="center"/>
    </xf>
    <xf numFmtId="0" fontId="15" fillId="0" borderId="0" xfId="1" applyFont="1" applyFill="1" applyBorder="1"/>
    <xf numFmtId="0" fontId="16" fillId="0" borderId="0" xfId="1" applyFont="1" applyFill="1" applyBorder="1"/>
    <xf numFmtId="0" fontId="17" fillId="0" borderId="0" xfId="1" applyFont="1" applyFill="1" applyBorder="1"/>
    <xf numFmtId="0" fontId="14" fillId="3" borderId="0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 vertical="center"/>
    </xf>
    <xf numFmtId="3" fontId="14" fillId="3" borderId="0" xfId="1" applyNumberFormat="1" applyFont="1" applyFill="1" applyBorder="1" applyAlignment="1">
      <alignment vertical="center"/>
    </xf>
    <xf numFmtId="165" fontId="14" fillId="0" borderId="0" xfId="1" applyNumberFormat="1" applyFont="1" applyFill="1" applyBorder="1" applyAlignment="1">
      <alignment horizontal="right" vertical="center"/>
    </xf>
    <xf numFmtId="165" fontId="14" fillId="3" borderId="0" xfId="1" applyNumberFormat="1" applyFont="1" applyFill="1" applyBorder="1" applyAlignment="1">
      <alignment horizontal="right" vertical="center"/>
    </xf>
    <xf numFmtId="0" fontId="17" fillId="0" borderId="0" xfId="1" quotePrefix="1" applyFont="1" applyFill="1" applyBorder="1" applyAlignment="1">
      <alignment horizontal="left" vertical="center"/>
    </xf>
    <xf numFmtId="3" fontId="17" fillId="0" borderId="0" xfId="1" applyNumberFormat="1" applyFont="1" applyFill="1" applyBorder="1" applyAlignment="1">
      <alignment horizontal="right" vertical="center"/>
    </xf>
    <xf numFmtId="3" fontId="17" fillId="0" borderId="0" xfId="1" applyNumberFormat="1" applyFont="1" applyBorder="1" applyAlignment="1">
      <alignment vertical="center"/>
    </xf>
    <xf numFmtId="3" fontId="17" fillId="0" borderId="0" xfId="1" quotePrefix="1" applyNumberFormat="1" applyFont="1" applyFill="1" applyBorder="1" applyAlignment="1">
      <alignment horizontal="right" vertical="center"/>
    </xf>
    <xf numFmtId="165" fontId="17" fillId="0" borderId="0" xfId="1" quotePrefix="1" applyNumberFormat="1" applyFont="1" applyFill="1" applyBorder="1" applyAlignment="1">
      <alignment horizontal="right" vertical="center"/>
    </xf>
    <xf numFmtId="165" fontId="17" fillId="0" borderId="0" xfId="2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vertical="center"/>
    </xf>
    <xf numFmtId="0" fontId="17" fillId="0" borderId="0" xfId="1" applyFont="1" applyFill="1" applyBorder="1" applyAlignment="1">
      <alignment horizontal="left" vertical="center"/>
    </xf>
    <xf numFmtId="165" fontId="17" fillId="0" borderId="0" xfId="2" quotePrefix="1" applyNumberFormat="1" applyFont="1" applyFill="1" applyBorder="1" applyAlignment="1">
      <alignment horizontal="right" vertical="center"/>
    </xf>
    <xf numFmtId="0" fontId="18" fillId="4" borderId="0" xfId="1" applyFont="1" applyFill="1" applyBorder="1" applyAlignment="1">
      <alignment horizontal="left" vertical="center"/>
    </xf>
    <xf numFmtId="0" fontId="18" fillId="0" borderId="0" xfId="1" applyFont="1" applyFill="1" applyBorder="1" applyAlignment="1">
      <alignment horizontal="left" vertical="center"/>
    </xf>
    <xf numFmtId="3" fontId="18" fillId="4" borderId="0" xfId="1" applyNumberFormat="1" applyFont="1" applyFill="1" applyBorder="1" applyAlignment="1">
      <alignment vertical="center"/>
    </xf>
    <xf numFmtId="165" fontId="18" fillId="0" borderId="0" xfId="1" applyNumberFormat="1" applyFont="1" applyFill="1" applyBorder="1" applyAlignment="1">
      <alignment horizontal="right" vertical="center"/>
    </xf>
    <xf numFmtId="165" fontId="18" fillId="4" borderId="0" xfId="1" applyNumberFormat="1" applyFont="1" applyFill="1" applyBorder="1" applyAlignment="1">
      <alignment horizontal="right" vertical="center"/>
    </xf>
    <xf numFmtId="0" fontId="14" fillId="0" borderId="0" xfId="1" applyFont="1" applyFill="1" applyBorder="1" applyAlignment="1">
      <alignment vertical="center"/>
    </xf>
    <xf numFmtId="0" fontId="17" fillId="0" borderId="0" xfId="1" applyFont="1" applyFill="1" applyBorder="1" applyAlignment="1">
      <alignment horizontal="right" vertical="center"/>
    </xf>
    <xf numFmtId="0" fontId="16" fillId="0" borderId="0" xfId="1" quotePrefix="1" applyFont="1" applyFill="1" applyBorder="1" applyAlignment="1">
      <alignment horizontal="left" vertical="center"/>
    </xf>
    <xf numFmtId="3" fontId="16" fillId="0" borderId="0" xfId="1" quotePrefix="1" applyNumberFormat="1" applyFont="1" applyFill="1" applyBorder="1" applyAlignment="1">
      <alignment horizontal="right" vertical="center"/>
    </xf>
    <xf numFmtId="165" fontId="16" fillId="0" borderId="0" xfId="1" quotePrefix="1" applyNumberFormat="1" applyFont="1" applyFill="1" applyBorder="1" applyAlignment="1">
      <alignment horizontal="right" vertical="center"/>
    </xf>
    <xf numFmtId="165" fontId="16" fillId="0" borderId="0" xfId="2" applyNumberFormat="1" applyFont="1" applyFill="1" applyBorder="1" applyAlignment="1">
      <alignment horizontal="right" vertical="center"/>
    </xf>
    <xf numFmtId="3" fontId="16" fillId="0" borderId="0" xfId="1" applyNumberFormat="1" applyFont="1" applyFill="1" applyBorder="1" applyAlignment="1">
      <alignment horizontal="right" vertical="center"/>
    </xf>
    <xf numFmtId="165" fontId="16" fillId="0" borderId="0" xfId="1" applyNumberFormat="1" applyFont="1" applyFill="1" applyBorder="1" applyAlignment="1">
      <alignment horizontal="right" vertical="center"/>
    </xf>
    <xf numFmtId="165" fontId="17" fillId="0" borderId="0" xfId="1" applyNumberFormat="1" applyFont="1" applyFill="1" applyBorder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Fill="1" applyBorder="1" applyAlignment="1">
      <alignment vertical="center"/>
    </xf>
    <xf numFmtId="3" fontId="18" fillId="0" borderId="0" xfId="1" applyNumberFormat="1" applyFont="1" applyFill="1" applyBorder="1" applyAlignment="1">
      <alignment horizontal="right" vertical="center"/>
    </xf>
    <xf numFmtId="0" fontId="14" fillId="0" borderId="0" xfId="1" quotePrefix="1" applyFont="1" applyFill="1" applyBorder="1" applyAlignment="1">
      <alignment horizontal="left" vertical="center"/>
    </xf>
    <xf numFmtId="165" fontId="14" fillId="0" borderId="0" xfId="2" applyNumberFormat="1" applyFont="1" applyFill="1" applyBorder="1" applyAlignment="1">
      <alignment horizontal="right" vertical="center"/>
    </xf>
    <xf numFmtId="0" fontId="19" fillId="4" borderId="0" xfId="1" applyFont="1" applyFill="1" applyBorder="1" applyAlignment="1">
      <alignment vertical="center"/>
    </xf>
    <xf numFmtId="0" fontId="19" fillId="0" borderId="0" xfId="1" applyFont="1" applyFill="1" applyBorder="1" applyAlignment="1">
      <alignment vertical="center"/>
    </xf>
    <xf numFmtId="165" fontId="19" fillId="0" borderId="0" xfId="1" applyNumberFormat="1" applyFont="1" applyFill="1" applyBorder="1" applyAlignment="1">
      <alignment horizontal="right" vertical="center"/>
    </xf>
    <xf numFmtId="165" fontId="19" fillId="4" borderId="0" xfId="2" applyNumberFormat="1" applyFont="1" applyFill="1" applyBorder="1" applyAlignment="1">
      <alignment horizontal="right" vertical="center"/>
    </xf>
    <xf numFmtId="0" fontId="20" fillId="0" borderId="0" xfId="1" applyFont="1" applyFill="1" applyBorder="1"/>
    <xf numFmtId="165" fontId="15" fillId="0" borderId="0" xfId="1" applyNumberFormat="1" applyFont="1" applyFill="1" applyBorder="1"/>
    <xf numFmtId="165" fontId="15" fillId="0" borderId="0" xfId="1" applyNumberFormat="1" applyFont="1" applyFill="1" applyBorder="1" applyAlignment="1">
      <alignment horizontal="center"/>
    </xf>
    <xf numFmtId="0" fontId="3" fillId="0" borderId="0" xfId="1" applyFont="1" applyBorder="1"/>
    <xf numFmtId="3" fontId="3" fillId="0" borderId="0" xfId="1" applyNumberFormat="1" applyFont="1"/>
    <xf numFmtId="0" fontId="3" fillId="0" borderId="0" xfId="1" applyFont="1" applyFill="1"/>
    <xf numFmtId="0" fontId="16" fillId="0" borderId="0" xfId="0" applyFont="1"/>
    <xf numFmtId="0" fontId="16" fillId="0" borderId="0" xfId="0" applyFont="1" applyFill="1"/>
    <xf numFmtId="0" fontId="3" fillId="0" borderId="0" xfId="1" applyFont="1" applyAlignment="1">
      <alignment horizontal="right"/>
    </xf>
    <xf numFmtId="0" fontId="3" fillId="0" borderId="0" xfId="1" applyFont="1" applyFill="1" applyAlignment="1">
      <alignment horizontal="right"/>
    </xf>
    <xf numFmtId="0" fontId="3" fillId="0" borderId="0" xfId="1" applyFont="1" applyProtection="1">
      <protection locked="0"/>
    </xf>
    <xf numFmtId="166" fontId="3" fillId="0" borderId="0" xfId="1" applyNumberFormat="1" applyFont="1" applyBorder="1"/>
    <xf numFmtId="0" fontId="24" fillId="3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center" wrapText="1"/>
    </xf>
    <xf numFmtId="0" fontId="26" fillId="5" borderId="0" xfId="0" applyFont="1" applyFill="1" applyAlignment="1">
      <alignment horizontal="center" wrapText="1"/>
    </xf>
    <xf numFmtId="0" fontId="3" fillId="5" borderId="0" xfId="1" applyFont="1" applyFill="1"/>
    <xf numFmtId="0" fontId="27" fillId="0" borderId="0" xfId="1" applyFont="1" applyAlignment="1">
      <alignment horizontal="center"/>
    </xf>
    <xf numFmtId="0" fontId="28" fillId="0" borderId="0" xfId="0" applyFont="1" applyAlignment="1">
      <alignment horizontal="left" wrapText="1"/>
    </xf>
    <xf numFmtId="0" fontId="29" fillId="0" borderId="0" xfId="1" applyFont="1"/>
    <xf numFmtId="0" fontId="26" fillId="0" borderId="0" xfId="3" applyFont="1"/>
    <xf numFmtId="0" fontId="30" fillId="0" borderId="0" xfId="3" applyFont="1"/>
    <xf numFmtId="0" fontId="32" fillId="6" borderId="9" xfId="4" applyFont="1" applyFill="1" applyBorder="1" applyAlignment="1">
      <alignment horizontal="centerContinuous" vertical="center" wrapText="1"/>
    </xf>
    <xf numFmtId="0" fontId="32" fillId="7" borderId="9" xfId="4" applyFont="1" applyFill="1" applyBorder="1" applyAlignment="1">
      <alignment horizontal="centerContinuous" vertical="center" wrapText="1"/>
    </xf>
    <xf numFmtId="0" fontId="32" fillId="8" borderId="9" xfId="4" applyFont="1" applyFill="1" applyBorder="1" applyAlignment="1">
      <alignment horizontal="centerContinuous" vertical="center" wrapText="1"/>
    </xf>
    <xf numFmtId="0" fontId="32" fillId="9" borderId="9" xfId="4" applyFont="1" applyFill="1" applyBorder="1" applyAlignment="1">
      <alignment horizontal="centerContinuous" vertical="center" wrapText="1"/>
    </xf>
    <xf numFmtId="0" fontId="32" fillId="10" borderId="9" xfId="4" applyFont="1" applyFill="1" applyBorder="1" applyAlignment="1">
      <alignment horizontal="centerContinuous" vertical="center" wrapText="1"/>
    </xf>
    <xf numFmtId="0" fontId="32" fillId="11" borderId="9" xfId="4" applyFont="1" applyFill="1" applyBorder="1" applyAlignment="1">
      <alignment horizontal="centerContinuous" vertical="center" wrapText="1"/>
    </xf>
    <xf numFmtId="0" fontId="32" fillId="12" borderId="9" xfId="4" applyFont="1" applyFill="1" applyBorder="1" applyAlignment="1">
      <alignment horizontal="centerContinuous" vertical="center" wrapText="1"/>
    </xf>
    <xf numFmtId="0" fontId="32" fillId="13" borderId="9" xfId="4" applyFont="1" applyFill="1" applyBorder="1" applyAlignment="1">
      <alignment horizontal="centerContinuous" vertical="center" wrapText="1"/>
    </xf>
    <xf numFmtId="0" fontId="32" fillId="14" borderId="9" xfId="4" applyFont="1" applyFill="1" applyBorder="1" applyAlignment="1">
      <alignment horizontal="centerContinuous" vertical="center" wrapText="1"/>
    </xf>
    <xf numFmtId="0" fontId="32" fillId="15" borderId="9" xfId="4" applyFont="1" applyFill="1" applyBorder="1" applyAlignment="1">
      <alignment horizontal="centerContinuous" vertical="center" wrapText="1"/>
    </xf>
    <xf numFmtId="0" fontId="32" fillId="16" borderId="9" xfId="4" applyFont="1" applyFill="1" applyBorder="1" applyAlignment="1">
      <alignment horizontal="centerContinuous" vertical="center"/>
    </xf>
    <xf numFmtId="0" fontId="33" fillId="0" borderId="9" xfId="4" applyFont="1" applyFill="1" applyBorder="1" applyAlignment="1">
      <alignment horizontal="center" vertical="center" wrapText="1"/>
    </xf>
    <xf numFmtId="0" fontId="34" fillId="19" borderId="0" xfId="3" quotePrefix="1" applyFont="1" applyFill="1" applyBorder="1" applyAlignment="1">
      <alignment horizontal="right" vertical="center"/>
    </xf>
    <xf numFmtId="0" fontId="34" fillId="19" borderId="0" xfId="3" applyFont="1" applyFill="1" applyBorder="1" applyAlignment="1">
      <alignment horizontal="right" vertical="center"/>
    </xf>
    <xf numFmtId="0" fontId="35" fillId="20" borderId="0" xfId="3" applyFont="1" applyFill="1" applyBorder="1" applyAlignment="1">
      <alignment horizontal="right" vertical="center" wrapText="1"/>
    </xf>
    <xf numFmtId="167" fontId="35" fillId="20" borderId="0" xfId="3" applyNumberFormat="1" applyFont="1" applyFill="1" applyBorder="1" applyAlignment="1">
      <alignment horizontal="right" vertical="center" wrapText="1"/>
    </xf>
    <xf numFmtId="167" fontId="30" fillId="0" borderId="0" xfId="3" applyNumberFormat="1" applyFont="1"/>
    <xf numFmtId="0" fontId="36" fillId="0" borderId="1" xfId="4" applyFont="1" applyBorder="1" applyAlignment="1">
      <alignment vertical="center"/>
    </xf>
    <xf numFmtId="0" fontId="26" fillId="0" borderId="0" xfId="4" applyFont="1"/>
    <xf numFmtId="0" fontId="31" fillId="0" borderId="0" xfId="4"/>
    <xf numFmtId="167" fontId="34" fillId="19" borderId="0" xfId="4" applyNumberFormat="1" applyFont="1" applyFill="1" applyBorder="1" applyAlignment="1">
      <alignment horizontal="right" vertical="center"/>
    </xf>
    <xf numFmtId="167" fontId="35" fillId="20" borderId="0" xfId="4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justify" vertical="center" wrapText="1"/>
    </xf>
    <xf numFmtId="0" fontId="0" fillId="0" borderId="0" xfId="0" applyAlignment="1">
      <alignment horizontal="left"/>
    </xf>
    <xf numFmtId="0" fontId="39" fillId="0" borderId="0" xfId="6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1" xfId="1" applyFont="1" applyBorder="1"/>
    <xf numFmtId="0" fontId="16" fillId="0" borderId="0" xfId="1" applyFont="1"/>
    <xf numFmtId="0" fontId="16" fillId="0" borderId="0" xfId="1" applyFont="1" applyBorder="1"/>
    <xf numFmtId="164" fontId="13" fillId="2" borderId="20" xfId="2" quotePrefix="1" applyFont="1" applyFill="1" applyBorder="1" applyAlignment="1">
      <alignment horizontal="left" vertical="center"/>
    </xf>
    <xf numFmtId="0" fontId="3" fillId="22" borderId="21" xfId="1" applyFont="1" applyFill="1" applyBorder="1"/>
    <xf numFmtId="0" fontId="16" fillId="22" borderId="22" xfId="1" applyFont="1" applyFill="1" applyBorder="1"/>
    <xf numFmtId="0" fontId="14" fillId="0" borderId="0" xfId="1" applyFont="1" applyBorder="1" applyAlignment="1">
      <alignment horizontal="center"/>
    </xf>
    <xf numFmtId="164" fontId="20" fillId="0" borderId="0" xfId="2" applyFont="1" applyFill="1" applyBorder="1" applyAlignment="1">
      <alignment horizontal="center" vertical="center"/>
    </xf>
    <xf numFmtId="164" fontId="20" fillId="0" borderId="0" xfId="2" quotePrefix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/>
    </xf>
    <xf numFmtId="164" fontId="9" fillId="3" borderId="0" xfId="2" applyFont="1" applyFill="1" applyBorder="1" applyAlignment="1">
      <alignment horizontal="center" vertical="center"/>
    </xf>
    <xf numFmtId="164" fontId="40" fillId="4" borderId="0" xfId="2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vertical="center"/>
    </xf>
    <xf numFmtId="164" fontId="41" fillId="0" borderId="0" xfId="2" quotePrefix="1" applyFont="1" applyFill="1" applyBorder="1" applyAlignment="1">
      <alignment horizontal="center" vertical="center"/>
    </xf>
    <xf numFmtId="164" fontId="14" fillId="3" borderId="5" xfId="1" applyNumberFormat="1" applyFont="1" applyFill="1" applyBorder="1" applyAlignment="1">
      <alignment horizontal="center"/>
    </xf>
    <xf numFmtId="3" fontId="16" fillId="0" borderId="0" xfId="1" quotePrefix="1" applyNumberFormat="1" applyFont="1" applyFill="1" applyBorder="1" applyAlignment="1">
      <alignment horizontal="right"/>
    </xf>
    <xf numFmtId="3" fontId="9" fillId="0" borderId="0" xfId="2" applyNumberFormat="1" applyFont="1" applyFill="1" applyBorder="1" applyAlignment="1">
      <alignment horizontal="right" vertical="center"/>
    </xf>
    <xf numFmtId="3" fontId="9" fillId="0" borderId="0" xfId="1" quotePrefix="1" applyNumberFormat="1" applyFont="1" applyFill="1" applyBorder="1" applyAlignment="1">
      <alignment horizontal="right"/>
    </xf>
    <xf numFmtId="3" fontId="9" fillId="0" borderId="0" xfId="1" applyNumberFormat="1" applyFont="1" applyFill="1" applyBorder="1" applyAlignment="1">
      <alignment horizontal="center"/>
    </xf>
    <xf numFmtId="0" fontId="42" fillId="0" borderId="0" xfId="0" applyFont="1"/>
    <xf numFmtId="0" fontId="3" fillId="0" borderId="0" xfId="0" applyFont="1"/>
    <xf numFmtId="3" fontId="43" fillId="0" borderId="0" xfId="2" applyNumberFormat="1" applyFont="1" applyFill="1" applyBorder="1" applyAlignment="1">
      <alignment horizontal="right" vertical="center"/>
    </xf>
    <xf numFmtId="164" fontId="14" fillId="3" borderId="0" xfId="2" applyFont="1" applyFill="1" applyBorder="1" applyAlignment="1">
      <alignment horizontal="center" vertical="center"/>
    </xf>
    <xf numFmtId="166" fontId="17" fillId="0" borderId="0" xfId="2" applyNumberFormat="1" applyFont="1" applyFill="1" applyBorder="1" applyAlignment="1">
      <alignment horizontal="center" vertical="center"/>
    </xf>
    <xf numFmtId="165" fontId="18" fillId="4" borderId="0" xfId="1" quotePrefix="1" applyNumberFormat="1" applyFont="1" applyFill="1" applyBorder="1" applyAlignment="1">
      <alignment horizontal="center"/>
    </xf>
    <xf numFmtId="166" fontId="14" fillId="0" borderId="0" xfId="2" applyNumberFormat="1" applyFont="1" applyFill="1" applyBorder="1" applyAlignment="1">
      <alignment horizontal="center" vertical="center"/>
    </xf>
    <xf numFmtId="165" fontId="14" fillId="0" borderId="0" xfId="1" quotePrefix="1" applyNumberFormat="1" applyFont="1" applyFill="1" applyBorder="1" applyAlignment="1">
      <alignment horizontal="center"/>
    </xf>
    <xf numFmtId="165" fontId="16" fillId="0" borderId="0" xfId="1" applyNumberFormat="1" applyFont="1" applyFill="1" applyBorder="1" applyAlignment="1">
      <alignment horizontal="right"/>
    </xf>
    <xf numFmtId="165" fontId="43" fillId="0" borderId="0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4" fontId="44" fillId="4" borderId="0" xfId="2" applyFont="1" applyFill="1" applyBorder="1" applyAlignment="1">
      <alignment horizontal="center" vertical="center"/>
    </xf>
    <xf numFmtId="0" fontId="16" fillId="0" borderId="0" xfId="1" quotePrefix="1" applyFont="1" applyAlignment="1">
      <alignment horizontal="left"/>
    </xf>
    <xf numFmtId="165" fontId="16" fillId="0" borderId="0" xfId="1" applyNumberFormat="1" applyFont="1" applyFill="1" applyBorder="1" applyAlignment="1">
      <alignment horizontal="center"/>
    </xf>
    <xf numFmtId="165" fontId="40" fillId="4" borderId="0" xfId="1" applyNumberFormat="1" applyFont="1" applyFill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164" fontId="14" fillId="0" borderId="0" xfId="2" applyFont="1" applyFill="1" applyBorder="1" applyAlignment="1">
      <alignment horizontal="right" vertical="center"/>
    </xf>
    <xf numFmtId="3" fontId="44" fillId="4" borderId="0" xfId="2" applyNumberFormat="1" applyFont="1" applyFill="1" applyBorder="1" applyAlignment="1">
      <alignment horizontal="right" vertical="center"/>
    </xf>
    <xf numFmtId="164" fontId="3" fillId="0" borderId="0" xfId="1" applyNumberFormat="1" applyFont="1" applyAlignment="1">
      <alignment horizontal="right"/>
    </xf>
    <xf numFmtId="165" fontId="16" fillId="0" borderId="0" xfId="1" quotePrefix="1" applyNumberFormat="1" applyFont="1" applyFill="1" applyBorder="1" applyAlignment="1">
      <alignment horizontal="right"/>
    </xf>
    <xf numFmtId="165" fontId="44" fillId="4" borderId="0" xfId="2" applyNumberFormat="1" applyFont="1" applyFill="1" applyBorder="1" applyAlignment="1">
      <alignment horizontal="right" vertical="center"/>
    </xf>
    <xf numFmtId="0" fontId="9" fillId="0" borderId="0" xfId="1" applyFont="1" applyFill="1" applyBorder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1" xfId="1" applyFont="1" applyFill="1" applyBorder="1" applyAlignment="1">
      <alignment horizontal="center"/>
    </xf>
    <xf numFmtId="0" fontId="45" fillId="0" borderId="0" xfId="1" applyFont="1" applyAlignment="1">
      <alignment horizontal="left" vertical="top"/>
    </xf>
    <xf numFmtId="0" fontId="22" fillId="0" borderId="0" xfId="1" applyFont="1" applyFill="1" applyAlignment="1">
      <alignment horizontal="left"/>
    </xf>
    <xf numFmtId="0" fontId="23" fillId="0" borderId="0" xfId="1" applyFont="1"/>
    <xf numFmtId="0" fontId="23" fillId="0" borderId="0" xfId="1" applyFont="1" applyFill="1"/>
    <xf numFmtId="0" fontId="23" fillId="0" borderId="0" xfId="1" applyFont="1" applyBorder="1"/>
    <xf numFmtId="0" fontId="46" fillId="0" borderId="0" xfId="1" applyFont="1" applyBorder="1"/>
    <xf numFmtId="0" fontId="46" fillId="0" borderId="0" xfId="1" applyFont="1"/>
    <xf numFmtId="0" fontId="45" fillId="0" borderId="0" xfId="1" quotePrefix="1" applyFont="1" applyAlignment="1">
      <alignment horizontal="right" vertical="top"/>
    </xf>
    <xf numFmtId="0" fontId="47" fillId="0" borderId="0" xfId="1" quotePrefix="1" applyFont="1"/>
    <xf numFmtId="164" fontId="3" fillId="22" borderId="0" xfId="1" applyNumberFormat="1" applyFont="1" applyFill="1"/>
    <xf numFmtId="0" fontId="34" fillId="22" borderId="0" xfId="3" applyFont="1" applyFill="1" applyBorder="1" applyAlignment="1">
      <alignment horizontal="right" vertical="center"/>
    </xf>
    <xf numFmtId="3" fontId="16" fillId="22" borderId="0" xfId="1" quotePrefix="1" applyNumberFormat="1" applyFont="1" applyFill="1" applyBorder="1" applyAlignment="1">
      <alignment horizontal="right"/>
    </xf>
    <xf numFmtId="164" fontId="3" fillId="0" borderId="0" xfId="1" applyNumberFormat="1" applyFont="1"/>
    <xf numFmtId="0" fontId="48" fillId="0" borderId="0" xfId="1" applyFont="1"/>
    <xf numFmtId="165" fontId="16" fillId="22" borderId="0" xfId="1" applyNumberFormat="1" applyFont="1" applyFill="1" applyBorder="1" applyAlignment="1">
      <alignment horizontal="right"/>
    </xf>
    <xf numFmtId="165" fontId="16" fillId="22" borderId="0" xfId="1" quotePrefix="1" applyNumberFormat="1" applyFont="1" applyFill="1" applyBorder="1" applyAlignment="1">
      <alignment horizontal="right"/>
    </xf>
    <xf numFmtId="164" fontId="49" fillId="0" borderId="0" xfId="7"/>
    <xf numFmtId="164" fontId="13" fillId="2" borderId="20" xfId="2" quotePrefix="1" applyFont="1" applyFill="1" applyBorder="1" applyAlignment="1">
      <alignment horizontal="right" vertical="center"/>
    </xf>
    <xf numFmtId="164" fontId="13" fillId="22" borderId="21" xfId="2" quotePrefix="1" applyFont="1" applyFill="1" applyBorder="1" applyAlignment="1">
      <alignment horizontal="right" vertical="center"/>
    </xf>
    <xf numFmtId="0" fontId="3" fillId="22" borderId="22" xfId="1" applyFont="1" applyFill="1" applyBorder="1"/>
    <xf numFmtId="164" fontId="14" fillId="0" borderId="0" xfId="2" applyFont="1" applyFill="1" applyBorder="1" applyAlignment="1">
      <alignment horizontal="left"/>
    </xf>
    <xf numFmtId="164" fontId="9" fillId="0" borderId="0" xfId="2" quotePrefix="1" applyFont="1" applyFill="1" applyBorder="1" applyAlignment="1">
      <alignment horizontal="left"/>
    </xf>
    <xf numFmtId="164" fontId="14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0" xfId="1" quotePrefix="1" applyFont="1" applyFill="1" applyBorder="1" applyAlignment="1">
      <alignment horizontal="center" vertical="center"/>
    </xf>
    <xf numFmtId="0" fontId="14" fillId="3" borderId="0" xfId="1" quotePrefix="1" applyFont="1" applyFill="1" applyBorder="1" applyAlignment="1">
      <alignment horizontal="left" vertical="center"/>
    </xf>
    <xf numFmtId="165" fontId="14" fillId="3" borderId="0" xfId="0" applyNumberFormat="1" applyFont="1" applyFill="1" applyBorder="1" applyAlignment="1">
      <alignment horizontal="right" vertical="center"/>
    </xf>
    <xf numFmtId="165" fontId="14" fillId="0" borderId="0" xfId="0" applyNumberFormat="1" applyFont="1" applyFill="1" applyBorder="1" applyAlignment="1">
      <alignment horizontal="right" vertical="center"/>
    </xf>
    <xf numFmtId="0" fontId="9" fillId="0" borderId="0" xfId="8" quotePrefix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center"/>
    </xf>
    <xf numFmtId="0" fontId="27" fillId="0" borderId="0" xfId="1" applyFont="1"/>
    <xf numFmtId="3" fontId="17" fillId="0" borderId="0" xfId="1" applyNumberFormat="1" applyFont="1" applyFill="1" applyBorder="1" applyAlignment="1">
      <alignment vertical="center"/>
    </xf>
    <xf numFmtId="0" fontId="19" fillId="4" borderId="0" xfId="1" quotePrefix="1" applyFont="1" applyFill="1" applyBorder="1" applyAlignment="1">
      <alignment horizontal="left" vertical="center" wrapText="1"/>
    </xf>
    <xf numFmtId="0" fontId="14" fillId="0" borderId="0" xfId="1" quotePrefix="1" applyFont="1" applyFill="1" applyBorder="1" applyAlignment="1">
      <alignment horizontal="left" vertical="center" wrapText="1"/>
    </xf>
    <xf numFmtId="165" fontId="19" fillId="4" borderId="0" xfId="0" applyNumberFormat="1" applyFont="1" applyFill="1" applyBorder="1" applyAlignment="1">
      <alignment horizontal="right" vertical="center"/>
    </xf>
    <xf numFmtId="164" fontId="14" fillId="0" borderId="0" xfId="7" applyFont="1" applyFill="1" applyBorder="1" applyAlignment="1">
      <alignment horizontal="justify" vertical="center"/>
    </xf>
    <xf numFmtId="0" fontId="14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right" vertical="center"/>
    </xf>
    <xf numFmtId="0" fontId="9" fillId="0" borderId="0" xfId="1" quotePrefix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/>
    </xf>
    <xf numFmtId="3" fontId="17" fillId="0" borderId="0" xfId="1" applyNumberFormat="1" applyFont="1" applyFill="1" applyBorder="1"/>
    <xf numFmtId="3" fontId="17" fillId="0" borderId="0" xfId="1" applyNumberFormat="1" applyFont="1" applyFill="1" applyBorder="1" applyAlignment="1">
      <alignment horizontal="right"/>
    </xf>
    <xf numFmtId="165" fontId="17" fillId="0" borderId="0" xfId="1" applyNumberFormat="1" applyFont="1" applyFill="1" applyBorder="1" applyAlignment="1">
      <alignment horizontal="right"/>
    </xf>
    <xf numFmtId="164" fontId="19" fillId="4" borderId="0" xfId="7" applyFont="1" applyFill="1" applyBorder="1" applyAlignment="1">
      <alignment horizontal="left"/>
    </xf>
    <xf numFmtId="164" fontId="50" fillId="0" borderId="0" xfId="7" applyFont="1" applyFill="1" applyBorder="1" applyAlignment="1">
      <alignment horizontal="left"/>
    </xf>
    <xf numFmtId="3" fontId="50" fillId="0" borderId="0" xfId="1" applyNumberFormat="1" applyFont="1" applyFill="1" applyBorder="1" applyAlignment="1">
      <alignment horizontal="right"/>
    </xf>
    <xf numFmtId="164" fontId="17" fillId="0" borderId="0" xfId="7" quotePrefix="1" applyFont="1" applyBorder="1"/>
    <xf numFmtId="164" fontId="51" fillId="0" borderId="0" xfId="7" quotePrefix="1" applyFont="1" applyAlignment="1">
      <alignment horizontal="left" wrapText="1"/>
    </xf>
    <xf numFmtId="164" fontId="46" fillId="0" borderId="0" xfId="7" applyFont="1"/>
    <xf numFmtId="164" fontId="46" fillId="0" borderId="1" xfId="7" applyFont="1" applyBorder="1"/>
    <xf numFmtId="0" fontId="52" fillId="0" borderId="0" xfId="1" applyFont="1" applyBorder="1" applyAlignment="1">
      <alignment horizontal="left"/>
    </xf>
    <xf numFmtId="0" fontId="53" fillId="0" borderId="0" xfId="1" applyFont="1"/>
    <xf numFmtId="0" fontId="53" fillId="0" borderId="0" xfId="1" applyFont="1" applyBorder="1"/>
    <xf numFmtId="0" fontId="12" fillId="0" borderId="0" xfId="1" applyFont="1" applyBorder="1" applyAlignment="1">
      <alignment horizontal="right"/>
    </xf>
    <xf numFmtId="0" fontId="20" fillId="0" borderId="5" xfId="1" applyFont="1" applyFill="1" applyBorder="1" applyAlignment="1">
      <alignment horizontal="center"/>
    </xf>
    <xf numFmtId="0" fontId="9" fillId="0" borderId="5" xfId="1" applyFont="1" applyFill="1" applyBorder="1" applyAlignment="1">
      <alignment horizontal="center"/>
    </xf>
    <xf numFmtId="0" fontId="12" fillId="0" borderId="0" xfId="1" applyFont="1" applyAlignment="1">
      <alignment horizontal="center"/>
    </xf>
    <xf numFmtId="164" fontId="49" fillId="0" borderId="0" xfId="9"/>
    <xf numFmtId="164" fontId="13" fillId="22" borderId="22" xfId="2" quotePrefix="1" applyFont="1" applyFill="1" applyBorder="1" applyAlignment="1">
      <alignment horizontal="right" vertical="center"/>
    </xf>
    <xf numFmtId="164" fontId="46" fillId="0" borderId="0" xfId="9" applyFont="1" applyFill="1" applyBorder="1"/>
    <xf numFmtId="164" fontId="11" fillId="0" borderId="0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65" fontId="14" fillId="3" borderId="0" xfId="9" applyNumberFormat="1" applyFont="1" applyFill="1" applyBorder="1" applyAlignment="1">
      <alignment horizontal="right" vertical="center"/>
    </xf>
    <xf numFmtId="165" fontId="14" fillId="0" borderId="0" xfId="9" applyNumberFormat="1" applyFont="1" applyFill="1" applyBorder="1" applyAlignment="1">
      <alignment horizontal="right" vertical="center"/>
    </xf>
    <xf numFmtId="0" fontId="16" fillId="0" borderId="0" xfId="1" applyFont="1" applyFill="1" applyBorder="1" applyAlignment="1">
      <alignment horizontal="left" vertical="center"/>
    </xf>
    <xf numFmtId="165" fontId="16" fillId="0" borderId="0" xfId="9" applyNumberFormat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vertical="center"/>
    </xf>
    <xf numFmtId="3" fontId="9" fillId="0" borderId="0" xfId="1" applyNumberFormat="1" applyFont="1" applyFill="1" applyBorder="1" applyAlignment="1">
      <alignment horizontal="right" vertical="center"/>
    </xf>
    <xf numFmtId="0" fontId="16" fillId="0" borderId="0" xfId="1" applyFont="1" applyFill="1" applyBorder="1" applyAlignment="1">
      <alignment horizontal="right" vertical="center"/>
    </xf>
    <xf numFmtId="0" fontId="15" fillId="0" borderId="0" xfId="1" quotePrefix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vertical="center"/>
    </xf>
    <xf numFmtId="0" fontId="20" fillId="0" borderId="0" xfId="1" quotePrefix="1" applyFont="1" applyFill="1" applyBorder="1" applyAlignment="1">
      <alignment horizontal="left"/>
    </xf>
    <xf numFmtId="0" fontId="16" fillId="0" borderId="0" xfId="1" applyFont="1" applyFill="1" applyBorder="1" applyAlignment="1">
      <alignment horizontal="right"/>
    </xf>
    <xf numFmtId="165" fontId="19" fillId="4" borderId="0" xfId="9" applyNumberFormat="1" applyFont="1" applyFill="1" applyBorder="1" applyAlignment="1">
      <alignment horizontal="right" vertical="center"/>
    </xf>
    <xf numFmtId="164" fontId="46" fillId="0" borderId="0" xfId="9" applyFont="1"/>
    <xf numFmtId="164" fontId="15" fillId="0" borderId="0" xfId="9" applyFont="1"/>
    <xf numFmtId="164" fontId="16" fillId="0" borderId="0" xfId="9" applyFont="1"/>
    <xf numFmtId="164" fontId="46" fillId="0" borderId="1" xfId="9" applyFont="1" applyBorder="1"/>
    <xf numFmtId="0" fontId="52" fillId="0" borderId="0" xfId="1" applyFont="1" applyAlignment="1">
      <alignment horizontal="left"/>
    </xf>
    <xf numFmtId="0" fontId="11" fillId="0" borderId="0" xfId="1" applyFont="1" applyFill="1" applyBorder="1" applyAlignment="1">
      <alignment horizontal="center"/>
    </xf>
    <xf numFmtId="0" fontId="16" fillId="0" borderId="0" xfId="1" applyFont="1" applyFill="1" applyBorder="1" applyAlignment="1">
      <alignment horizontal="center"/>
    </xf>
    <xf numFmtId="0" fontId="55" fillId="0" borderId="0" xfId="0" applyFont="1" applyAlignment="1">
      <alignment horizontal="center" wrapText="1"/>
    </xf>
    <xf numFmtId="165" fontId="17" fillId="0" borderId="0" xfId="9" applyNumberFormat="1" applyFont="1" applyFill="1" applyBorder="1" applyAlignment="1">
      <alignment horizontal="right" vertical="center"/>
    </xf>
    <xf numFmtId="0" fontId="43" fillId="0" borderId="0" xfId="1" applyFont="1" applyFill="1" applyBorder="1" applyAlignment="1">
      <alignment horizontal="left" vertical="center"/>
    </xf>
    <xf numFmtId="165" fontId="56" fillId="0" borderId="0" xfId="9" applyNumberFormat="1" applyFont="1" applyFill="1" applyBorder="1" applyAlignment="1">
      <alignment horizontal="right" vertical="center"/>
    </xf>
    <xf numFmtId="0" fontId="20" fillId="0" borderId="0" xfId="1" quotePrefix="1" applyFont="1" applyFill="1" applyBorder="1" applyAlignment="1">
      <alignment horizontal="left" vertical="center"/>
    </xf>
    <xf numFmtId="164" fontId="7" fillId="0" borderId="0" xfId="0" applyNumberFormat="1" applyFont="1" applyFill="1" applyBorder="1" applyAlignment="1" applyProtection="1">
      <alignment horizontal="center" vertical="center"/>
      <protection locked="0"/>
    </xf>
    <xf numFmtId="164" fontId="57" fillId="0" borderId="0" xfId="9" applyFont="1"/>
    <xf numFmtId="168" fontId="16" fillId="0" borderId="0" xfId="1" applyNumberFormat="1" applyFont="1" applyFill="1" applyBorder="1"/>
    <xf numFmtId="164" fontId="46" fillId="0" borderId="1" xfId="9" applyFont="1" applyBorder="1" applyAlignment="1">
      <alignment horizontal="justify" vertical="top" wrapText="1"/>
    </xf>
    <xf numFmtId="0" fontId="58" fillId="0" borderId="0" xfId="0" applyFont="1" applyAlignment="1">
      <alignment horizontal="left" vertical="center" wrapText="1"/>
    </xf>
    <xf numFmtId="164" fontId="14" fillId="3" borderId="0" xfId="1" applyNumberFormat="1" applyFont="1" applyFill="1" applyBorder="1" applyAlignment="1">
      <alignment horizontal="center"/>
    </xf>
    <xf numFmtId="165" fontId="44" fillId="4" borderId="0" xfId="1" applyNumberFormat="1" applyFont="1" applyFill="1" applyBorder="1" applyAlignment="1">
      <alignment horizontal="center"/>
    </xf>
    <xf numFmtId="169" fontId="14" fillId="3" borderId="0" xfId="1" applyNumberFormat="1" applyFont="1" applyFill="1" applyBorder="1" applyAlignment="1">
      <alignment vertical="center"/>
    </xf>
    <xf numFmtId="169" fontId="14" fillId="3" borderId="0" xfId="1" applyNumberFormat="1" applyFont="1" applyFill="1" applyBorder="1" applyAlignment="1">
      <alignment horizontal="right" vertical="center"/>
    </xf>
    <xf numFmtId="169" fontId="17" fillId="0" borderId="0" xfId="1" quotePrefix="1" applyNumberFormat="1" applyFont="1" applyFill="1" applyBorder="1" applyAlignment="1">
      <alignment horizontal="right" vertical="center"/>
    </xf>
    <xf numFmtId="169" fontId="18" fillId="4" borderId="0" xfId="1" applyNumberFormat="1" applyFont="1" applyFill="1" applyBorder="1" applyAlignment="1">
      <alignment horizontal="right" vertical="center"/>
    </xf>
    <xf numFmtId="169" fontId="18" fillId="4" borderId="0" xfId="1" applyNumberFormat="1" applyFont="1" applyFill="1" applyBorder="1" applyAlignment="1">
      <alignment vertical="center"/>
    </xf>
    <xf numFmtId="169" fontId="16" fillId="0" borderId="0" xfId="1" quotePrefix="1" applyNumberFormat="1" applyFont="1" applyFill="1" applyBorder="1" applyAlignment="1">
      <alignment horizontal="right" vertical="center"/>
    </xf>
    <xf numFmtId="169" fontId="16" fillId="0" borderId="0" xfId="1" applyNumberFormat="1" applyFont="1" applyFill="1" applyBorder="1" applyAlignment="1">
      <alignment horizontal="right" vertical="center"/>
    </xf>
    <xf numFmtId="169" fontId="17" fillId="0" borderId="0" xfId="1" applyNumberFormat="1" applyFont="1" applyFill="1" applyBorder="1" applyAlignment="1">
      <alignment horizontal="right" vertical="center"/>
    </xf>
    <xf numFmtId="169" fontId="19" fillId="4" borderId="0" xfId="1" applyNumberFormat="1" applyFont="1" applyFill="1" applyBorder="1" applyAlignment="1">
      <alignment horizontal="right" vertical="center"/>
    </xf>
    <xf numFmtId="164" fontId="13" fillId="2" borderId="21" xfId="2" quotePrefix="1" applyFont="1" applyFill="1" applyBorder="1" applyAlignment="1">
      <alignment horizontal="left" vertical="center"/>
    </xf>
    <xf numFmtId="169" fontId="16" fillId="0" borderId="0" xfId="1" quotePrefix="1" applyNumberFormat="1" applyFont="1" applyFill="1" applyBorder="1" applyAlignment="1">
      <alignment horizontal="right"/>
    </xf>
    <xf numFmtId="169" fontId="40" fillId="4" borderId="0" xfId="2" applyNumberFormat="1" applyFont="1" applyFill="1" applyBorder="1" applyAlignment="1">
      <alignment horizontal="right" vertical="center"/>
    </xf>
    <xf numFmtId="169" fontId="9" fillId="0" borderId="0" xfId="1" quotePrefix="1" applyNumberFormat="1" applyFont="1" applyFill="1" applyBorder="1" applyAlignment="1">
      <alignment horizontal="right"/>
    </xf>
    <xf numFmtId="169" fontId="3" fillId="0" borderId="0" xfId="1" applyNumberFormat="1" applyFont="1"/>
    <xf numFmtId="169" fontId="16" fillId="0" borderId="0" xfId="1" applyNumberFormat="1" applyFont="1" applyFill="1" applyBorder="1" applyAlignment="1">
      <alignment vertical="center"/>
    </xf>
    <xf numFmtId="169" fontId="14" fillId="3" borderId="0" xfId="0" applyNumberFormat="1" applyFont="1" applyFill="1" applyBorder="1" applyAlignment="1">
      <alignment horizontal="right" vertical="center"/>
    </xf>
    <xf numFmtId="169" fontId="17" fillId="0" borderId="0" xfId="1" applyNumberFormat="1" applyFont="1" applyFill="1" applyBorder="1" applyAlignment="1">
      <alignment vertical="center"/>
    </xf>
    <xf numFmtId="169" fontId="19" fillId="4" borderId="0" xfId="0" applyNumberFormat="1" applyFont="1" applyFill="1" applyBorder="1" applyAlignment="1">
      <alignment horizontal="right" vertical="center"/>
    </xf>
    <xf numFmtId="169" fontId="14" fillId="0" borderId="0" xfId="1" applyNumberFormat="1" applyFont="1" applyFill="1" applyBorder="1" applyAlignment="1">
      <alignment vertical="center"/>
    </xf>
    <xf numFmtId="169" fontId="56" fillId="0" borderId="0" xfId="1" applyNumberFormat="1" applyFont="1" applyFill="1" applyBorder="1" applyAlignment="1">
      <alignment vertical="center"/>
    </xf>
    <xf numFmtId="0" fontId="37" fillId="0" borderId="0" xfId="0" applyFont="1" applyAlignment="1">
      <alignment horizontal="centerContinuous" vertical="center" wrapText="1"/>
    </xf>
    <xf numFmtId="0" fontId="30" fillId="0" borderId="0" xfId="3" applyFont="1" applyAlignment="1">
      <alignment horizontal="centerContinuous"/>
    </xf>
    <xf numFmtId="0" fontId="34" fillId="19" borderId="0" xfId="0" quotePrefix="1" applyFont="1" applyFill="1" applyBorder="1" applyAlignment="1">
      <alignment horizontal="right" vertical="center"/>
    </xf>
    <xf numFmtId="0" fontId="34" fillId="19" borderId="0" xfId="0" applyFont="1" applyFill="1" applyBorder="1" applyAlignment="1">
      <alignment horizontal="right" vertical="center"/>
    </xf>
    <xf numFmtId="167" fontId="35" fillId="20" borderId="0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centerContinuous" vertical="center"/>
    </xf>
    <xf numFmtId="0" fontId="34" fillId="20" borderId="0" xfId="0" applyFont="1" applyFill="1" applyBorder="1" applyAlignment="1">
      <alignment horizontal="right" vertical="center"/>
    </xf>
    <xf numFmtId="0" fontId="34" fillId="20" borderId="0" xfId="0" quotePrefix="1" applyFont="1" applyFill="1" applyBorder="1" applyAlignment="1">
      <alignment horizontal="right" vertical="center"/>
    </xf>
    <xf numFmtId="170" fontId="35" fillId="20" borderId="0" xfId="0" applyNumberFormat="1" applyFont="1" applyFill="1" applyBorder="1" applyAlignment="1">
      <alignment horizontal="right" vertical="center"/>
    </xf>
    <xf numFmtId="0" fontId="35" fillId="20" borderId="0" xfId="0" applyFont="1" applyFill="1" applyBorder="1" applyAlignment="1">
      <alignment horizontal="right" vertical="center"/>
    </xf>
    <xf numFmtId="0" fontId="59" fillId="0" borderId="0" xfId="10" applyFont="1" applyAlignment="1">
      <alignment horizontal="centerContinuous" wrapText="1"/>
    </xf>
    <xf numFmtId="0" fontId="3" fillId="0" borderId="0" xfId="10" applyAlignment="1">
      <alignment horizontal="centerContinuous"/>
    </xf>
    <xf numFmtId="0" fontId="60" fillId="0" borderId="0" xfId="10" quotePrefix="1" applyFont="1" applyAlignment="1">
      <alignment horizontal="left"/>
    </xf>
    <xf numFmtId="0" fontId="3" fillId="0" borderId="0" xfId="10"/>
    <xf numFmtId="0" fontId="3" fillId="0" borderId="0" xfId="11"/>
    <xf numFmtId="0" fontId="60" fillId="0" borderId="0" xfId="11" applyFont="1"/>
    <xf numFmtId="0" fontId="34" fillId="19" borderId="0" xfId="4" quotePrefix="1" applyFont="1" applyFill="1" applyBorder="1" applyAlignment="1">
      <alignment horizontal="right" vertical="center"/>
    </xf>
    <xf numFmtId="0" fontId="34" fillId="19" borderId="0" xfId="4" applyFont="1" applyFill="1" applyBorder="1" applyAlignment="1">
      <alignment horizontal="right" vertical="center"/>
    </xf>
    <xf numFmtId="170" fontId="34" fillId="19" borderId="0" xfId="11" applyNumberFormat="1" applyFont="1" applyFill="1" applyBorder="1" applyAlignment="1">
      <alignment horizontal="right" vertical="center"/>
    </xf>
    <xf numFmtId="0" fontId="35" fillId="20" borderId="0" xfId="4" applyFont="1" applyFill="1" applyBorder="1" applyAlignment="1">
      <alignment horizontal="right" vertical="center" wrapText="1"/>
    </xf>
    <xf numFmtId="170" fontId="35" fillId="20" borderId="0" xfId="11" applyNumberFormat="1" applyFont="1" applyFill="1" applyBorder="1" applyAlignment="1">
      <alignment horizontal="right" vertical="center"/>
    </xf>
    <xf numFmtId="170" fontId="35" fillId="0" borderId="0" xfId="11" applyNumberFormat="1" applyFont="1" applyFill="1" applyBorder="1" applyAlignment="1">
      <alignment horizontal="right" vertical="center"/>
    </xf>
    <xf numFmtId="0" fontId="35" fillId="20" borderId="0" xfId="4" applyFont="1" applyFill="1" applyBorder="1" applyAlignment="1">
      <alignment horizontal="right" vertical="center"/>
    </xf>
    <xf numFmtId="0" fontId="12" fillId="0" borderId="0" xfId="11" applyFont="1"/>
    <xf numFmtId="0" fontId="61" fillId="0" borderId="0" xfId="0" applyFont="1" applyAlignment="1">
      <alignment horizontal="left" vertical="center"/>
    </xf>
    <xf numFmtId="0" fontId="38" fillId="0" borderId="0" xfId="12" applyFont="1" applyAlignment="1">
      <alignment vertical="center"/>
    </xf>
    <xf numFmtId="0" fontId="3" fillId="0" borderId="0" xfId="12" applyFont="1" applyAlignment="1">
      <alignment horizontal="right" vertical="center"/>
    </xf>
    <xf numFmtId="0" fontId="3" fillId="0" borderId="0" xfId="12" applyFont="1" applyAlignment="1">
      <alignment vertical="center"/>
    </xf>
    <xf numFmtId="0" fontId="39" fillId="0" borderId="0" xfId="6" applyFont="1" applyAlignment="1">
      <alignment vertical="center"/>
    </xf>
    <xf numFmtId="0" fontId="31" fillId="0" borderId="0" xfId="12" applyFont="1" applyAlignment="1">
      <alignment vertical="center"/>
    </xf>
    <xf numFmtId="0" fontId="3" fillId="0" borderId="0" xfId="12" applyFont="1" applyAlignment="1">
      <alignment horizontal="left" vertical="center"/>
    </xf>
    <xf numFmtId="0" fontId="3" fillId="0" borderId="0" xfId="12" applyFont="1" applyFill="1" applyAlignment="1">
      <alignment vertical="center"/>
    </xf>
    <xf numFmtId="0" fontId="31" fillId="0" borderId="0" xfId="12" applyFont="1" applyAlignment="1">
      <alignment horizontal="right" vertical="center"/>
    </xf>
    <xf numFmtId="0" fontId="31" fillId="0" borderId="0" xfId="12" applyFont="1" applyAlignment="1">
      <alignment horizontal="left" vertical="center"/>
    </xf>
    <xf numFmtId="0" fontId="36" fillId="0" borderId="0" xfId="12" applyFont="1" applyAlignment="1">
      <alignment horizontal="right" vertical="center"/>
    </xf>
    <xf numFmtId="0" fontId="36" fillId="0" borderId="0" xfId="12" applyFont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9" fillId="0" borderId="0" xfId="6"/>
    <xf numFmtId="0" fontId="33" fillId="0" borderId="9" xfId="4" applyFont="1" applyFill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62" fillId="0" borderId="0" xfId="6" applyFont="1" applyAlignment="1">
      <alignment horizontal="right" vertical="center"/>
    </xf>
    <xf numFmtId="0" fontId="62" fillId="0" borderId="0" xfId="6" applyFont="1" applyAlignment="1">
      <alignment horizontal="left" vertical="center"/>
    </xf>
    <xf numFmtId="0" fontId="62" fillId="0" borderId="0" xfId="6" applyFont="1" applyAlignment="1">
      <alignment vertical="center"/>
    </xf>
    <xf numFmtId="0" fontId="62" fillId="0" borderId="0" xfId="6" applyFont="1"/>
    <xf numFmtId="164" fontId="14" fillId="0" borderId="0" xfId="2" applyFont="1" applyFill="1" applyBorder="1" applyAlignment="1">
      <alignment horizontal="center" vertical="center"/>
    </xf>
    <xf numFmtId="167" fontId="34" fillId="19" borderId="0" xfId="0" applyNumberFormat="1" applyFont="1" applyFill="1" applyBorder="1" applyAlignment="1">
      <alignment horizontal="right" vertical="center"/>
    </xf>
    <xf numFmtId="167" fontId="35" fillId="20" borderId="0" xfId="0" applyNumberFormat="1" applyFont="1" applyFill="1" applyBorder="1" applyAlignment="1">
      <alignment horizontal="right" vertical="center" wrapText="1"/>
    </xf>
    <xf numFmtId="0" fontId="35" fillId="20" borderId="0" xfId="0" applyFont="1" applyFill="1" applyBorder="1" applyAlignment="1">
      <alignment horizontal="right" vertical="center" wrapText="1"/>
    </xf>
    <xf numFmtId="0" fontId="34" fillId="19" borderId="0" xfId="0" applyFont="1" applyFill="1" applyBorder="1" applyAlignment="1">
      <alignment horizontal="left" vertical="center"/>
    </xf>
    <xf numFmtId="0" fontId="3" fillId="0" borderId="7" xfId="1" applyFont="1" applyBorder="1"/>
    <xf numFmtId="0" fontId="21" fillId="0" borderId="7" xfId="1" applyFont="1" applyBorder="1" applyAlignment="1">
      <alignment horizontal="left" vertical="top"/>
    </xf>
    <xf numFmtId="0" fontId="22" fillId="0" borderId="7" xfId="1" applyFont="1" applyFill="1" applyBorder="1" applyAlignment="1">
      <alignment horizontal="left" vertical="top"/>
    </xf>
    <xf numFmtId="0" fontId="23" fillId="0" borderId="7" xfId="1" applyFont="1" applyBorder="1" applyAlignment="1">
      <alignment vertical="top"/>
    </xf>
    <xf numFmtId="0" fontId="23" fillId="0" borderId="7" xfId="1" applyFont="1" applyFill="1" applyBorder="1" applyAlignment="1">
      <alignment vertical="top"/>
    </xf>
    <xf numFmtId="0" fontId="21" fillId="0" borderId="7" xfId="1" quotePrefix="1" applyFont="1" applyBorder="1" applyAlignment="1">
      <alignment horizontal="right" vertical="top"/>
    </xf>
    <xf numFmtId="0" fontId="5" fillId="0" borderId="0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0" xfId="1" quotePrefix="1" applyFont="1" applyFill="1" applyBorder="1" applyAlignment="1">
      <alignment horizontal="center"/>
    </xf>
    <xf numFmtId="164" fontId="11" fillId="0" borderId="0" xfId="2" quotePrefix="1" applyFont="1" applyFill="1" applyBorder="1" applyAlignment="1">
      <alignment horizontal="center"/>
    </xf>
    <xf numFmtId="1" fontId="11" fillId="0" borderId="5" xfId="2" quotePrefix="1" applyNumberFormat="1" applyFont="1" applyFill="1" applyBorder="1" applyAlignment="1">
      <alignment horizontal="center" vertical="center"/>
    </xf>
    <xf numFmtId="164" fontId="11" fillId="0" borderId="5" xfId="2" quotePrefix="1" applyFont="1" applyFill="1" applyBorder="1" applyAlignment="1">
      <alignment horizontal="center" vertical="center"/>
    </xf>
    <xf numFmtId="164" fontId="11" fillId="0" borderId="5" xfId="2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/>
    </xf>
    <xf numFmtId="0" fontId="11" fillId="0" borderId="5" xfId="1" applyFont="1" applyFill="1" applyBorder="1" applyAlignment="1">
      <alignment horizontal="left"/>
    </xf>
    <xf numFmtId="164" fontId="9" fillId="0" borderId="5" xfId="2" applyFont="1" applyFill="1" applyBorder="1" applyAlignment="1">
      <alignment horizontal="center" vertical="center"/>
    </xf>
    <xf numFmtId="164" fontId="9" fillId="0" borderId="5" xfId="2" quotePrefix="1" applyFont="1" applyFill="1" applyBorder="1" applyAlignment="1">
      <alignment horizontal="center" vertical="center"/>
    </xf>
    <xf numFmtId="164" fontId="14" fillId="0" borderId="0" xfId="2" applyFont="1" applyFill="1" applyBorder="1" applyAlignment="1">
      <alignment horizontal="center" vertical="center"/>
    </xf>
    <xf numFmtId="164" fontId="14" fillId="0" borderId="5" xfId="2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164" fontId="14" fillId="0" borderId="0" xfId="2" quotePrefix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164" fontId="14" fillId="0" borderId="0" xfId="2" applyFont="1" applyFill="1" applyBorder="1" applyAlignment="1">
      <alignment horizontal="left"/>
    </xf>
    <xf numFmtId="164" fontId="9" fillId="0" borderId="0" xfId="2" quotePrefix="1" applyFont="1" applyFill="1" applyBorder="1" applyAlignment="1">
      <alignment horizontal="left"/>
    </xf>
    <xf numFmtId="164" fontId="40" fillId="4" borderId="5" xfId="2" applyFont="1" applyFill="1" applyBorder="1" applyAlignment="1">
      <alignment horizontal="center" vertical="center"/>
    </xf>
    <xf numFmtId="164" fontId="40" fillId="4" borderId="5" xfId="2" quotePrefix="1" applyFont="1" applyFill="1" applyBorder="1" applyAlignment="1">
      <alignment horizontal="center" vertical="center"/>
    </xf>
    <xf numFmtId="169" fontId="19" fillId="4" borderId="0" xfId="1" applyNumberFormat="1" applyFont="1" applyFill="1" applyBorder="1" applyAlignment="1">
      <alignment horizontal="right"/>
    </xf>
    <xf numFmtId="165" fontId="19" fillId="4" borderId="0" xfId="1" applyNumberFormat="1" applyFont="1" applyFill="1" applyBorder="1" applyAlignment="1">
      <alignment horizontal="right"/>
    </xf>
    <xf numFmtId="164" fontId="20" fillId="0" borderId="24" xfId="2" applyFont="1" applyFill="1" applyBorder="1" applyAlignment="1">
      <alignment horizontal="center"/>
    </xf>
    <xf numFmtId="164" fontId="20" fillId="0" borderId="24" xfId="2" quotePrefix="1" applyFont="1" applyFill="1" applyBorder="1" applyAlignment="1">
      <alignment horizontal="center"/>
    </xf>
    <xf numFmtId="0" fontId="54" fillId="0" borderId="25" xfId="1" applyFont="1" applyFill="1" applyBorder="1" applyAlignment="1">
      <alignment horizontal="left"/>
    </xf>
    <xf numFmtId="164" fontId="9" fillId="0" borderId="23" xfId="2" applyFont="1" applyFill="1" applyBorder="1" applyAlignment="1">
      <alignment horizontal="center" vertical="center"/>
    </xf>
    <xf numFmtId="164" fontId="9" fillId="0" borderId="23" xfId="2" quotePrefix="1" applyFont="1" applyFill="1" applyBorder="1" applyAlignment="1">
      <alignment horizontal="center" vertical="center"/>
    </xf>
    <xf numFmtId="164" fontId="14" fillId="0" borderId="23" xfId="2" applyFont="1" applyFill="1" applyBorder="1" applyAlignment="1">
      <alignment horizontal="center" vertical="center"/>
    </xf>
    <xf numFmtId="164" fontId="9" fillId="0" borderId="0" xfId="2" quotePrefix="1" applyFont="1" applyFill="1" applyBorder="1" applyAlignment="1">
      <alignment horizontal="center"/>
    </xf>
    <xf numFmtId="164" fontId="9" fillId="0" borderId="0" xfId="2" applyFont="1" applyFill="1" applyBorder="1" applyAlignment="1">
      <alignment horizontal="center" vertical="center"/>
    </xf>
    <xf numFmtId="0" fontId="33" fillId="0" borderId="9" xfId="4" applyFont="1" applyFill="1" applyBorder="1" applyAlignment="1">
      <alignment horizontal="center" vertical="center" wrapText="1"/>
    </xf>
    <xf numFmtId="0" fontId="33" fillId="0" borderId="9" xfId="4" applyFont="1" applyFill="1" applyBorder="1" applyAlignment="1">
      <alignment horizontal="center" vertical="center"/>
    </xf>
    <xf numFmtId="0" fontId="32" fillId="17" borderId="9" xfId="4" applyFont="1" applyFill="1" applyBorder="1" applyAlignment="1">
      <alignment horizontal="center" vertical="center" wrapText="1"/>
    </xf>
    <xf numFmtId="0" fontId="33" fillId="0" borderId="17" xfId="10" applyFont="1" applyFill="1" applyBorder="1" applyAlignment="1">
      <alignment horizontal="center" vertical="center" wrapText="1"/>
    </xf>
    <xf numFmtId="0" fontId="33" fillId="0" borderId="18" xfId="10" applyFont="1" applyFill="1" applyBorder="1" applyAlignment="1">
      <alignment horizontal="center" vertical="center" wrapText="1"/>
    </xf>
    <xf numFmtId="0" fontId="33" fillId="0" borderId="19" xfId="10" applyFont="1" applyFill="1" applyBorder="1" applyAlignment="1">
      <alignment horizontal="center" vertical="center" wrapText="1"/>
    </xf>
    <xf numFmtId="0" fontId="32" fillId="0" borderId="9" xfId="4" applyFont="1" applyFill="1" applyBorder="1" applyAlignment="1">
      <alignment horizontal="center" vertical="center" wrapText="1"/>
    </xf>
    <xf numFmtId="0" fontId="32" fillId="18" borderId="9" xfId="4" applyFont="1" applyFill="1" applyBorder="1" applyAlignment="1">
      <alignment horizontal="center" vertical="center"/>
    </xf>
    <xf numFmtId="0" fontId="32" fillId="0" borderId="9" xfId="4" applyFont="1" applyFill="1" applyBorder="1" applyAlignment="1">
      <alignment horizontal="center" vertical="center"/>
    </xf>
    <xf numFmtId="0" fontId="33" fillId="0" borderId="17" xfId="4" applyFont="1" applyFill="1" applyBorder="1" applyAlignment="1">
      <alignment horizontal="center" vertical="center" wrapText="1"/>
    </xf>
    <xf numFmtId="0" fontId="33" fillId="0" borderId="18" xfId="4" applyFont="1" applyFill="1" applyBorder="1" applyAlignment="1">
      <alignment horizontal="center" vertical="center" wrapText="1"/>
    </xf>
    <xf numFmtId="0" fontId="33" fillId="0" borderId="19" xfId="4" applyFont="1" applyFill="1" applyBorder="1" applyAlignment="1">
      <alignment horizontal="center" vertical="center" wrapText="1"/>
    </xf>
    <xf numFmtId="0" fontId="33" fillId="0" borderId="12" xfId="4" applyFont="1" applyFill="1" applyBorder="1" applyAlignment="1">
      <alignment horizontal="center" vertical="center" wrapText="1"/>
    </xf>
    <xf numFmtId="0" fontId="33" fillId="0" borderId="13" xfId="4" applyFont="1" applyFill="1" applyBorder="1" applyAlignment="1">
      <alignment horizontal="center" vertical="center" wrapText="1"/>
    </xf>
    <xf numFmtId="0" fontId="33" fillId="0" borderId="14" xfId="4" applyFont="1" applyFill="1" applyBorder="1" applyAlignment="1">
      <alignment horizontal="center" vertical="center" wrapText="1"/>
    </xf>
    <xf numFmtId="0" fontId="32" fillId="17" borderId="9" xfId="4" applyFont="1" applyFill="1" applyBorder="1" applyAlignment="1">
      <alignment horizontal="center" vertical="center"/>
    </xf>
    <xf numFmtId="0" fontId="32" fillId="18" borderId="9" xfId="4" applyFont="1" applyFill="1" applyBorder="1" applyAlignment="1">
      <alignment horizontal="center" vertical="center" wrapText="1"/>
    </xf>
    <xf numFmtId="0" fontId="33" fillId="0" borderId="6" xfId="4" applyFont="1" applyFill="1" applyBorder="1" applyAlignment="1">
      <alignment horizontal="center" vertical="center" wrapText="1"/>
    </xf>
    <xf numFmtId="0" fontId="33" fillId="0" borderId="7" xfId="4" applyFont="1" applyFill="1" applyBorder="1" applyAlignment="1">
      <alignment horizontal="center" vertical="center" wrapText="1"/>
    </xf>
    <xf numFmtId="0" fontId="33" fillId="0" borderId="8" xfId="4" applyFont="1" applyFill="1" applyBorder="1" applyAlignment="1">
      <alignment horizontal="center" vertical="center" wrapText="1"/>
    </xf>
    <xf numFmtId="0" fontId="33" fillId="17" borderId="9" xfId="4" applyFont="1" applyFill="1" applyBorder="1" applyAlignment="1">
      <alignment horizontal="center" vertical="center"/>
    </xf>
    <xf numFmtId="0" fontId="32" fillId="0" borderId="6" xfId="4" applyFont="1" applyBorder="1" applyAlignment="1">
      <alignment horizontal="center" vertical="center"/>
    </xf>
    <xf numFmtId="0" fontId="32" fillId="0" borderId="7" xfId="4" applyFont="1" applyBorder="1" applyAlignment="1">
      <alignment horizontal="center" vertical="center"/>
    </xf>
    <xf numFmtId="0" fontId="32" fillId="0" borderId="8" xfId="4" applyFont="1" applyBorder="1" applyAlignment="1">
      <alignment horizontal="center" vertical="center"/>
    </xf>
    <xf numFmtId="0" fontId="32" fillId="0" borderId="10" xfId="4" applyFont="1" applyBorder="1" applyAlignment="1">
      <alignment horizontal="center" vertical="center"/>
    </xf>
    <xf numFmtId="0" fontId="32" fillId="0" borderId="0" xfId="4" applyFont="1" applyBorder="1" applyAlignment="1">
      <alignment horizontal="center" vertical="center"/>
    </xf>
    <xf numFmtId="0" fontId="32" fillId="0" borderId="11" xfId="4" applyFont="1" applyBorder="1" applyAlignment="1">
      <alignment horizontal="center" vertical="center"/>
    </xf>
    <xf numFmtId="0" fontId="32" fillId="0" borderId="15" xfId="4" applyFont="1" applyBorder="1" applyAlignment="1">
      <alignment horizontal="center" vertical="center"/>
    </xf>
    <xf numFmtId="0" fontId="32" fillId="0" borderId="1" xfId="4" applyFont="1" applyBorder="1" applyAlignment="1">
      <alignment horizontal="center" vertical="center"/>
    </xf>
    <xf numFmtId="0" fontId="32" fillId="0" borderId="16" xfId="4" applyFont="1" applyBorder="1" applyAlignment="1">
      <alignment horizontal="center" vertical="center"/>
    </xf>
    <xf numFmtId="0" fontId="33" fillId="0" borderId="9" xfId="4" applyFont="1" applyBorder="1" applyAlignment="1">
      <alignment vertical="center"/>
    </xf>
    <xf numFmtId="0" fontId="33" fillId="0" borderId="9" xfId="4" applyFont="1" applyBorder="1" applyAlignment="1">
      <alignment horizontal="center" vertical="center"/>
    </xf>
    <xf numFmtId="0" fontId="26" fillId="0" borderId="1" xfId="3" applyFont="1" applyBorder="1" applyAlignment="1">
      <alignment horizontal="center" vertical="center" wrapText="1"/>
    </xf>
    <xf numFmtId="0" fontId="37" fillId="0" borderId="6" xfId="4" applyFont="1" applyBorder="1" applyAlignment="1">
      <alignment horizontal="center" vertical="center"/>
    </xf>
    <xf numFmtId="0" fontId="37" fillId="0" borderId="7" xfId="4" applyFont="1" applyBorder="1" applyAlignment="1">
      <alignment horizontal="center" vertical="center"/>
    </xf>
    <xf numFmtId="0" fontId="37" fillId="0" borderId="8" xfId="4" applyFont="1" applyBorder="1" applyAlignment="1">
      <alignment horizontal="center" vertical="center"/>
    </xf>
    <xf numFmtId="0" fontId="37" fillId="0" borderId="10" xfId="4" applyFont="1" applyBorder="1" applyAlignment="1">
      <alignment horizontal="center" vertical="center"/>
    </xf>
    <xf numFmtId="0" fontId="37" fillId="0" borderId="0" xfId="4" applyFont="1" applyBorder="1" applyAlignment="1">
      <alignment horizontal="center" vertical="center"/>
    </xf>
    <xf numFmtId="0" fontId="37" fillId="0" borderId="11" xfId="4" applyFont="1" applyBorder="1" applyAlignment="1">
      <alignment horizontal="center" vertical="center"/>
    </xf>
    <xf numFmtId="0" fontId="37" fillId="0" borderId="15" xfId="4" applyFont="1" applyBorder="1" applyAlignment="1">
      <alignment horizontal="center" vertical="center"/>
    </xf>
    <xf numFmtId="0" fontId="37" fillId="0" borderId="1" xfId="4" applyFont="1" applyBorder="1" applyAlignment="1">
      <alignment horizontal="center" vertical="center"/>
    </xf>
    <xf numFmtId="0" fontId="37" fillId="0" borderId="16" xfId="4" applyFont="1" applyBorder="1" applyAlignment="1">
      <alignment horizontal="center" vertical="center"/>
    </xf>
    <xf numFmtId="0" fontId="37" fillId="6" borderId="12" xfId="4" applyFont="1" applyFill="1" applyBorder="1" applyAlignment="1">
      <alignment horizontal="center" vertical="center" wrapText="1"/>
    </xf>
    <xf numFmtId="0" fontId="37" fillId="6" borderId="13" xfId="4" applyFont="1" applyFill="1" applyBorder="1" applyAlignment="1">
      <alignment horizontal="center" vertical="center" wrapText="1"/>
    </xf>
    <xf numFmtId="0" fontId="37" fillId="8" borderId="12" xfId="4" applyFont="1" applyFill="1" applyBorder="1" applyAlignment="1">
      <alignment horizontal="center" vertical="center" wrapText="1"/>
    </xf>
    <xf numFmtId="0" fontId="37" fillId="8" borderId="13" xfId="4" applyFont="1" applyFill="1" applyBorder="1" applyAlignment="1">
      <alignment horizontal="center" vertical="center" wrapText="1"/>
    </xf>
    <xf numFmtId="0" fontId="37" fillId="10" borderId="12" xfId="4" applyFont="1" applyFill="1" applyBorder="1" applyAlignment="1">
      <alignment horizontal="center" vertical="center" wrapText="1"/>
    </xf>
    <xf numFmtId="0" fontId="37" fillId="10" borderId="13" xfId="4" applyFont="1" applyFill="1" applyBorder="1" applyAlignment="1">
      <alignment horizontal="center" vertical="center" wrapText="1"/>
    </xf>
    <xf numFmtId="0" fontId="37" fillId="14" borderId="12" xfId="4" applyFont="1" applyFill="1" applyBorder="1" applyAlignment="1">
      <alignment horizontal="center" vertical="center" wrapText="1"/>
    </xf>
    <xf numFmtId="0" fontId="37" fillId="14" borderId="13" xfId="4" applyFont="1" applyFill="1" applyBorder="1" applyAlignment="1">
      <alignment horizontal="center" vertical="center" wrapText="1"/>
    </xf>
    <xf numFmtId="0" fontId="32" fillId="21" borderId="6" xfId="4" applyFont="1" applyFill="1" applyBorder="1" applyAlignment="1">
      <alignment horizontal="center" vertical="center" wrapText="1"/>
    </xf>
    <xf numFmtId="0" fontId="32" fillId="21" borderId="10" xfId="4" applyFont="1" applyFill="1" applyBorder="1" applyAlignment="1">
      <alignment horizontal="center" vertical="center" wrapText="1"/>
    </xf>
    <xf numFmtId="0" fontId="32" fillId="21" borderId="15" xfId="4" applyFont="1" applyFill="1" applyBorder="1" applyAlignment="1">
      <alignment horizontal="center" vertical="center" wrapText="1"/>
    </xf>
    <xf numFmtId="0" fontId="38" fillId="0" borderId="17" xfId="4" applyFont="1" applyBorder="1" applyAlignment="1">
      <alignment horizontal="center" vertical="center" wrapText="1"/>
    </xf>
    <xf numFmtId="0" fontId="38" fillId="0" borderId="18" xfId="4" applyFont="1" applyBorder="1" applyAlignment="1">
      <alignment horizontal="center" vertical="center" wrapText="1"/>
    </xf>
    <xf numFmtId="0" fontId="38" fillId="0" borderId="19" xfId="4" applyFont="1" applyBorder="1" applyAlignment="1">
      <alignment horizontal="center" vertical="center" wrapText="1"/>
    </xf>
    <xf numFmtId="0" fontId="38" fillId="0" borderId="17" xfId="4" applyFont="1" applyBorder="1" applyAlignment="1">
      <alignment horizontal="center" vertical="center"/>
    </xf>
    <xf numFmtId="0" fontId="38" fillId="0" borderId="18" xfId="4" applyFont="1" applyBorder="1" applyAlignment="1">
      <alignment horizontal="center" vertical="center"/>
    </xf>
    <xf numFmtId="0" fontId="38" fillId="0" borderId="19" xfId="4" applyFont="1" applyBorder="1" applyAlignment="1">
      <alignment horizontal="center" vertical="center"/>
    </xf>
    <xf numFmtId="0" fontId="37" fillId="0" borderId="17" xfId="4" applyFont="1" applyBorder="1" applyAlignment="1">
      <alignment horizontal="center" vertical="center"/>
    </xf>
    <xf numFmtId="0" fontId="37" fillId="0" borderId="18" xfId="4" applyFont="1" applyBorder="1" applyAlignment="1">
      <alignment horizontal="center" vertical="center"/>
    </xf>
    <xf numFmtId="0" fontId="37" fillId="0" borderId="19" xfId="4" applyFont="1" applyBorder="1" applyAlignment="1">
      <alignment horizontal="center" vertical="center"/>
    </xf>
    <xf numFmtId="0" fontId="32" fillId="16" borderId="9" xfId="4" applyFont="1" applyFill="1" applyBorder="1" applyAlignment="1">
      <alignment horizontal="center" vertical="center"/>
    </xf>
    <xf numFmtId="0" fontId="32" fillId="17" borderId="17" xfId="4" applyFont="1" applyFill="1" applyBorder="1" applyAlignment="1">
      <alignment horizontal="center" vertical="center" wrapText="1"/>
    </xf>
    <xf numFmtId="0" fontId="32" fillId="17" borderId="18" xfId="4" applyFont="1" applyFill="1" applyBorder="1" applyAlignment="1">
      <alignment horizontal="center" vertical="center" wrapText="1"/>
    </xf>
    <xf numFmtId="0" fontId="32" fillId="17" borderId="19" xfId="4" applyFont="1" applyFill="1" applyBorder="1" applyAlignment="1">
      <alignment horizontal="center" vertical="center" wrapText="1"/>
    </xf>
    <xf numFmtId="0" fontId="37" fillId="15" borderId="12" xfId="4" applyFont="1" applyFill="1" applyBorder="1" applyAlignment="1">
      <alignment horizontal="center" vertical="center" wrapText="1"/>
    </xf>
    <xf numFmtId="0" fontId="37" fillId="15" borderId="13" xfId="4" applyFont="1" applyFill="1" applyBorder="1" applyAlignment="1">
      <alignment horizontal="center" vertical="center" wrapText="1"/>
    </xf>
    <xf numFmtId="0" fontId="32" fillId="21" borderId="17" xfId="4" applyFont="1" applyFill="1" applyBorder="1" applyAlignment="1">
      <alignment horizontal="center" vertical="center" wrapText="1"/>
    </xf>
    <xf numFmtId="0" fontId="32" fillId="21" borderId="18" xfId="4" applyFont="1" applyFill="1" applyBorder="1" applyAlignment="1">
      <alignment horizontal="center" vertical="center" wrapText="1"/>
    </xf>
    <xf numFmtId="0" fontId="32" fillId="21" borderId="19" xfId="4" applyFont="1" applyFill="1" applyBorder="1" applyAlignment="1">
      <alignment horizontal="center" vertical="center" wrapText="1"/>
    </xf>
    <xf numFmtId="0" fontId="59" fillId="0" borderId="9" xfId="10" applyFont="1" applyBorder="1" applyAlignment="1">
      <alignment horizontal="center"/>
    </xf>
    <xf numFmtId="0" fontId="59" fillId="23" borderId="9" xfId="10" quotePrefix="1" applyFont="1" applyFill="1" applyBorder="1" applyAlignment="1">
      <alignment horizontal="center" vertical="center"/>
    </xf>
    <xf numFmtId="0" fontId="59" fillId="24" borderId="9" xfId="10" quotePrefix="1" applyFont="1" applyFill="1" applyBorder="1" applyAlignment="1">
      <alignment horizontal="center" vertical="center"/>
    </xf>
    <xf numFmtId="0" fontId="59" fillId="6" borderId="17" xfId="10" applyFont="1" applyFill="1" applyBorder="1" applyAlignment="1">
      <alignment horizontal="center" vertical="center"/>
    </xf>
    <xf numFmtId="0" fontId="59" fillId="6" borderId="19" xfId="10" applyFont="1" applyFill="1" applyBorder="1" applyAlignment="1">
      <alignment horizontal="center" vertical="center"/>
    </xf>
    <xf numFmtId="0" fontId="59" fillId="8" borderId="17" xfId="10" applyFont="1" applyFill="1" applyBorder="1" applyAlignment="1">
      <alignment horizontal="center" vertical="center" wrapText="1"/>
    </xf>
    <xf numFmtId="0" fontId="59" fillId="8" borderId="19" xfId="10" applyFont="1" applyFill="1" applyBorder="1" applyAlignment="1">
      <alignment horizontal="center" vertical="center" wrapText="1"/>
    </xf>
    <xf numFmtId="0" fontId="59" fillId="10" borderId="17" xfId="10" applyFont="1" applyFill="1" applyBorder="1" applyAlignment="1">
      <alignment horizontal="center" vertical="center" wrapText="1"/>
    </xf>
    <xf numFmtId="0" fontId="59" fillId="10" borderId="19" xfId="10" applyFont="1" applyFill="1" applyBorder="1" applyAlignment="1">
      <alignment horizontal="center" vertical="center" wrapText="1"/>
    </xf>
    <xf numFmtId="0" fontId="59" fillId="14" borderId="17" xfId="10" applyFont="1" applyFill="1" applyBorder="1" applyAlignment="1">
      <alignment horizontal="center" vertical="center" wrapText="1"/>
    </xf>
    <xf numFmtId="0" fontId="59" fillId="14" borderId="19" xfId="10" applyFont="1" applyFill="1" applyBorder="1" applyAlignment="1">
      <alignment horizontal="center" vertical="center" wrapText="1"/>
    </xf>
    <xf numFmtId="0" fontId="59" fillId="15" borderId="17" xfId="10" applyFont="1" applyFill="1" applyBorder="1" applyAlignment="1">
      <alignment horizontal="center" vertical="center" wrapText="1"/>
    </xf>
    <xf numFmtId="0" fontId="59" fillId="15" borderId="19" xfId="10" applyFont="1" applyFill="1" applyBorder="1" applyAlignment="1">
      <alignment horizontal="center" vertical="center" wrapText="1"/>
    </xf>
    <xf numFmtId="0" fontId="59" fillId="16" borderId="17" xfId="10" applyFont="1" applyFill="1" applyBorder="1" applyAlignment="1">
      <alignment horizontal="center" vertical="center" wrapText="1"/>
    </xf>
    <xf numFmtId="0" fontId="59" fillId="16" borderId="19" xfId="10" applyFont="1" applyFill="1" applyBorder="1" applyAlignment="1">
      <alignment horizontal="center" vertical="center" wrapText="1"/>
    </xf>
  </cellXfs>
  <cellStyles count="13">
    <cellStyle name="Hipervínculo" xfId="6" builtinId="8"/>
    <cellStyle name="Normal" xfId="0" builtinId="0"/>
    <cellStyle name="Normal 2" xfId="9"/>
    <cellStyle name="Normal 2 2" xfId="4"/>
    <cellStyle name="Normal 2 2 2" xfId="10"/>
    <cellStyle name="Normal 3 3" xfId="12"/>
    <cellStyle name="Normal 4 2" xfId="11"/>
    <cellStyle name="Normal 5" xfId="3"/>
    <cellStyle name="Normal 6" xfId="5"/>
    <cellStyle name="Normal_04-02" xfId="7"/>
    <cellStyle name="Normal_ENERO99" xfId="8"/>
    <cellStyle name="Normal_Libro2" xfId="1"/>
    <cellStyle name="Normal_me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10" dropStyle="combo" dx="20" fmlaLink="$P$3" fmlaRange="Años" noThreeD="1" sel="29" val="19"/>
</file>

<file path=xl/ctrlProps/ctrlProp10.xml><?xml version="1.0" encoding="utf-8"?>
<formControlPr xmlns="http://schemas.microsoft.com/office/spreadsheetml/2009/9/main" objectType="Drop" dropLines="10" dropStyle="combo" dx="20" fmlaLink="$M$4" fmlaRange="Años_homogeneizaciones" noThreeD="1" sel="5" val="0"/>
</file>

<file path=xl/ctrlProps/ctrlProp11.xml><?xml version="1.0" encoding="utf-8"?>
<formControlPr xmlns="http://schemas.microsoft.com/office/spreadsheetml/2009/9/main" objectType="Drop" dropStyle="combo" dx="20" fmlaLink="$M$5" fmlaRange="Meses" noThreeD="1" sel="2" val="0"/>
</file>

<file path=xl/ctrlProps/ctrlProp12.xml><?xml version="1.0" encoding="utf-8"?>
<formControlPr xmlns="http://schemas.microsoft.com/office/spreadsheetml/2009/9/main" objectType="Drop" dropLines="10" dropStyle="combo" dx="20" fmlaLink="$R$7" fmlaRange="Años_homogeneizaciones" noThreeD="1" sel="5" val="0"/>
</file>

<file path=xl/ctrlProps/ctrlProp2.xml><?xml version="1.0" encoding="utf-8"?>
<formControlPr xmlns="http://schemas.microsoft.com/office/spreadsheetml/2009/9/main" objectType="Drop" dropStyle="combo" dx="20" fmlaLink="$P$4" fmlaRange="$P$96:$P$107" noThreeD="1" sel="2" val="0"/>
</file>

<file path=xl/ctrlProps/ctrlProp3.xml><?xml version="1.0" encoding="utf-8"?>
<formControlPr xmlns="http://schemas.microsoft.com/office/spreadsheetml/2009/9/main" objectType="Drop" dropLines="10" dropStyle="combo" dx="20" fmlaLink="$R$7" fmlaRange="Años" noThreeD="1" sel="29" val="19"/>
</file>

<file path=xl/ctrlProps/ctrlProp4.xml><?xml version="1.0" encoding="utf-8"?>
<formControlPr xmlns="http://schemas.microsoft.com/office/spreadsheetml/2009/9/main" objectType="Drop" dropLines="10" dropStyle="combo" dx="20" fmlaLink="$O$4" fmlaRange="Años" noThreeD="1" sel="29" val="19"/>
</file>

<file path=xl/ctrlProps/ctrlProp5.xml><?xml version="1.0" encoding="utf-8"?>
<formControlPr xmlns="http://schemas.microsoft.com/office/spreadsheetml/2009/9/main" objectType="Drop" dropStyle="combo" dx="20" fmlaLink="$O$5" fmlaRange="Meses" noThreeD="1" sel="2" val="0"/>
</file>

<file path=xl/ctrlProps/ctrlProp6.xml><?xml version="1.0" encoding="utf-8"?>
<formControlPr xmlns="http://schemas.microsoft.com/office/spreadsheetml/2009/9/main" objectType="Drop" dropLines="10" dropStyle="combo" dx="20" fmlaLink="$R$7" fmlaRange="Años" noThreeD="1" sel="29" val="19"/>
</file>

<file path=xl/ctrlProps/ctrlProp7.xml><?xml version="1.0" encoding="utf-8"?>
<formControlPr xmlns="http://schemas.microsoft.com/office/spreadsheetml/2009/9/main" objectType="Drop" dropLines="10" dropStyle="combo" dx="20" fmlaLink="$R$7" fmlaRange="Años" noThreeD="1" sel="29" val="19"/>
</file>

<file path=xl/ctrlProps/ctrlProp8.xml><?xml version="1.0" encoding="utf-8"?>
<formControlPr xmlns="http://schemas.microsoft.com/office/spreadsheetml/2009/9/main" objectType="Drop" dropLines="10" dropStyle="combo" dx="20" fmlaLink="$M$9" fmlaRange="Años" noThreeD="1" sel="29" val="19"/>
</file>

<file path=xl/ctrlProps/ctrlProp9.xml><?xml version="1.0" encoding="utf-8"?>
<formControlPr xmlns="http://schemas.microsoft.com/office/spreadsheetml/2009/9/main" objectType="Drop" dropStyle="combo" dx="20" fmlaLink="$M$10" fmlaRange="Meses" noThreeD="1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502920</xdr:colOff>
          <xdr:row>7</xdr:row>
          <xdr:rowOff>22860</xdr:rowOff>
        </xdr:from>
        <xdr:to>
          <xdr:col>5</xdr:col>
          <xdr:colOff>426720</xdr:colOff>
          <xdr:row>7</xdr:row>
          <xdr:rowOff>220980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99060</xdr:colOff>
          <xdr:row>7</xdr:row>
          <xdr:rowOff>22860</xdr:rowOff>
        </xdr:from>
        <xdr:to>
          <xdr:col>7</xdr:col>
          <xdr:colOff>899160</xdr:colOff>
          <xdr:row>7</xdr:row>
          <xdr:rowOff>228600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1</xdr:col>
      <xdr:colOff>1190625</xdr:colOff>
      <xdr:row>2</xdr:row>
      <xdr:rowOff>7620</xdr:rowOff>
    </xdr:to>
    <xdr:sp macro="" textlink="">
      <xdr:nvSpPr>
        <xdr:cNvPr id="5" name="CuadroTexto 4">
          <a:hlinkClick xmlns:r="http://schemas.openxmlformats.org/officeDocument/2006/relationships" r:id="rId1"/>
        </xdr:cNvPr>
        <xdr:cNvSpPr txBox="1"/>
      </xdr:nvSpPr>
      <xdr:spPr>
        <a:xfrm>
          <a:off x="123825" y="10477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57150</xdr:rowOff>
    </xdr:from>
    <xdr:to>
      <xdr:col>2</xdr:col>
      <xdr:colOff>571500</xdr:colOff>
      <xdr:row>2</xdr:row>
      <xdr:rowOff>150495</xdr:rowOff>
    </xdr:to>
    <xdr:sp macro="" textlink="">
      <xdr:nvSpPr>
        <xdr:cNvPr id="2" name="CuadroTexto 1">
          <a:hlinkClick xmlns:r="http://schemas.openxmlformats.org/officeDocument/2006/relationships" r:id="rId1" tooltip="Back to the index"/>
        </xdr:cNvPr>
        <xdr:cNvSpPr txBox="1"/>
      </xdr:nvSpPr>
      <xdr:spPr>
        <a:xfrm>
          <a:off x="104775" y="42862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85725</xdr:rowOff>
    </xdr:from>
    <xdr:to>
      <xdr:col>0</xdr:col>
      <xdr:colOff>1247775</xdr:colOff>
      <xdr:row>2</xdr:row>
      <xdr:rowOff>131445</xdr:rowOff>
    </xdr:to>
    <xdr:sp macro="" textlink="">
      <xdr:nvSpPr>
        <xdr:cNvPr id="3" name="CuadroTexto 2">
          <a:hlinkClick xmlns:r="http://schemas.openxmlformats.org/officeDocument/2006/relationships" r:id="rId1" tooltip="Back to the index"/>
        </xdr:cNvPr>
        <xdr:cNvSpPr txBox="1"/>
      </xdr:nvSpPr>
      <xdr:spPr>
        <a:xfrm>
          <a:off x="57150" y="54292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297180</xdr:colOff>
          <xdr:row>6</xdr:row>
          <xdr:rowOff>22860</xdr:rowOff>
        </xdr:from>
        <xdr:to>
          <xdr:col>9</xdr:col>
          <xdr:colOff>327660</xdr:colOff>
          <xdr:row>6</xdr:row>
          <xdr:rowOff>220980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2</xdr:col>
      <xdr:colOff>523875</xdr:colOff>
      <xdr:row>2</xdr:row>
      <xdr:rowOff>198120</xdr:rowOff>
    </xdr:to>
    <xdr:sp macro="" textlink="">
      <xdr:nvSpPr>
        <xdr:cNvPr id="5" name="CuadroTexto 4">
          <a:hlinkClick xmlns:r="http://schemas.openxmlformats.org/officeDocument/2006/relationships" r:id="rId1"/>
        </xdr:cNvPr>
        <xdr:cNvSpPr txBox="1"/>
      </xdr:nvSpPr>
      <xdr:spPr>
        <a:xfrm>
          <a:off x="142875" y="57150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861060</xdr:colOff>
          <xdr:row>6</xdr:row>
          <xdr:rowOff>22860</xdr:rowOff>
        </xdr:from>
        <xdr:to>
          <xdr:col>5</xdr:col>
          <xdr:colOff>0</xdr:colOff>
          <xdr:row>6</xdr:row>
          <xdr:rowOff>220980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723900</xdr:colOff>
          <xdr:row>6</xdr:row>
          <xdr:rowOff>22860</xdr:rowOff>
        </xdr:from>
        <xdr:to>
          <xdr:col>6</xdr:col>
          <xdr:colOff>678180</xdr:colOff>
          <xdr:row>6</xdr:row>
          <xdr:rowOff>220980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1</xdr:col>
      <xdr:colOff>1190625</xdr:colOff>
      <xdr:row>2</xdr:row>
      <xdr:rowOff>64770</xdr:rowOff>
    </xdr:to>
    <xdr:sp macro="" textlink="">
      <xdr:nvSpPr>
        <xdr:cNvPr id="6" name="CuadroTexto 5">
          <a:hlinkClick xmlns:r="http://schemas.openxmlformats.org/officeDocument/2006/relationships" r:id="rId1"/>
        </xdr:cNvPr>
        <xdr:cNvSpPr txBox="1"/>
      </xdr:nvSpPr>
      <xdr:spPr>
        <a:xfrm>
          <a:off x="114300" y="6667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289560</xdr:colOff>
          <xdr:row>6</xdr:row>
          <xdr:rowOff>22860</xdr:rowOff>
        </xdr:from>
        <xdr:to>
          <xdr:col>9</xdr:col>
          <xdr:colOff>312420</xdr:colOff>
          <xdr:row>6</xdr:row>
          <xdr:rowOff>220980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2</xdr:col>
      <xdr:colOff>523875</xdr:colOff>
      <xdr:row>2</xdr:row>
      <xdr:rowOff>198120</xdr:rowOff>
    </xdr:to>
    <xdr:sp macro="" textlink="">
      <xdr:nvSpPr>
        <xdr:cNvPr id="5" name="CuadroTexto 4">
          <a:hlinkClick xmlns:r="http://schemas.openxmlformats.org/officeDocument/2006/relationships" r:id="rId1"/>
        </xdr:cNvPr>
        <xdr:cNvSpPr txBox="1"/>
      </xdr:nvSpPr>
      <xdr:spPr>
        <a:xfrm>
          <a:off x="142875" y="57150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304800</xdr:colOff>
          <xdr:row>6</xdr:row>
          <xdr:rowOff>22860</xdr:rowOff>
        </xdr:from>
        <xdr:to>
          <xdr:col>9</xdr:col>
          <xdr:colOff>335280</xdr:colOff>
          <xdr:row>6</xdr:row>
          <xdr:rowOff>220980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2</xdr:col>
      <xdr:colOff>523875</xdr:colOff>
      <xdr:row>2</xdr:row>
      <xdr:rowOff>198120</xdr:rowOff>
    </xdr:to>
    <xdr:sp macro="" textlink="">
      <xdr:nvSpPr>
        <xdr:cNvPr id="5" name="CuadroTexto 4">
          <a:hlinkClick xmlns:r="http://schemas.openxmlformats.org/officeDocument/2006/relationships" r:id="rId1"/>
        </xdr:cNvPr>
        <xdr:cNvSpPr txBox="1"/>
      </xdr:nvSpPr>
      <xdr:spPr>
        <a:xfrm>
          <a:off x="142875" y="57150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403860</xdr:colOff>
          <xdr:row>6</xdr:row>
          <xdr:rowOff>22860</xdr:rowOff>
        </xdr:from>
        <xdr:to>
          <xdr:col>4</xdr:col>
          <xdr:colOff>289560</xdr:colOff>
          <xdr:row>6</xdr:row>
          <xdr:rowOff>220980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906780</xdr:colOff>
          <xdr:row>6</xdr:row>
          <xdr:rowOff>22860</xdr:rowOff>
        </xdr:from>
        <xdr:to>
          <xdr:col>5</xdr:col>
          <xdr:colOff>822960</xdr:colOff>
          <xdr:row>6</xdr:row>
          <xdr:rowOff>220980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1</xdr:col>
      <xdr:colOff>1190625</xdr:colOff>
      <xdr:row>2</xdr:row>
      <xdr:rowOff>102870</xdr:rowOff>
    </xdr:to>
    <xdr:sp macro="" textlink="">
      <xdr:nvSpPr>
        <xdr:cNvPr id="6" name="CuadroTexto 5">
          <a:hlinkClick xmlns:r="http://schemas.openxmlformats.org/officeDocument/2006/relationships" r:id="rId1"/>
        </xdr:cNvPr>
        <xdr:cNvSpPr txBox="1"/>
      </xdr:nvSpPr>
      <xdr:spPr>
        <a:xfrm>
          <a:off x="114300" y="6667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7</xdr:row>
          <xdr:rowOff>22860</xdr:rowOff>
        </xdr:from>
        <xdr:to>
          <xdr:col>4</xdr:col>
          <xdr:colOff>289560</xdr:colOff>
          <xdr:row>7</xdr:row>
          <xdr:rowOff>220980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899160</xdr:colOff>
          <xdr:row>7</xdr:row>
          <xdr:rowOff>22860</xdr:rowOff>
        </xdr:from>
        <xdr:to>
          <xdr:col>5</xdr:col>
          <xdr:colOff>883920</xdr:colOff>
          <xdr:row>7</xdr:row>
          <xdr:rowOff>220980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1</xdr:row>
      <xdr:rowOff>0</xdr:rowOff>
    </xdr:from>
    <xdr:to>
      <xdr:col>1</xdr:col>
      <xdr:colOff>1190625</xdr:colOff>
      <xdr:row>2</xdr:row>
      <xdr:rowOff>131445</xdr:rowOff>
    </xdr:to>
    <xdr:sp macro="" textlink="">
      <xdr:nvSpPr>
        <xdr:cNvPr id="6" name="CuadroTexto 5">
          <a:hlinkClick xmlns:r="http://schemas.openxmlformats.org/officeDocument/2006/relationships" r:id="rId1"/>
        </xdr:cNvPr>
        <xdr:cNvSpPr txBox="1"/>
      </xdr:nvSpPr>
      <xdr:spPr>
        <a:xfrm>
          <a:off x="123825" y="47625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274320</xdr:colOff>
          <xdr:row>6</xdr:row>
          <xdr:rowOff>7620</xdr:rowOff>
        </xdr:from>
        <xdr:to>
          <xdr:col>9</xdr:col>
          <xdr:colOff>304800</xdr:colOff>
          <xdr:row>6</xdr:row>
          <xdr:rowOff>213360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66675</xdr:colOff>
      <xdr:row>1</xdr:row>
      <xdr:rowOff>38100</xdr:rowOff>
    </xdr:from>
    <xdr:to>
      <xdr:col>2</xdr:col>
      <xdr:colOff>447675</xdr:colOff>
      <xdr:row>2</xdr:row>
      <xdr:rowOff>236220</xdr:rowOff>
    </xdr:to>
    <xdr:sp macro="" textlink="">
      <xdr:nvSpPr>
        <xdr:cNvPr id="4" name="CuadroTexto 3">
          <a:hlinkClick xmlns:r="http://schemas.openxmlformats.org/officeDocument/2006/relationships" r:id="rId1"/>
        </xdr:cNvPr>
        <xdr:cNvSpPr txBox="1"/>
      </xdr:nvSpPr>
      <xdr:spPr>
        <a:xfrm>
          <a:off x="66675" y="95250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57150</xdr:rowOff>
    </xdr:from>
    <xdr:to>
      <xdr:col>2</xdr:col>
      <xdr:colOff>609600</xdr:colOff>
      <xdr:row>2</xdr:row>
      <xdr:rowOff>131445</xdr:rowOff>
    </xdr:to>
    <xdr:sp macro="" textlink="">
      <xdr:nvSpPr>
        <xdr:cNvPr id="3" name="CuadroTexto 2">
          <a:hlinkClick xmlns:r="http://schemas.openxmlformats.org/officeDocument/2006/relationships" r:id="rId1" tooltip="Back to the index"/>
        </xdr:cNvPr>
        <xdr:cNvSpPr txBox="1"/>
      </xdr:nvSpPr>
      <xdr:spPr>
        <a:xfrm>
          <a:off x="152400" y="495300"/>
          <a:ext cx="1190625" cy="25527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Back to the index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vmlDrawing" Target="../drawings/vmlDrawing7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vmlDrawing" Target="../drawings/vmlDrawing9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1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1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2.xml"/><Relationship Id="rId4" Type="http://schemas.openxmlformats.org/officeDocument/2006/relationships/vmlDrawing" Target="../drawings/vmlDrawing1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L225"/>
  <sheetViews>
    <sheetView showGridLines="0" showRowColHeaders="0" tabSelected="1" workbookViewId="0"/>
  </sheetViews>
  <sheetFormatPr baseColWidth="10" defaultRowHeight="12.6" outlineLevelRow="2"/>
  <cols>
    <col min="1" max="1" width="6.6328125" customWidth="1"/>
    <col min="2" max="2" width="3.6328125" customWidth="1"/>
    <col min="3" max="3" width="3.453125" customWidth="1"/>
    <col min="4" max="4" width="4.453125" customWidth="1"/>
    <col min="5" max="5" width="5.7265625" customWidth="1"/>
    <col min="6" max="6" width="7.08984375" customWidth="1"/>
    <col min="7" max="7" width="9" customWidth="1"/>
    <col min="8" max="8" width="10.90625" customWidth="1"/>
  </cols>
  <sheetData>
    <row r="2" spans="2:12" ht="16.2">
      <c r="B2" s="304" t="s">
        <v>450</v>
      </c>
    </row>
    <row r="3" spans="2:12" ht="13.2">
      <c r="B3" s="106"/>
    </row>
    <row r="4" spans="2:12" ht="25.95" customHeight="1">
      <c r="B4" s="292" t="s">
        <v>39</v>
      </c>
      <c r="C4" s="107"/>
      <c r="D4" s="107"/>
    </row>
    <row r="5" spans="2:12" ht="19.95" customHeight="1">
      <c r="B5" s="107"/>
      <c r="C5" s="305" t="s">
        <v>40</v>
      </c>
      <c r="D5" s="305"/>
    </row>
    <row r="6" spans="2:12" ht="19.95" customHeight="1">
      <c r="B6" s="107"/>
      <c r="C6" s="107"/>
      <c r="D6" s="108" t="s">
        <v>455</v>
      </c>
      <c r="E6" s="306"/>
      <c r="F6" s="306"/>
      <c r="G6" s="306"/>
      <c r="H6" s="306"/>
    </row>
    <row r="7" spans="2:12" ht="19.95" customHeight="1">
      <c r="B7" s="107"/>
      <c r="C7" s="107"/>
      <c r="D7" s="108" t="s">
        <v>454</v>
      </c>
      <c r="E7" s="306"/>
      <c r="F7" s="306"/>
    </row>
    <row r="8" spans="2:12" ht="19.95" customHeight="1">
      <c r="B8" s="107"/>
      <c r="C8" s="107"/>
      <c r="D8" s="108"/>
    </row>
    <row r="9" spans="2:12" ht="19.95" customHeight="1">
      <c r="B9" s="107"/>
      <c r="C9" s="305" t="s">
        <v>41</v>
      </c>
      <c r="D9" s="305"/>
    </row>
    <row r="10" spans="2:12" ht="19.95" customHeight="1">
      <c r="B10" s="107"/>
      <c r="C10" s="109"/>
      <c r="D10" s="108" t="s">
        <v>601</v>
      </c>
      <c r="E10" s="306"/>
      <c r="F10" s="306"/>
      <c r="G10" s="306"/>
      <c r="H10" s="306"/>
      <c r="I10" s="306"/>
      <c r="J10" s="306"/>
      <c r="K10" s="306"/>
      <c r="L10" s="306"/>
    </row>
    <row r="11" spans="2:12" ht="19.95" customHeight="1">
      <c r="B11" s="107"/>
      <c r="C11" s="109"/>
      <c r="D11" s="108" t="s">
        <v>453</v>
      </c>
      <c r="E11" s="306"/>
      <c r="F11" s="306"/>
      <c r="G11" s="306"/>
    </row>
    <row r="12" spans="2:12" ht="19.95" customHeight="1">
      <c r="B12" s="107"/>
      <c r="C12" s="109"/>
      <c r="D12" s="108" t="s">
        <v>452</v>
      </c>
      <c r="E12" s="306"/>
      <c r="F12" s="306"/>
      <c r="G12" s="306"/>
      <c r="H12" s="306"/>
      <c r="I12" s="306"/>
      <c r="J12" s="306"/>
    </row>
    <row r="13" spans="2:12" ht="19.95" customHeight="1">
      <c r="B13" s="107"/>
      <c r="C13" s="109"/>
      <c r="D13" s="108" t="s">
        <v>451</v>
      </c>
      <c r="E13" s="306"/>
      <c r="F13" s="306"/>
      <c r="G13" s="306"/>
      <c r="H13" s="306"/>
      <c r="I13" s="306"/>
    </row>
    <row r="14" spans="2:12" ht="19.95" customHeight="1">
      <c r="B14" s="107"/>
      <c r="C14" s="109"/>
      <c r="D14" s="108"/>
    </row>
    <row r="15" spans="2:12" ht="19.95" customHeight="1">
      <c r="B15" s="107"/>
      <c r="C15" s="305" t="s">
        <v>42</v>
      </c>
      <c r="D15" s="305"/>
    </row>
    <row r="16" spans="2:12" ht="19.95" customHeight="1">
      <c r="B16" s="107"/>
      <c r="C16" s="107"/>
      <c r="D16" s="108" t="s">
        <v>456</v>
      </c>
      <c r="E16" s="306"/>
      <c r="F16" s="306"/>
      <c r="G16" s="306"/>
      <c r="H16" s="306"/>
    </row>
    <row r="17" spans="2:10" ht="19.95" customHeight="1">
      <c r="B17" s="107"/>
      <c r="C17" s="107"/>
      <c r="D17" s="108" t="s">
        <v>457</v>
      </c>
      <c r="E17" s="306"/>
      <c r="F17" s="306"/>
    </row>
    <row r="18" spans="2:10" ht="15" customHeight="1"/>
    <row r="19" spans="2:10" ht="20.100000000000001" customHeight="1">
      <c r="B19" s="292" t="s">
        <v>263</v>
      </c>
      <c r="C19" s="130"/>
      <c r="D19" s="130"/>
      <c r="E19" s="130"/>
      <c r="F19" s="130"/>
      <c r="G19" s="130"/>
      <c r="H19" s="130"/>
      <c r="I19" s="130"/>
      <c r="J19" s="130"/>
    </row>
    <row r="20" spans="2:10" ht="26.1" customHeight="1">
      <c r="B20" s="130"/>
      <c r="C20" s="309" t="s">
        <v>264</v>
      </c>
      <c r="D20" s="310" t="s">
        <v>602</v>
      </c>
      <c r="E20" s="309"/>
      <c r="F20" s="310"/>
      <c r="G20" s="308" t="s">
        <v>603</v>
      </c>
      <c r="H20" s="293"/>
      <c r="I20" s="293"/>
      <c r="J20" s="293"/>
    </row>
    <row r="21" spans="2:10" ht="18" customHeight="1" collapsed="1">
      <c r="B21" s="130"/>
      <c r="C21" s="294"/>
      <c r="D21" s="108" t="s">
        <v>265</v>
      </c>
      <c r="E21" s="108" t="s">
        <v>458</v>
      </c>
      <c r="F21" s="108"/>
      <c r="G21" s="108"/>
      <c r="H21" s="108"/>
      <c r="I21" s="296"/>
      <c r="J21" s="297"/>
    </row>
    <row r="22" spans="2:10" ht="18" hidden="1" customHeight="1" outlineLevel="2">
      <c r="B22" s="130"/>
      <c r="C22" s="294"/>
      <c r="D22" s="294"/>
      <c r="E22" s="298" t="s">
        <v>266</v>
      </c>
      <c r="F22" s="298" t="s">
        <v>459</v>
      </c>
      <c r="G22" s="295"/>
      <c r="H22" s="295"/>
      <c r="I22" s="295"/>
      <c r="J22" s="297"/>
    </row>
    <row r="23" spans="2:10" ht="18" hidden="1" customHeight="1" outlineLevel="2">
      <c r="B23" s="130"/>
      <c r="C23" s="294"/>
      <c r="D23" s="294"/>
      <c r="E23" s="298" t="s">
        <v>267</v>
      </c>
      <c r="F23" s="298" t="s">
        <v>460</v>
      </c>
      <c r="G23" s="295"/>
      <c r="H23" s="295"/>
      <c r="I23" s="295"/>
      <c r="J23" s="297"/>
    </row>
    <row r="24" spans="2:10" ht="18" hidden="1" customHeight="1" outlineLevel="2">
      <c r="B24" s="130"/>
      <c r="C24" s="294"/>
      <c r="D24" s="294"/>
      <c r="E24" s="298" t="s">
        <v>268</v>
      </c>
      <c r="F24" s="298" t="s">
        <v>486</v>
      </c>
      <c r="G24" s="295"/>
      <c r="H24" s="295"/>
      <c r="I24" s="295"/>
      <c r="J24" s="297"/>
    </row>
    <row r="25" spans="2:10" ht="18" hidden="1" customHeight="1" outlineLevel="2">
      <c r="B25" s="130"/>
      <c r="C25" s="294"/>
      <c r="D25" s="294"/>
      <c r="E25" s="298" t="s">
        <v>269</v>
      </c>
      <c r="F25" s="298" t="s">
        <v>461</v>
      </c>
      <c r="G25" s="295"/>
      <c r="H25" s="295"/>
      <c r="I25" s="295"/>
      <c r="J25" s="297"/>
    </row>
    <row r="26" spans="2:10" ht="18" hidden="1" customHeight="1" outlineLevel="2">
      <c r="B26" s="130"/>
      <c r="C26" s="294"/>
      <c r="D26" s="294"/>
      <c r="E26" s="298" t="s">
        <v>494</v>
      </c>
      <c r="F26" s="298"/>
      <c r="G26" s="295"/>
      <c r="H26" s="295"/>
      <c r="I26" s="295"/>
      <c r="J26" s="297"/>
    </row>
    <row r="27" spans="2:10" ht="18" hidden="1" customHeight="1" outlineLevel="2">
      <c r="B27" s="130"/>
      <c r="C27" s="294"/>
      <c r="D27" s="294"/>
      <c r="E27" s="298"/>
      <c r="F27" s="298" t="s">
        <v>270</v>
      </c>
      <c r="G27" s="295" t="s">
        <v>462</v>
      </c>
      <c r="H27" s="295"/>
      <c r="I27" s="295"/>
      <c r="J27" s="297"/>
    </row>
    <row r="28" spans="2:10" ht="18" hidden="1" customHeight="1" outlineLevel="2">
      <c r="B28" s="130"/>
      <c r="C28" s="294"/>
      <c r="D28" s="294"/>
      <c r="E28" s="298"/>
      <c r="F28" s="298" t="s">
        <v>271</v>
      </c>
      <c r="G28" s="295" t="s">
        <v>463</v>
      </c>
      <c r="H28" s="295"/>
      <c r="I28" s="295"/>
      <c r="J28" s="297"/>
    </row>
    <row r="29" spans="2:10" ht="18" hidden="1" customHeight="1" outlineLevel="2">
      <c r="B29" s="130"/>
      <c r="C29" s="294"/>
      <c r="D29" s="294"/>
      <c r="E29" s="298"/>
      <c r="F29" s="298"/>
      <c r="G29" s="295" t="s">
        <v>272</v>
      </c>
      <c r="H29" s="295" t="s">
        <v>466</v>
      </c>
      <c r="I29" s="295"/>
      <c r="J29" s="297"/>
    </row>
    <row r="30" spans="2:10" ht="18" hidden="1" customHeight="1" outlineLevel="2">
      <c r="B30" s="130"/>
      <c r="C30" s="294"/>
      <c r="D30" s="294"/>
      <c r="E30" s="298"/>
      <c r="F30" s="298"/>
      <c r="G30" s="295" t="s">
        <v>273</v>
      </c>
      <c r="H30" s="295" t="s">
        <v>465</v>
      </c>
      <c r="I30" s="295"/>
      <c r="J30" s="297"/>
    </row>
    <row r="31" spans="2:10" ht="18" customHeight="1" collapsed="1">
      <c r="B31" s="130"/>
      <c r="C31" s="294"/>
      <c r="D31" s="108" t="s">
        <v>274</v>
      </c>
      <c r="E31" s="108" t="s">
        <v>53</v>
      </c>
      <c r="F31" s="108"/>
      <c r="G31" s="108"/>
      <c r="H31" s="108"/>
      <c r="I31" s="306"/>
      <c r="J31" s="297"/>
    </row>
    <row r="32" spans="2:10" ht="18" hidden="1" customHeight="1" outlineLevel="1">
      <c r="B32" s="130"/>
      <c r="C32" s="294"/>
      <c r="D32" s="294"/>
      <c r="E32" s="298" t="s">
        <v>275</v>
      </c>
      <c r="F32" s="298" t="s">
        <v>459</v>
      </c>
      <c r="G32" s="295"/>
      <c r="H32" s="295"/>
      <c r="I32" s="295"/>
      <c r="J32" s="297"/>
    </row>
    <row r="33" spans="2:10" ht="18" hidden="1" customHeight="1" outlineLevel="1">
      <c r="B33" s="130"/>
      <c r="C33" s="294"/>
      <c r="D33" s="294"/>
      <c r="E33" s="298"/>
      <c r="F33" s="298" t="s">
        <v>276</v>
      </c>
      <c r="G33" s="295" t="s">
        <v>467</v>
      </c>
      <c r="H33" s="295"/>
      <c r="I33" s="295"/>
      <c r="J33" s="297"/>
    </row>
    <row r="34" spans="2:10" ht="18" hidden="1" customHeight="1" outlineLevel="1">
      <c r="B34" s="130"/>
      <c r="C34" s="294"/>
      <c r="D34" s="294"/>
      <c r="E34" s="298"/>
      <c r="F34" s="298" t="s">
        <v>277</v>
      </c>
      <c r="G34" s="295" t="s">
        <v>123</v>
      </c>
      <c r="H34" s="295"/>
      <c r="I34" s="295"/>
      <c r="J34" s="297"/>
    </row>
    <row r="35" spans="2:10" ht="18" hidden="1" customHeight="1" outlineLevel="1">
      <c r="B35" s="130"/>
      <c r="C35" s="294"/>
      <c r="D35" s="294"/>
      <c r="E35" s="298"/>
      <c r="F35" s="298"/>
      <c r="G35" s="295" t="s">
        <v>278</v>
      </c>
      <c r="H35" s="295" t="s">
        <v>468</v>
      </c>
      <c r="I35" s="295"/>
      <c r="J35" s="297"/>
    </row>
    <row r="36" spans="2:10" ht="18" hidden="1" customHeight="1" outlineLevel="1">
      <c r="B36" s="130"/>
      <c r="C36" s="294"/>
      <c r="D36" s="294"/>
      <c r="E36" s="298"/>
      <c r="F36" s="298"/>
      <c r="G36" s="295" t="s">
        <v>279</v>
      </c>
      <c r="H36" s="295" t="s">
        <v>469</v>
      </c>
      <c r="I36" s="295"/>
      <c r="J36" s="297"/>
    </row>
    <row r="37" spans="2:10" ht="18" hidden="1" customHeight="1" outlineLevel="1">
      <c r="B37" s="130"/>
      <c r="C37" s="294"/>
      <c r="D37" s="294"/>
      <c r="E37" s="298"/>
      <c r="F37" s="298" t="s">
        <v>280</v>
      </c>
      <c r="G37" s="295" t="s">
        <v>470</v>
      </c>
      <c r="H37" s="295"/>
      <c r="I37" s="295"/>
      <c r="J37" s="297"/>
    </row>
    <row r="38" spans="2:10" ht="18" hidden="1" customHeight="1" outlineLevel="1">
      <c r="B38" s="130"/>
      <c r="C38" s="294"/>
      <c r="D38" s="294"/>
      <c r="E38" s="298"/>
      <c r="F38" s="298" t="s">
        <v>281</v>
      </c>
      <c r="G38" s="295" t="s">
        <v>471</v>
      </c>
      <c r="H38" s="295"/>
      <c r="I38" s="295"/>
      <c r="J38" s="297"/>
    </row>
    <row r="39" spans="2:10" ht="18" hidden="1" customHeight="1" outlineLevel="1">
      <c r="B39" s="130"/>
      <c r="C39" s="294"/>
      <c r="D39" s="294"/>
      <c r="E39" s="298" t="s">
        <v>282</v>
      </c>
      <c r="F39" s="298" t="s">
        <v>460</v>
      </c>
      <c r="G39" s="295"/>
      <c r="H39" s="295"/>
      <c r="I39" s="295"/>
      <c r="J39" s="297"/>
    </row>
    <row r="40" spans="2:10" ht="18" hidden="1" customHeight="1" outlineLevel="1">
      <c r="B40" s="130"/>
      <c r="C40" s="294"/>
      <c r="D40" s="294"/>
      <c r="E40" s="298"/>
      <c r="F40" s="298" t="s">
        <v>283</v>
      </c>
      <c r="G40" s="295" t="s">
        <v>123</v>
      </c>
      <c r="H40" s="295"/>
      <c r="I40" s="295"/>
      <c r="J40" s="297"/>
    </row>
    <row r="41" spans="2:10" ht="18" hidden="1" customHeight="1" outlineLevel="1">
      <c r="B41" s="130"/>
      <c r="C41" s="294"/>
      <c r="D41" s="294"/>
      <c r="E41" s="298"/>
      <c r="F41" s="298"/>
      <c r="G41" s="298" t="s">
        <v>284</v>
      </c>
      <c r="H41" s="295" t="s">
        <v>472</v>
      </c>
      <c r="I41" s="295"/>
      <c r="J41" s="297"/>
    </row>
    <row r="42" spans="2:10" ht="18" hidden="1" customHeight="1" outlineLevel="1">
      <c r="B42" s="130"/>
      <c r="C42" s="294"/>
      <c r="D42" s="294"/>
      <c r="E42" s="298"/>
      <c r="F42" s="298"/>
      <c r="G42" s="298" t="s">
        <v>285</v>
      </c>
      <c r="H42" s="295" t="s">
        <v>473</v>
      </c>
      <c r="I42" s="295"/>
      <c r="J42" s="297"/>
    </row>
    <row r="43" spans="2:10" ht="18" hidden="1" customHeight="1" outlineLevel="1">
      <c r="B43" s="130"/>
      <c r="C43" s="294"/>
      <c r="D43" s="294"/>
      <c r="E43" s="298"/>
      <c r="F43" s="298"/>
      <c r="G43" s="298" t="s">
        <v>286</v>
      </c>
      <c r="H43" s="295" t="s">
        <v>474</v>
      </c>
      <c r="I43" s="295"/>
      <c r="J43" s="297"/>
    </row>
    <row r="44" spans="2:10" ht="18" hidden="1" customHeight="1" outlineLevel="1">
      <c r="B44" s="130"/>
      <c r="C44" s="294"/>
      <c r="D44" s="294"/>
      <c r="E44" s="298"/>
      <c r="F44" s="298"/>
      <c r="G44" s="298" t="s">
        <v>287</v>
      </c>
      <c r="H44" s="295" t="s">
        <v>475</v>
      </c>
      <c r="I44" s="295"/>
      <c r="J44" s="297"/>
    </row>
    <row r="45" spans="2:10" ht="18" hidden="1" customHeight="1" outlineLevel="1">
      <c r="B45" s="130"/>
      <c r="C45" s="294"/>
      <c r="D45" s="294"/>
      <c r="E45" s="298"/>
      <c r="F45" s="298"/>
      <c r="G45" s="298" t="s">
        <v>288</v>
      </c>
      <c r="H45" s="295" t="s">
        <v>57</v>
      </c>
      <c r="I45" s="295"/>
      <c r="J45" s="297"/>
    </row>
    <row r="46" spans="2:10" ht="18" hidden="1" customHeight="1" outlineLevel="1">
      <c r="B46" s="130"/>
      <c r="C46" s="294"/>
      <c r="D46" s="294"/>
      <c r="E46" s="298"/>
      <c r="F46" s="298" t="s">
        <v>289</v>
      </c>
      <c r="G46" s="295" t="s">
        <v>470</v>
      </c>
      <c r="H46" s="295"/>
      <c r="I46" s="295"/>
      <c r="J46" s="297"/>
    </row>
    <row r="47" spans="2:10" ht="18" hidden="1" customHeight="1" outlineLevel="1">
      <c r="B47" s="130"/>
      <c r="C47" s="294"/>
      <c r="D47" s="294"/>
      <c r="E47" s="298"/>
      <c r="F47" s="298" t="s">
        <v>290</v>
      </c>
      <c r="G47" s="295" t="s">
        <v>476</v>
      </c>
      <c r="H47" s="295"/>
      <c r="I47" s="295"/>
      <c r="J47" s="297"/>
    </row>
    <row r="48" spans="2:10" ht="18" hidden="1" customHeight="1" outlineLevel="1">
      <c r="B48" s="130"/>
      <c r="C48" s="294"/>
      <c r="D48" s="294"/>
      <c r="E48" s="298"/>
      <c r="F48" s="298" t="s">
        <v>291</v>
      </c>
      <c r="G48" s="295" t="s">
        <v>477</v>
      </c>
      <c r="H48" s="295"/>
      <c r="I48" s="295"/>
      <c r="J48" s="297"/>
    </row>
    <row r="49" spans="2:10" ht="18" hidden="1" customHeight="1" outlineLevel="1">
      <c r="B49" s="130"/>
      <c r="C49" s="294"/>
      <c r="D49" s="294"/>
      <c r="E49" s="298" t="s">
        <v>292</v>
      </c>
      <c r="F49" s="298" t="s">
        <v>486</v>
      </c>
      <c r="G49" s="295"/>
      <c r="H49" s="295"/>
      <c r="I49" s="295"/>
      <c r="J49" s="297"/>
    </row>
    <row r="50" spans="2:10" ht="18" hidden="1" customHeight="1" outlineLevel="1">
      <c r="B50" s="130"/>
      <c r="C50" s="294"/>
      <c r="D50" s="294"/>
      <c r="E50" s="298" t="s">
        <v>293</v>
      </c>
      <c r="F50" s="298" t="s">
        <v>461</v>
      </c>
      <c r="G50" s="295"/>
      <c r="H50" s="295"/>
      <c r="I50" s="295"/>
      <c r="J50" s="297"/>
    </row>
    <row r="51" spans="2:10" ht="18" hidden="1" customHeight="1" outlineLevel="1">
      <c r="B51" s="130"/>
      <c r="C51" s="294"/>
      <c r="D51" s="294"/>
      <c r="E51" s="298" t="s">
        <v>494</v>
      </c>
      <c r="F51" s="295"/>
      <c r="G51" s="295"/>
      <c r="H51" s="295"/>
      <c r="I51" s="295"/>
      <c r="J51" s="297"/>
    </row>
    <row r="52" spans="2:10" ht="18" hidden="1" customHeight="1" outlineLevel="1">
      <c r="B52" s="130"/>
      <c r="C52" s="294"/>
      <c r="D52" s="294"/>
      <c r="E52" s="298"/>
      <c r="F52" s="298" t="s">
        <v>294</v>
      </c>
      <c r="G52" s="295" t="s">
        <v>462</v>
      </c>
      <c r="H52" s="295"/>
      <c r="I52" s="295"/>
      <c r="J52" s="297"/>
    </row>
    <row r="53" spans="2:10" ht="18" hidden="1" customHeight="1" outlineLevel="1">
      <c r="B53" s="130"/>
      <c r="C53" s="294"/>
      <c r="D53" s="294"/>
      <c r="E53" s="298"/>
      <c r="F53" s="298" t="s">
        <v>295</v>
      </c>
      <c r="G53" s="295" t="s">
        <v>463</v>
      </c>
      <c r="H53" s="295"/>
      <c r="I53" s="295"/>
      <c r="J53" s="297"/>
    </row>
    <row r="54" spans="2:10" ht="18" hidden="1" customHeight="1" outlineLevel="1">
      <c r="B54" s="130"/>
      <c r="C54" s="294"/>
      <c r="D54" s="294"/>
      <c r="E54" s="298"/>
      <c r="F54" s="298"/>
      <c r="G54" s="295" t="s">
        <v>296</v>
      </c>
      <c r="H54" s="295" t="s">
        <v>466</v>
      </c>
      <c r="I54" s="295"/>
      <c r="J54" s="297"/>
    </row>
    <row r="55" spans="2:10" ht="18" hidden="1" customHeight="1" outlineLevel="1">
      <c r="B55" s="130"/>
      <c r="C55" s="294"/>
      <c r="D55" s="294"/>
      <c r="E55" s="298"/>
      <c r="F55" s="298"/>
      <c r="G55" s="295" t="s">
        <v>297</v>
      </c>
      <c r="H55" s="295" t="s">
        <v>465</v>
      </c>
      <c r="I55" s="295"/>
      <c r="J55" s="297"/>
    </row>
    <row r="56" spans="2:10" ht="18" hidden="1" customHeight="1" outlineLevel="1">
      <c r="B56" s="130"/>
      <c r="C56" s="294"/>
      <c r="D56" s="294"/>
      <c r="E56" s="298" t="s">
        <v>493</v>
      </c>
      <c r="F56" s="295"/>
      <c r="G56" s="295"/>
      <c r="H56" s="295"/>
      <c r="I56" s="295"/>
      <c r="J56" s="297"/>
    </row>
    <row r="57" spans="2:10" ht="18" hidden="1" customHeight="1" outlineLevel="1">
      <c r="B57" s="130"/>
      <c r="C57" s="294"/>
      <c r="D57" s="294"/>
      <c r="E57" s="298"/>
      <c r="F57" s="298" t="s">
        <v>298</v>
      </c>
      <c r="G57" s="295" t="s">
        <v>467</v>
      </c>
      <c r="H57" s="295"/>
      <c r="I57" s="295"/>
      <c r="J57" s="297"/>
    </row>
    <row r="58" spans="2:10" ht="18" hidden="1" customHeight="1" outlineLevel="1">
      <c r="B58" s="130"/>
      <c r="C58" s="294"/>
      <c r="D58" s="294"/>
      <c r="E58" s="298"/>
      <c r="F58" s="298"/>
      <c r="G58" s="298" t="s">
        <v>299</v>
      </c>
      <c r="H58" s="295" t="s">
        <v>478</v>
      </c>
      <c r="I58" s="295"/>
      <c r="J58" s="297"/>
    </row>
    <row r="59" spans="2:10" ht="18" hidden="1" customHeight="1" outlineLevel="1">
      <c r="B59" s="130"/>
      <c r="C59" s="294"/>
      <c r="D59" s="294"/>
      <c r="E59" s="298"/>
      <c r="F59" s="298"/>
      <c r="G59" s="298" t="s">
        <v>300</v>
      </c>
      <c r="H59" s="295" t="s">
        <v>479</v>
      </c>
      <c r="I59" s="295"/>
      <c r="J59" s="297"/>
    </row>
    <row r="60" spans="2:10" ht="18" hidden="1" customHeight="1" outlineLevel="1">
      <c r="B60" s="130"/>
      <c r="C60" s="294"/>
      <c r="D60" s="294"/>
      <c r="E60" s="298"/>
      <c r="F60" s="298"/>
      <c r="G60" s="298" t="s">
        <v>301</v>
      </c>
      <c r="H60" s="295" t="s">
        <v>480</v>
      </c>
      <c r="I60" s="295"/>
      <c r="J60" s="297"/>
    </row>
    <row r="61" spans="2:10" ht="18" hidden="1" customHeight="1" outlineLevel="1">
      <c r="B61" s="130"/>
      <c r="C61" s="294"/>
      <c r="D61" s="294"/>
      <c r="E61" s="298"/>
      <c r="F61" s="298" t="s">
        <v>302</v>
      </c>
      <c r="G61" s="295" t="s">
        <v>481</v>
      </c>
      <c r="H61" s="295"/>
      <c r="I61" s="295"/>
      <c r="J61" s="297"/>
    </row>
    <row r="62" spans="2:10" ht="18" hidden="1" customHeight="1" outlineLevel="1">
      <c r="B62" s="130"/>
      <c r="C62" s="294"/>
      <c r="D62" s="294"/>
      <c r="E62" s="298"/>
      <c r="F62" s="298" t="s">
        <v>303</v>
      </c>
      <c r="G62" s="295" t="s">
        <v>482</v>
      </c>
      <c r="H62" s="295"/>
      <c r="I62" s="295"/>
      <c r="J62" s="297"/>
    </row>
    <row r="63" spans="2:10" ht="18" hidden="1" customHeight="1" outlineLevel="1">
      <c r="B63" s="130"/>
      <c r="C63" s="294"/>
      <c r="D63" s="294"/>
      <c r="E63" s="298"/>
      <c r="F63" s="298" t="s">
        <v>304</v>
      </c>
      <c r="G63" s="295" t="s">
        <v>483</v>
      </c>
      <c r="H63" s="295"/>
      <c r="I63" s="295"/>
      <c r="J63" s="297"/>
    </row>
    <row r="64" spans="2:10" ht="18" hidden="1" customHeight="1" outlineLevel="1">
      <c r="B64" s="130"/>
      <c r="C64" s="294"/>
      <c r="D64" s="294"/>
      <c r="E64" s="298"/>
      <c r="F64" s="298" t="s">
        <v>305</v>
      </c>
      <c r="G64" s="295" t="s">
        <v>484</v>
      </c>
      <c r="H64" s="295"/>
      <c r="I64" s="295"/>
      <c r="J64" s="297"/>
    </row>
    <row r="65" spans="2:10" ht="18" hidden="1" customHeight="1" outlineLevel="1">
      <c r="B65" s="130"/>
      <c r="C65" s="294"/>
      <c r="D65" s="294"/>
      <c r="E65" s="298"/>
      <c r="F65" s="298" t="s">
        <v>306</v>
      </c>
      <c r="G65" s="295" t="s">
        <v>485</v>
      </c>
      <c r="H65" s="295"/>
      <c r="I65" s="295"/>
      <c r="J65" s="297"/>
    </row>
    <row r="66" spans="2:10" ht="18" hidden="1" customHeight="1" outlineLevel="1">
      <c r="B66" s="130"/>
      <c r="C66" s="294"/>
      <c r="D66" s="294"/>
      <c r="E66" s="298"/>
      <c r="F66" s="298" t="s">
        <v>307</v>
      </c>
      <c r="G66" s="295" t="s">
        <v>123</v>
      </c>
      <c r="H66" s="295"/>
      <c r="I66" s="295"/>
      <c r="J66" s="297"/>
    </row>
    <row r="67" spans="2:10" ht="18" hidden="1" customHeight="1" outlineLevel="1">
      <c r="B67" s="130"/>
      <c r="C67" s="294"/>
      <c r="D67" s="294"/>
      <c r="E67" s="298"/>
      <c r="F67" s="298" t="s">
        <v>308</v>
      </c>
      <c r="G67" s="295" t="s">
        <v>470</v>
      </c>
      <c r="H67" s="295"/>
      <c r="I67" s="295"/>
      <c r="J67" s="297"/>
    </row>
    <row r="68" spans="2:10" ht="18" hidden="1" customHeight="1" outlineLevel="1">
      <c r="B68" s="130"/>
      <c r="C68" s="294"/>
      <c r="D68" s="294"/>
      <c r="E68" s="298"/>
      <c r="F68" s="298" t="s">
        <v>309</v>
      </c>
      <c r="G68" s="295" t="s">
        <v>471</v>
      </c>
      <c r="H68" s="295"/>
      <c r="I68" s="295"/>
      <c r="J68" s="297"/>
    </row>
    <row r="69" spans="2:10" ht="18" hidden="1" customHeight="1" outlineLevel="1">
      <c r="B69" s="130"/>
      <c r="C69" s="294"/>
      <c r="D69" s="294"/>
      <c r="E69" s="298"/>
      <c r="F69" s="298" t="s">
        <v>310</v>
      </c>
      <c r="G69" s="298" t="s">
        <v>486</v>
      </c>
      <c r="H69" s="295"/>
      <c r="I69" s="295"/>
      <c r="J69" s="297"/>
    </row>
    <row r="70" spans="2:10" ht="18" customHeight="1" collapsed="1">
      <c r="B70" s="130"/>
      <c r="C70" s="294"/>
      <c r="D70" s="108" t="s">
        <v>311</v>
      </c>
      <c r="E70" s="108" t="s">
        <v>54</v>
      </c>
      <c r="F70" s="108"/>
      <c r="G70" s="108"/>
      <c r="H70" s="108"/>
      <c r="I70" s="296"/>
      <c r="J70" s="297"/>
    </row>
    <row r="71" spans="2:10" ht="18" hidden="1" customHeight="1" outlineLevel="1">
      <c r="B71" s="130"/>
      <c r="C71" s="294"/>
      <c r="D71" s="294"/>
      <c r="E71" s="298" t="s">
        <v>312</v>
      </c>
      <c r="F71" s="298" t="s">
        <v>459</v>
      </c>
      <c r="G71" s="295"/>
      <c r="H71" s="295"/>
      <c r="I71" s="295"/>
      <c r="J71" s="297"/>
    </row>
    <row r="72" spans="2:10" ht="18" hidden="1" customHeight="1" outlineLevel="1">
      <c r="B72" s="130"/>
      <c r="C72" s="294"/>
      <c r="D72" s="294"/>
      <c r="E72" s="298"/>
      <c r="F72" s="298" t="s">
        <v>313</v>
      </c>
      <c r="G72" s="295" t="s">
        <v>487</v>
      </c>
      <c r="H72" s="295"/>
      <c r="I72" s="295"/>
      <c r="J72" s="297"/>
    </row>
    <row r="73" spans="2:10" ht="18" hidden="1" customHeight="1" outlineLevel="1">
      <c r="B73" s="130"/>
      <c r="C73" s="294"/>
      <c r="D73" s="294"/>
      <c r="E73" s="298"/>
      <c r="F73" s="298" t="s">
        <v>314</v>
      </c>
      <c r="G73" s="295" t="s">
        <v>123</v>
      </c>
      <c r="H73" s="295"/>
      <c r="I73" s="295"/>
      <c r="J73" s="297"/>
    </row>
    <row r="74" spans="2:10" ht="18" hidden="1" customHeight="1" outlineLevel="1">
      <c r="B74" s="130"/>
      <c r="C74" s="294"/>
      <c r="D74" s="294"/>
      <c r="E74" s="298"/>
      <c r="F74" s="298"/>
      <c r="G74" s="298" t="s">
        <v>315</v>
      </c>
      <c r="H74" s="295" t="s">
        <v>488</v>
      </c>
      <c r="I74" s="295"/>
      <c r="J74" s="297"/>
    </row>
    <row r="75" spans="2:10" ht="18" hidden="1" customHeight="1" outlineLevel="1">
      <c r="B75" s="130"/>
      <c r="C75" s="294"/>
      <c r="D75" s="294"/>
      <c r="E75" s="298"/>
      <c r="F75" s="298"/>
      <c r="G75" s="298" t="s">
        <v>316</v>
      </c>
      <c r="H75" s="295" t="s">
        <v>489</v>
      </c>
      <c r="I75" s="295"/>
      <c r="J75" s="297"/>
    </row>
    <row r="76" spans="2:10" ht="18" hidden="1" customHeight="1" outlineLevel="1">
      <c r="B76" s="130"/>
      <c r="C76" s="294"/>
      <c r="D76" s="294"/>
      <c r="E76" s="298"/>
      <c r="F76" s="298"/>
      <c r="G76" s="298" t="s">
        <v>317</v>
      </c>
      <c r="H76" s="295" t="s">
        <v>490</v>
      </c>
      <c r="I76" s="295"/>
      <c r="J76" s="297"/>
    </row>
    <row r="77" spans="2:10" ht="18" hidden="1" customHeight="1" outlineLevel="1">
      <c r="B77" s="130"/>
      <c r="C77" s="294"/>
      <c r="D77" s="294"/>
      <c r="E77" s="298"/>
      <c r="F77" s="298"/>
      <c r="G77" s="298" t="s">
        <v>318</v>
      </c>
      <c r="H77" s="295" t="s">
        <v>469</v>
      </c>
      <c r="I77" s="295"/>
      <c r="J77" s="297"/>
    </row>
    <row r="78" spans="2:10" ht="18" hidden="1" customHeight="1" outlineLevel="1">
      <c r="B78" s="130"/>
      <c r="C78" s="294"/>
      <c r="D78" s="294"/>
      <c r="E78" s="298"/>
      <c r="F78" s="298" t="s">
        <v>319</v>
      </c>
      <c r="G78" s="295" t="s">
        <v>470</v>
      </c>
      <c r="H78" s="295"/>
      <c r="I78" s="295"/>
      <c r="J78" s="297"/>
    </row>
    <row r="79" spans="2:10" ht="18" hidden="1" customHeight="1" outlineLevel="1">
      <c r="B79" s="130"/>
      <c r="C79" s="294"/>
      <c r="D79" s="294"/>
      <c r="E79" s="298"/>
      <c r="F79" s="298" t="s">
        <v>320</v>
      </c>
      <c r="G79" s="295" t="s">
        <v>471</v>
      </c>
      <c r="H79" s="295"/>
      <c r="I79" s="295"/>
      <c r="J79" s="297"/>
    </row>
    <row r="80" spans="2:10" ht="18" hidden="1" customHeight="1" outlineLevel="1">
      <c r="B80" s="130"/>
      <c r="C80" s="294"/>
      <c r="D80" s="294"/>
      <c r="E80" s="298" t="s">
        <v>321</v>
      </c>
      <c r="F80" s="298" t="s">
        <v>460</v>
      </c>
      <c r="G80" s="295"/>
      <c r="H80" s="295"/>
      <c r="I80" s="295"/>
      <c r="J80" s="297"/>
    </row>
    <row r="81" spans="2:10" ht="18" hidden="1" customHeight="1" outlineLevel="1">
      <c r="B81" s="130"/>
      <c r="C81" s="294"/>
      <c r="D81" s="294"/>
      <c r="E81" s="298"/>
      <c r="F81" s="298" t="s">
        <v>322</v>
      </c>
      <c r="G81" s="295" t="s">
        <v>491</v>
      </c>
      <c r="H81" s="295"/>
      <c r="I81" s="295"/>
      <c r="J81" s="297"/>
    </row>
    <row r="82" spans="2:10" ht="18" hidden="1" customHeight="1" outlineLevel="1">
      <c r="B82" s="130"/>
      <c r="C82" s="294"/>
      <c r="D82" s="294"/>
      <c r="E82" s="298"/>
      <c r="F82" s="298"/>
      <c r="G82" s="298" t="s">
        <v>323</v>
      </c>
      <c r="H82" s="295" t="s">
        <v>123</v>
      </c>
      <c r="I82" s="295"/>
      <c r="J82" s="297"/>
    </row>
    <row r="83" spans="2:10" ht="18" hidden="1" customHeight="1" outlineLevel="1">
      <c r="B83" s="130"/>
      <c r="C83" s="294"/>
      <c r="D83" s="294"/>
      <c r="E83" s="298"/>
      <c r="F83" s="298"/>
      <c r="G83" s="298" t="s">
        <v>324</v>
      </c>
      <c r="H83" s="295" t="s">
        <v>470</v>
      </c>
      <c r="I83" s="295"/>
      <c r="J83" s="297"/>
    </row>
    <row r="84" spans="2:10" ht="18" hidden="1" customHeight="1" outlineLevel="1">
      <c r="B84" s="130"/>
      <c r="C84" s="294"/>
      <c r="D84" s="294"/>
      <c r="E84" s="298"/>
      <c r="F84" s="298"/>
      <c r="G84" s="298" t="s">
        <v>492</v>
      </c>
      <c r="H84" s="295"/>
      <c r="I84" s="295"/>
      <c r="J84" s="297"/>
    </row>
    <row r="85" spans="2:10" ht="18" hidden="1" customHeight="1" outlineLevel="1">
      <c r="B85" s="130"/>
      <c r="C85" s="294"/>
      <c r="D85" s="294"/>
      <c r="E85" s="298"/>
      <c r="F85" s="298"/>
      <c r="G85" s="298" t="s">
        <v>325</v>
      </c>
      <c r="H85" s="295" t="s">
        <v>495</v>
      </c>
      <c r="I85" s="295"/>
      <c r="J85" s="297"/>
    </row>
    <row r="86" spans="2:10" ht="18" hidden="1" customHeight="1" outlineLevel="1">
      <c r="B86" s="130"/>
      <c r="C86" s="294"/>
      <c r="D86" s="294"/>
      <c r="E86" s="298"/>
      <c r="F86" s="298"/>
      <c r="G86" s="298" t="s">
        <v>326</v>
      </c>
      <c r="H86" s="295" t="s">
        <v>496</v>
      </c>
      <c r="I86" s="295"/>
      <c r="J86" s="297"/>
    </row>
    <row r="87" spans="2:10" ht="18" hidden="1" customHeight="1" outlineLevel="1">
      <c r="B87" s="130"/>
      <c r="C87" s="294"/>
      <c r="D87" s="294"/>
      <c r="E87" s="298"/>
      <c r="F87" s="298"/>
      <c r="G87" s="298" t="s">
        <v>327</v>
      </c>
      <c r="H87" s="295" t="s">
        <v>57</v>
      </c>
      <c r="I87" s="295"/>
      <c r="J87" s="297"/>
    </row>
    <row r="88" spans="2:10" ht="18" hidden="1" customHeight="1" outlineLevel="1">
      <c r="B88" s="130"/>
      <c r="C88" s="294"/>
      <c r="D88" s="294"/>
      <c r="E88" s="298"/>
      <c r="F88" s="298" t="s">
        <v>328</v>
      </c>
      <c r="G88" s="295" t="s">
        <v>476</v>
      </c>
      <c r="H88" s="295"/>
      <c r="I88" s="295"/>
      <c r="J88" s="297"/>
    </row>
    <row r="89" spans="2:10" ht="18" hidden="1" customHeight="1" outlineLevel="1">
      <c r="B89" s="130"/>
      <c r="C89" s="294"/>
      <c r="D89" s="294"/>
      <c r="E89" s="298"/>
      <c r="F89" s="298" t="s">
        <v>329</v>
      </c>
      <c r="G89" s="295" t="s">
        <v>477</v>
      </c>
      <c r="H89" s="295"/>
      <c r="I89" s="295"/>
      <c r="J89" s="297"/>
    </row>
    <row r="90" spans="2:10" ht="18" hidden="1" customHeight="1" outlineLevel="1">
      <c r="B90" s="130"/>
      <c r="C90" s="294"/>
      <c r="D90" s="294"/>
      <c r="E90" s="298" t="s">
        <v>330</v>
      </c>
      <c r="F90" s="298" t="s">
        <v>461</v>
      </c>
      <c r="G90" s="295"/>
      <c r="H90" s="295"/>
      <c r="I90" s="295"/>
      <c r="J90" s="297"/>
    </row>
    <row r="91" spans="2:10" ht="18" hidden="1" customHeight="1" outlineLevel="1">
      <c r="B91" s="130"/>
      <c r="C91" s="294"/>
      <c r="D91" s="294"/>
      <c r="E91" s="298"/>
      <c r="F91" s="298" t="s">
        <v>331</v>
      </c>
      <c r="G91" s="295" t="s">
        <v>481</v>
      </c>
      <c r="H91" s="295"/>
      <c r="I91" s="295"/>
      <c r="J91" s="297"/>
    </row>
    <row r="92" spans="2:10" ht="18" hidden="1" customHeight="1" outlineLevel="1">
      <c r="B92" s="130"/>
      <c r="C92" s="294"/>
      <c r="D92" s="294"/>
      <c r="E92" s="298"/>
      <c r="F92" s="298" t="s">
        <v>332</v>
      </c>
      <c r="G92" s="295" t="s">
        <v>482</v>
      </c>
      <c r="H92" s="295"/>
      <c r="I92" s="295"/>
      <c r="J92" s="297"/>
    </row>
    <row r="93" spans="2:10" ht="18" hidden="1" customHeight="1" outlineLevel="1">
      <c r="B93" s="130"/>
      <c r="C93" s="294"/>
      <c r="D93" s="294"/>
      <c r="E93" s="298"/>
      <c r="F93" s="298" t="s">
        <v>333</v>
      </c>
      <c r="G93" s="295" t="s">
        <v>483</v>
      </c>
      <c r="H93" s="295"/>
      <c r="I93" s="295"/>
      <c r="J93" s="297"/>
    </row>
    <row r="94" spans="2:10" ht="18" hidden="1" customHeight="1" outlineLevel="1">
      <c r="B94" s="130"/>
      <c r="C94" s="294"/>
      <c r="D94" s="294"/>
      <c r="E94" s="298"/>
      <c r="F94" s="298" t="s">
        <v>334</v>
      </c>
      <c r="G94" s="295" t="s">
        <v>484</v>
      </c>
      <c r="H94" s="295"/>
      <c r="I94" s="295"/>
      <c r="J94" s="297"/>
    </row>
    <row r="95" spans="2:10" ht="18" hidden="1" customHeight="1" outlineLevel="1">
      <c r="B95" s="130"/>
      <c r="C95" s="294"/>
      <c r="D95" s="294"/>
      <c r="E95" s="298"/>
      <c r="F95" s="298" t="s">
        <v>335</v>
      </c>
      <c r="G95" s="295" t="s">
        <v>487</v>
      </c>
      <c r="H95" s="295"/>
      <c r="I95" s="295"/>
      <c r="J95" s="297"/>
    </row>
    <row r="96" spans="2:10" ht="18" hidden="1" customHeight="1" outlineLevel="1">
      <c r="B96" s="130"/>
      <c r="C96" s="294"/>
      <c r="D96" s="294"/>
      <c r="E96" s="298"/>
      <c r="F96" s="298"/>
      <c r="G96" s="298" t="s">
        <v>336</v>
      </c>
      <c r="H96" s="295" t="s">
        <v>488</v>
      </c>
      <c r="I96" s="295"/>
      <c r="J96" s="297"/>
    </row>
    <row r="97" spans="2:10" ht="18" hidden="1" customHeight="1" outlineLevel="1">
      <c r="B97" s="130"/>
      <c r="C97" s="294"/>
      <c r="D97" s="294"/>
      <c r="E97" s="298"/>
      <c r="F97" s="298"/>
      <c r="G97" s="298" t="s">
        <v>337</v>
      </c>
      <c r="H97" s="295" t="s">
        <v>489</v>
      </c>
      <c r="I97" s="295"/>
      <c r="J97" s="297"/>
    </row>
    <row r="98" spans="2:10" ht="18" hidden="1" customHeight="1" outlineLevel="1">
      <c r="B98" s="130"/>
      <c r="C98" s="294"/>
      <c r="D98" s="294"/>
      <c r="E98" s="298"/>
      <c r="F98" s="298"/>
      <c r="G98" s="298" t="s">
        <v>338</v>
      </c>
      <c r="H98" s="295" t="s">
        <v>490</v>
      </c>
      <c r="I98" s="295"/>
      <c r="J98" s="297"/>
    </row>
    <row r="99" spans="2:10" ht="18" hidden="1" customHeight="1" outlineLevel="1">
      <c r="B99" s="130"/>
      <c r="C99" s="294"/>
      <c r="D99" s="294"/>
      <c r="E99" s="298"/>
      <c r="F99" s="298"/>
      <c r="G99" s="298" t="s">
        <v>339</v>
      </c>
      <c r="H99" s="295" t="s">
        <v>469</v>
      </c>
      <c r="I99" s="295"/>
      <c r="J99" s="297"/>
    </row>
    <row r="100" spans="2:10" ht="18" hidden="1" customHeight="1" outlineLevel="1">
      <c r="B100" s="130"/>
      <c r="C100" s="294"/>
      <c r="D100" s="294"/>
      <c r="E100" s="298"/>
      <c r="F100" s="298" t="s">
        <v>340</v>
      </c>
      <c r="G100" s="295" t="s">
        <v>123</v>
      </c>
      <c r="H100" s="295"/>
      <c r="I100" s="295"/>
      <c r="J100" s="297"/>
    </row>
    <row r="101" spans="2:10" ht="18" hidden="1" customHeight="1" outlineLevel="1">
      <c r="B101" s="130"/>
      <c r="C101" s="294"/>
      <c r="D101" s="294"/>
      <c r="E101" s="298"/>
      <c r="F101" s="298" t="s">
        <v>341</v>
      </c>
      <c r="G101" s="295" t="s">
        <v>470</v>
      </c>
      <c r="H101" s="295"/>
      <c r="I101" s="295"/>
      <c r="J101" s="297"/>
    </row>
    <row r="102" spans="2:10" ht="18" hidden="1" customHeight="1" outlineLevel="1">
      <c r="B102" s="130"/>
      <c r="C102" s="294"/>
      <c r="D102" s="294"/>
      <c r="E102" s="298"/>
      <c r="F102" s="298" t="s">
        <v>342</v>
      </c>
      <c r="G102" s="295" t="s">
        <v>471</v>
      </c>
      <c r="H102" s="295"/>
      <c r="I102" s="295"/>
      <c r="J102" s="297"/>
    </row>
    <row r="103" spans="2:10" ht="18" customHeight="1" collapsed="1">
      <c r="B103" s="130"/>
      <c r="C103" s="294"/>
      <c r="D103" s="108" t="s">
        <v>343</v>
      </c>
      <c r="E103" s="108" t="s">
        <v>497</v>
      </c>
      <c r="F103" s="108"/>
      <c r="G103" s="108"/>
      <c r="H103" s="108"/>
      <c r="I103" s="306"/>
      <c r="J103" s="297"/>
    </row>
    <row r="104" spans="2:10" ht="18" hidden="1" customHeight="1" outlineLevel="1">
      <c r="B104" s="130"/>
      <c r="C104" s="294"/>
      <c r="D104" s="294"/>
      <c r="E104" s="298" t="s">
        <v>344</v>
      </c>
      <c r="F104" s="298" t="s">
        <v>459</v>
      </c>
      <c r="G104" s="295"/>
      <c r="H104" s="295"/>
      <c r="I104" s="295"/>
      <c r="J104" s="297"/>
    </row>
    <row r="105" spans="2:10" ht="18" hidden="1" customHeight="1" outlineLevel="1">
      <c r="B105" s="130"/>
      <c r="C105" s="294"/>
      <c r="D105" s="294"/>
      <c r="E105" s="298" t="s">
        <v>345</v>
      </c>
      <c r="F105" s="298" t="s">
        <v>460</v>
      </c>
      <c r="G105" s="295"/>
      <c r="H105" s="295"/>
      <c r="I105" s="295"/>
      <c r="J105" s="297"/>
    </row>
    <row r="106" spans="2:10" ht="18" hidden="1" customHeight="1" outlineLevel="1">
      <c r="B106" s="130"/>
      <c r="C106" s="294"/>
      <c r="D106" s="294"/>
      <c r="E106" s="298"/>
      <c r="F106" s="298" t="s">
        <v>346</v>
      </c>
      <c r="G106" s="295" t="s">
        <v>498</v>
      </c>
      <c r="H106" s="295"/>
      <c r="I106" s="295"/>
      <c r="J106" s="297"/>
    </row>
    <row r="107" spans="2:10" ht="18" hidden="1" customHeight="1" outlineLevel="1">
      <c r="B107" s="130"/>
      <c r="C107" s="294"/>
      <c r="D107" s="294"/>
      <c r="E107" s="298"/>
      <c r="F107" s="298" t="s">
        <v>347</v>
      </c>
      <c r="G107" s="295" t="s">
        <v>477</v>
      </c>
      <c r="H107" s="295"/>
      <c r="I107" s="295"/>
      <c r="J107" s="297"/>
    </row>
    <row r="108" spans="2:10" ht="18" hidden="1" customHeight="1" outlineLevel="1">
      <c r="B108" s="130"/>
      <c r="C108" s="294"/>
      <c r="D108" s="294"/>
      <c r="E108" s="298" t="s">
        <v>348</v>
      </c>
      <c r="F108" s="298" t="s">
        <v>461</v>
      </c>
      <c r="G108" s="295"/>
      <c r="H108" s="295"/>
      <c r="I108" s="295"/>
      <c r="J108" s="297"/>
    </row>
    <row r="109" spans="2:10" ht="18" hidden="1" customHeight="1" outlineLevel="1">
      <c r="B109" s="130"/>
      <c r="C109" s="294"/>
      <c r="D109" s="294"/>
      <c r="E109" s="298"/>
      <c r="F109" s="298" t="s">
        <v>349</v>
      </c>
      <c r="G109" s="295" t="s">
        <v>499</v>
      </c>
      <c r="H109" s="295"/>
      <c r="I109" s="295"/>
      <c r="J109" s="297"/>
    </row>
    <row r="110" spans="2:10" ht="18" hidden="1" customHeight="1" outlineLevel="1">
      <c r="B110" s="130"/>
      <c r="C110" s="294"/>
      <c r="D110" s="294"/>
      <c r="E110" s="298"/>
      <c r="F110" s="298" t="s">
        <v>350</v>
      </c>
      <c r="G110" s="295" t="s">
        <v>487</v>
      </c>
      <c r="H110" s="295"/>
      <c r="I110" s="295"/>
      <c r="J110" s="297"/>
    </row>
    <row r="111" spans="2:10" ht="18" hidden="1" customHeight="1" outlineLevel="1">
      <c r="B111" s="130"/>
      <c r="C111" s="294"/>
      <c r="D111" s="294"/>
      <c r="E111" s="298"/>
      <c r="F111" s="298" t="s">
        <v>351</v>
      </c>
      <c r="G111" s="295" t="s">
        <v>500</v>
      </c>
      <c r="H111" s="295"/>
      <c r="I111" s="295"/>
      <c r="J111" s="297"/>
    </row>
    <row r="112" spans="2:10" ht="18" customHeight="1" collapsed="1">
      <c r="B112" s="130"/>
      <c r="C112" s="294"/>
      <c r="D112" s="108" t="s">
        <v>352</v>
      </c>
      <c r="E112" s="108" t="s">
        <v>85</v>
      </c>
      <c r="F112" s="108"/>
      <c r="G112" s="108"/>
      <c r="H112" s="108"/>
      <c r="I112" s="295"/>
      <c r="J112" s="297"/>
    </row>
    <row r="113" spans="2:10" ht="18" hidden="1" customHeight="1" outlineLevel="1">
      <c r="B113" s="130"/>
      <c r="C113" s="294"/>
      <c r="D113" s="294"/>
      <c r="E113" s="298" t="s">
        <v>353</v>
      </c>
      <c r="F113" s="298" t="s">
        <v>459</v>
      </c>
      <c r="G113" s="295"/>
      <c r="H113" s="295"/>
      <c r="I113" s="295"/>
      <c r="J113" s="297"/>
    </row>
    <row r="114" spans="2:10" ht="18" hidden="1" customHeight="1" outlineLevel="1">
      <c r="B114" s="130"/>
      <c r="C114" s="294"/>
      <c r="D114" s="294"/>
      <c r="E114" s="298"/>
      <c r="F114" s="298" t="s">
        <v>354</v>
      </c>
      <c r="G114" s="295" t="s">
        <v>501</v>
      </c>
      <c r="H114" s="295"/>
      <c r="I114" s="295"/>
      <c r="J114" s="297"/>
    </row>
    <row r="115" spans="2:10" ht="18" hidden="1" customHeight="1" outlineLevel="1">
      <c r="B115" s="130"/>
      <c r="C115" s="294"/>
      <c r="D115" s="294"/>
      <c r="E115" s="298"/>
      <c r="F115" s="298" t="s">
        <v>355</v>
      </c>
      <c r="G115" s="295" t="s">
        <v>502</v>
      </c>
      <c r="H115" s="295"/>
      <c r="I115" s="295"/>
      <c r="J115" s="297"/>
    </row>
    <row r="116" spans="2:10" ht="18" hidden="1" customHeight="1" outlineLevel="1">
      <c r="B116" s="130"/>
      <c r="C116" s="294"/>
      <c r="D116" s="294"/>
      <c r="E116" s="298"/>
      <c r="F116" s="298"/>
      <c r="G116" s="298" t="s">
        <v>356</v>
      </c>
      <c r="H116" s="295" t="s">
        <v>503</v>
      </c>
      <c r="I116" s="295"/>
      <c r="J116" s="297"/>
    </row>
    <row r="117" spans="2:10" ht="18" hidden="1" customHeight="1" outlineLevel="1">
      <c r="B117" s="130"/>
      <c r="C117" s="294"/>
      <c r="D117" s="294"/>
      <c r="E117" s="298"/>
      <c r="F117" s="298"/>
      <c r="G117" s="298" t="s">
        <v>357</v>
      </c>
      <c r="H117" s="295" t="s">
        <v>480</v>
      </c>
      <c r="I117" s="295"/>
      <c r="J117" s="297"/>
    </row>
    <row r="118" spans="2:10" ht="18" hidden="1" customHeight="1" outlineLevel="1">
      <c r="B118" s="130"/>
      <c r="C118" s="294"/>
      <c r="D118" s="294"/>
      <c r="E118" s="298"/>
      <c r="F118" s="298"/>
      <c r="G118" s="298" t="s">
        <v>358</v>
      </c>
      <c r="H118" s="295" t="s">
        <v>471</v>
      </c>
      <c r="I118" s="295"/>
      <c r="J118" s="297"/>
    </row>
    <row r="119" spans="2:10" ht="18" hidden="1" customHeight="1" outlineLevel="1">
      <c r="B119" s="130"/>
      <c r="C119" s="294"/>
      <c r="D119" s="294"/>
      <c r="E119" s="298"/>
      <c r="F119" s="298"/>
      <c r="G119" s="298"/>
      <c r="H119" s="298" t="s">
        <v>359</v>
      </c>
      <c r="I119" s="295" t="s">
        <v>504</v>
      </c>
      <c r="J119" s="297"/>
    </row>
    <row r="120" spans="2:10" ht="18" hidden="1" customHeight="1" outlineLevel="1">
      <c r="B120" s="130"/>
      <c r="C120" s="294"/>
      <c r="D120" s="294"/>
      <c r="E120" s="298"/>
      <c r="F120" s="298"/>
      <c r="G120" s="298"/>
      <c r="H120" s="298" t="s">
        <v>360</v>
      </c>
      <c r="I120" s="295" t="s">
        <v>509</v>
      </c>
      <c r="J120" s="297"/>
    </row>
    <row r="121" spans="2:10" ht="18" hidden="1" customHeight="1" outlineLevel="1">
      <c r="B121" s="130"/>
      <c r="C121" s="294"/>
      <c r="D121" s="294"/>
      <c r="E121" s="298"/>
      <c r="F121" s="298"/>
      <c r="G121" s="298"/>
      <c r="H121" s="298" t="s">
        <v>361</v>
      </c>
      <c r="I121" s="295" t="s">
        <v>469</v>
      </c>
      <c r="J121" s="297"/>
    </row>
    <row r="122" spans="2:10" ht="18" hidden="1" customHeight="1" outlineLevel="1">
      <c r="B122" s="130"/>
      <c r="C122" s="294"/>
      <c r="D122" s="294"/>
      <c r="E122" s="298" t="s">
        <v>362</v>
      </c>
      <c r="F122" s="298" t="s">
        <v>460</v>
      </c>
      <c r="G122" s="295"/>
      <c r="H122" s="295"/>
      <c r="I122" s="295"/>
      <c r="J122" s="297"/>
    </row>
    <row r="123" spans="2:10" ht="18" hidden="1" customHeight="1" outlineLevel="1">
      <c r="B123" s="130"/>
      <c r="C123" s="294"/>
      <c r="D123" s="294"/>
      <c r="E123" s="298"/>
      <c r="F123" s="298" t="s">
        <v>363</v>
      </c>
      <c r="G123" s="295" t="s">
        <v>505</v>
      </c>
      <c r="H123" s="295"/>
      <c r="I123" s="295"/>
      <c r="J123" s="297"/>
    </row>
    <row r="124" spans="2:10" ht="18" hidden="1" customHeight="1" outlineLevel="1">
      <c r="B124" s="130"/>
      <c r="C124" s="294"/>
      <c r="D124" s="294"/>
      <c r="E124" s="298"/>
      <c r="F124" s="298"/>
      <c r="G124" s="298" t="s">
        <v>364</v>
      </c>
      <c r="H124" s="295" t="s">
        <v>495</v>
      </c>
      <c r="I124" s="295"/>
      <c r="J124" s="297"/>
    </row>
    <row r="125" spans="2:10" ht="18" hidden="1" customHeight="1" outlineLevel="1">
      <c r="B125" s="130"/>
      <c r="C125" s="294"/>
      <c r="D125" s="294"/>
      <c r="E125" s="298"/>
      <c r="F125" s="298"/>
      <c r="G125" s="298" t="s">
        <v>365</v>
      </c>
      <c r="H125" s="295" t="s">
        <v>496</v>
      </c>
      <c r="I125" s="295"/>
      <c r="J125" s="297"/>
    </row>
    <row r="126" spans="2:10" ht="18" hidden="1" customHeight="1" outlineLevel="1">
      <c r="B126" s="130"/>
      <c r="C126" s="294"/>
      <c r="D126" s="294"/>
      <c r="E126" s="298"/>
      <c r="F126" s="298"/>
      <c r="G126" s="298" t="s">
        <v>366</v>
      </c>
      <c r="H126" s="295" t="s">
        <v>506</v>
      </c>
      <c r="I126" s="295"/>
      <c r="J126" s="297"/>
    </row>
    <row r="127" spans="2:10" ht="18" hidden="1" customHeight="1" outlineLevel="1">
      <c r="B127" s="130"/>
      <c r="C127" s="294"/>
      <c r="D127" s="294"/>
      <c r="E127" s="298"/>
      <c r="F127" s="298"/>
      <c r="G127" s="298" t="s">
        <v>367</v>
      </c>
      <c r="H127" s="295" t="s">
        <v>57</v>
      </c>
      <c r="I127" s="295"/>
      <c r="J127" s="297"/>
    </row>
    <row r="128" spans="2:10" ht="18" hidden="1" customHeight="1" outlineLevel="1">
      <c r="B128" s="130"/>
      <c r="C128" s="294"/>
      <c r="D128" s="294"/>
      <c r="E128" s="298"/>
      <c r="F128" s="298" t="s">
        <v>368</v>
      </c>
      <c r="G128" s="295" t="s">
        <v>507</v>
      </c>
      <c r="H128" s="295"/>
      <c r="I128" s="295"/>
      <c r="J128" s="297"/>
    </row>
    <row r="129" spans="2:10" ht="18" hidden="1" customHeight="1" outlineLevel="1">
      <c r="B129" s="130"/>
      <c r="C129" s="294"/>
      <c r="D129" s="294"/>
      <c r="E129" s="298"/>
      <c r="F129" s="298"/>
      <c r="G129" s="298" t="s">
        <v>369</v>
      </c>
      <c r="H129" s="295" t="s">
        <v>508</v>
      </c>
      <c r="I129" s="295"/>
      <c r="J129" s="297"/>
    </row>
    <row r="130" spans="2:10" ht="18" hidden="1" customHeight="1" outlineLevel="1">
      <c r="B130" s="130"/>
      <c r="C130" s="294"/>
      <c r="D130" s="294"/>
      <c r="E130" s="298"/>
      <c r="F130" s="298"/>
      <c r="G130" s="298" t="s">
        <v>370</v>
      </c>
      <c r="H130" s="295" t="s">
        <v>495</v>
      </c>
      <c r="I130" s="295"/>
      <c r="J130" s="297"/>
    </row>
    <row r="131" spans="2:10" ht="18" hidden="1" customHeight="1" outlineLevel="1">
      <c r="B131" s="130"/>
      <c r="C131" s="294"/>
      <c r="D131" s="294"/>
      <c r="E131" s="298"/>
      <c r="F131" s="298"/>
      <c r="G131" s="298" t="s">
        <v>371</v>
      </c>
      <c r="H131" s="295" t="s">
        <v>57</v>
      </c>
      <c r="I131" s="295"/>
      <c r="J131" s="297"/>
    </row>
    <row r="132" spans="2:10" ht="18" hidden="1" customHeight="1" outlineLevel="1">
      <c r="B132" s="130"/>
      <c r="C132" s="294"/>
      <c r="D132" s="294"/>
      <c r="E132" s="298"/>
      <c r="F132" s="298" t="s">
        <v>372</v>
      </c>
      <c r="G132" s="295" t="s">
        <v>504</v>
      </c>
      <c r="H132" s="295"/>
      <c r="I132" s="295"/>
      <c r="J132" s="297"/>
    </row>
    <row r="133" spans="2:10" ht="18" hidden="1" customHeight="1" outlineLevel="1">
      <c r="B133" s="130"/>
      <c r="C133" s="294"/>
      <c r="D133" s="294"/>
      <c r="E133" s="298"/>
      <c r="F133" s="298" t="s">
        <v>373</v>
      </c>
      <c r="G133" s="295" t="s">
        <v>509</v>
      </c>
      <c r="H133" s="295"/>
      <c r="I133" s="295"/>
      <c r="J133" s="297"/>
    </row>
    <row r="134" spans="2:10" ht="18" hidden="1" customHeight="1" outlineLevel="1">
      <c r="B134" s="130"/>
      <c r="C134" s="294"/>
      <c r="D134" s="294"/>
      <c r="E134" s="298" t="s">
        <v>374</v>
      </c>
      <c r="F134" s="298" t="s">
        <v>461</v>
      </c>
      <c r="G134" s="295"/>
      <c r="H134" s="295"/>
      <c r="I134" s="295"/>
      <c r="J134" s="297"/>
    </row>
    <row r="135" spans="2:10" ht="18" hidden="1" customHeight="1" outlineLevel="1">
      <c r="B135" s="130"/>
      <c r="C135" s="294"/>
      <c r="D135" s="294"/>
      <c r="E135" s="298" t="s">
        <v>494</v>
      </c>
      <c r="F135" s="298"/>
      <c r="G135" s="295"/>
      <c r="H135" s="295"/>
      <c r="I135" s="295"/>
      <c r="J135" s="297"/>
    </row>
    <row r="136" spans="2:10" ht="18" hidden="1" customHeight="1" outlineLevel="1">
      <c r="B136" s="130"/>
      <c r="C136" s="294"/>
      <c r="D136" s="294"/>
      <c r="E136" s="298"/>
      <c r="F136" s="298" t="s">
        <v>375</v>
      </c>
      <c r="G136" s="295" t="s">
        <v>462</v>
      </c>
      <c r="H136" s="295"/>
      <c r="I136" s="295"/>
      <c r="J136" s="297"/>
    </row>
    <row r="137" spans="2:10" ht="18" hidden="1" customHeight="1" outlineLevel="1">
      <c r="B137" s="130"/>
      <c r="C137" s="294"/>
      <c r="D137" s="294"/>
      <c r="E137" s="298"/>
      <c r="F137" s="298" t="s">
        <v>376</v>
      </c>
      <c r="G137" s="295" t="s">
        <v>463</v>
      </c>
      <c r="H137" s="295"/>
      <c r="I137" s="295"/>
      <c r="J137" s="297"/>
    </row>
    <row r="138" spans="2:10" ht="18" hidden="1" customHeight="1" outlineLevel="1">
      <c r="B138" s="130"/>
      <c r="C138" s="294"/>
      <c r="D138" s="294"/>
      <c r="E138" s="298"/>
      <c r="F138" s="298"/>
      <c r="G138" s="295" t="s">
        <v>377</v>
      </c>
      <c r="H138" s="295" t="s">
        <v>466</v>
      </c>
      <c r="I138" s="295"/>
      <c r="J138" s="297"/>
    </row>
    <row r="139" spans="2:10" ht="18" hidden="1" customHeight="1" outlineLevel="1">
      <c r="B139" s="130"/>
      <c r="C139" s="294"/>
      <c r="D139" s="294"/>
      <c r="E139" s="298"/>
      <c r="F139" s="298"/>
      <c r="G139" s="295" t="s">
        <v>378</v>
      </c>
      <c r="H139" s="295" t="s">
        <v>465</v>
      </c>
      <c r="I139" s="295"/>
      <c r="J139" s="297"/>
    </row>
    <row r="140" spans="2:10" ht="18" customHeight="1" collapsed="1">
      <c r="B140" s="130"/>
      <c r="C140" s="294"/>
      <c r="D140" s="108" t="s">
        <v>379</v>
      </c>
      <c r="E140" s="108" t="s">
        <v>61</v>
      </c>
      <c r="F140" s="108"/>
      <c r="G140" s="108"/>
      <c r="H140" s="108"/>
      <c r="I140" s="295"/>
      <c r="J140" s="297"/>
    </row>
    <row r="141" spans="2:10" ht="18" hidden="1" customHeight="1" outlineLevel="1">
      <c r="B141" s="130"/>
      <c r="C141" s="294"/>
      <c r="D141" s="294"/>
      <c r="E141" s="298" t="s">
        <v>380</v>
      </c>
      <c r="F141" s="298" t="s">
        <v>459</v>
      </c>
      <c r="G141" s="295"/>
      <c r="H141" s="295"/>
      <c r="I141" s="295"/>
      <c r="J141" s="297"/>
    </row>
    <row r="142" spans="2:10" ht="18" hidden="1" customHeight="1" outlineLevel="1">
      <c r="B142" s="130"/>
      <c r="C142" s="294"/>
      <c r="D142" s="294"/>
      <c r="E142" s="298"/>
      <c r="F142" s="298" t="s">
        <v>381</v>
      </c>
      <c r="G142" s="295" t="s">
        <v>510</v>
      </c>
      <c r="H142" s="295"/>
      <c r="I142" s="295"/>
      <c r="J142" s="297"/>
    </row>
    <row r="143" spans="2:10" ht="18" hidden="1" customHeight="1" outlineLevel="1">
      <c r="B143" s="130"/>
      <c r="C143" s="294"/>
      <c r="D143" s="294"/>
      <c r="E143" s="298"/>
      <c r="F143" s="298" t="s">
        <v>382</v>
      </c>
      <c r="G143" s="295" t="s">
        <v>511</v>
      </c>
      <c r="H143" s="295"/>
      <c r="I143" s="295"/>
      <c r="J143" s="297"/>
    </row>
    <row r="144" spans="2:10" ht="18" hidden="1" customHeight="1" outlineLevel="1">
      <c r="B144" s="130"/>
      <c r="C144" s="294"/>
      <c r="D144" s="294"/>
      <c r="E144" s="298"/>
      <c r="F144" s="298" t="s">
        <v>383</v>
      </c>
      <c r="G144" s="295" t="s">
        <v>512</v>
      </c>
      <c r="H144" s="295"/>
      <c r="I144" s="295"/>
      <c r="J144" s="297"/>
    </row>
    <row r="145" spans="2:10" ht="18" hidden="1" customHeight="1" outlineLevel="1">
      <c r="B145" s="130"/>
      <c r="C145" s="294"/>
      <c r="D145" s="294"/>
      <c r="E145" s="298"/>
      <c r="F145" s="298" t="s">
        <v>384</v>
      </c>
      <c r="G145" s="295" t="s">
        <v>513</v>
      </c>
      <c r="H145" s="295"/>
      <c r="I145" s="295"/>
      <c r="J145" s="297"/>
    </row>
    <row r="146" spans="2:10" ht="18" hidden="1" customHeight="1" outlineLevel="1">
      <c r="B146" s="130"/>
      <c r="C146" s="294"/>
      <c r="D146" s="294"/>
      <c r="E146" s="298"/>
      <c r="F146" s="298" t="s">
        <v>385</v>
      </c>
      <c r="G146" s="295" t="s">
        <v>514</v>
      </c>
      <c r="H146" s="295"/>
      <c r="I146" s="295"/>
      <c r="J146" s="297"/>
    </row>
    <row r="147" spans="2:10" ht="18" hidden="1" customHeight="1" outlineLevel="1">
      <c r="B147" s="130"/>
      <c r="C147" s="294"/>
      <c r="D147" s="294"/>
      <c r="E147" s="298"/>
      <c r="F147" s="298" t="s">
        <v>386</v>
      </c>
      <c r="G147" s="295" t="s">
        <v>515</v>
      </c>
      <c r="H147" s="295"/>
      <c r="I147" s="295"/>
      <c r="J147" s="297"/>
    </row>
    <row r="148" spans="2:10" ht="18" hidden="1" customHeight="1" outlineLevel="1">
      <c r="B148" s="130"/>
      <c r="C148" s="294"/>
      <c r="D148" s="294"/>
      <c r="E148" s="298"/>
      <c r="F148" s="298" t="s">
        <v>387</v>
      </c>
      <c r="G148" s="295" t="s">
        <v>620</v>
      </c>
      <c r="H148" s="295"/>
      <c r="I148" s="295"/>
      <c r="J148" s="297"/>
    </row>
    <row r="149" spans="2:10" ht="18" hidden="1" customHeight="1" outlineLevel="1">
      <c r="B149" s="130"/>
      <c r="C149" s="294"/>
      <c r="D149" s="294"/>
      <c r="E149" s="298"/>
      <c r="F149" s="298" t="s">
        <v>388</v>
      </c>
      <c r="G149" s="295" t="s">
        <v>516</v>
      </c>
      <c r="H149" s="295"/>
      <c r="I149" s="295"/>
      <c r="J149" s="297"/>
    </row>
    <row r="150" spans="2:10" ht="18" hidden="1" customHeight="1" outlineLevel="1">
      <c r="B150" s="130"/>
      <c r="C150" s="294"/>
      <c r="D150" s="294"/>
      <c r="E150" s="298"/>
      <c r="F150" s="298" t="s">
        <v>623</v>
      </c>
      <c r="G150" s="299" t="s">
        <v>517</v>
      </c>
      <c r="H150" s="295"/>
      <c r="I150" s="295"/>
      <c r="J150" s="297"/>
    </row>
    <row r="151" spans="2:10" ht="18" hidden="1" customHeight="1" outlineLevel="1">
      <c r="B151" s="130"/>
      <c r="C151" s="294"/>
      <c r="D151" s="294"/>
      <c r="E151" s="298" t="s">
        <v>389</v>
      </c>
      <c r="F151" s="298" t="s">
        <v>460</v>
      </c>
      <c r="G151" s="299"/>
      <c r="H151" s="295"/>
      <c r="I151" s="295"/>
      <c r="J151" s="297"/>
    </row>
    <row r="152" spans="2:10" ht="18" hidden="1" customHeight="1" outlineLevel="1">
      <c r="B152" s="130"/>
      <c r="C152" s="294"/>
      <c r="D152" s="294"/>
      <c r="E152" s="298"/>
      <c r="F152" s="298" t="s">
        <v>390</v>
      </c>
      <c r="G152" s="295" t="s">
        <v>510</v>
      </c>
      <c r="H152" s="295"/>
      <c r="I152" s="295"/>
      <c r="J152" s="297"/>
    </row>
    <row r="153" spans="2:10" ht="18" hidden="1" customHeight="1" outlineLevel="1">
      <c r="B153" s="130"/>
      <c r="C153" s="294"/>
      <c r="D153" s="294"/>
      <c r="E153" s="298"/>
      <c r="F153" s="298" t="s">
        <v>391</v>
      </c>
      <c r="G153" s="295" t="s">
        <v>511</v>
      </c>
      <c r="H153" s="295"/>
      <c r="I153" s="295"/>
      <c r="J153" s="297"/>
    </row>
    <row r="154" spans="2:10" ht="18" hidden="1" customHeight="1" outlineLevel="1">
      <c r="B154" s="130"/>
      <c r="C154" s="294"/>
      <c r="D154" s="294"/>
      <c r="E154" s="298"/>
      <c r="F154" s="298" t="s">
        <v>392</v>
      </c>
      <c r="G154" s="295" t="s">
        <v>512</v>
      </c>
      <c r="H154" s="295"/>
      <c r="I154" s="295"/>
      <c r="J154" s="297"/>
    </row>
    <row r="155" spans="2:10" ht="18" hidden="1" customHeight="1" outlineLevel="1">
      <c r="B155" s="130"/>
      <c r="C155" s="294"/>
      <c r="D155" s="294"/>
      <c r="E155" s="298"/>
      <c r="F155" s="298" t="s">
        <v>393</v>
      </c>
      <c r="G155" s="295" t="s">
        <v>513</v>
      </c>
      <c r="H155" s="295"/>
      <c r="I155" s="295"/>
      <c r="J155" s="297"/>
    </row>
    <row r="156" spans="2:10" ht="18" hidden="1" customHeight="1" outlineLevel="1">
      <c r="B156" s="130"/>
      <c r="C156" s="294"/>
      <c r="D156" s="294"/>
      <c r="E156" s="298"/>
      <c r="F156" s="298"/>
      <c r="G156" s="298" t="s">
        <v>394</v>
      </c>
      <c r="H156" s="295" t="s">
        <v>518</v>
      </c>
      <c r="I156" s="295"/>
      <c r="J156" s="297"/>
    </row>
    <row r="157" spans="2:10" ht="18" hidden="1" customHeight="1" outlineLevel="1">
      <c r="B157" s="130"/>
      <c r="C157" s="294"/>
      <c r="D157" s="294"/>
      <c r="E157" s="298"/>
      <c r="F157" s="298"/>
      <c r="G157" s="298" t="s">
        <v>395</v>
      </c>
      <c r="H157" s="295" t="s">
        <v>519</v>
      </c>
      <c r="I157" s="295"/>
      <c r="J157" s="297"/>
    </row>
    <row r="158" spans="2:10" ht="18" hidden="1" customHeight="1" outlineLevel="1">
      <c r="B158" s="130"/>
      <c r="C158" s="294"/>
      <c r="D158" s="294"/>
      <c r="E158" s="298"/>
      <c r="F158" s="298"/>
      <c r="G158" s="298" t="s">
        <v>396</v>
      </c>
      <c r="H158" s="295" t="s">
        <v>57</v>
      </c>
      <c r="I158" s="295"/>
      <c r="J158" s="297"/>
    </row>
    <row r="159" spans="2:10" ht="18" hidden="1" customHeight="1" outlineLevel="1">
      <c r="B159" s="130"/>
      <c r="C159" s="294"/>
      <c r="D159" s="294"/>
      <c r="E159" s="298"/>
      <c r="F159" s="298" t="s">
        <v>397</v>
      </c>
      <c r="G159" s="295" t="s">
        <v>514</v>
      </c>
      <c r="H159" s="295"/>
      <c r="I159" s="295"/>
      <c r="J159" s="297"/>
    </row>
    <row r="160" spans="2:10" ht="18" hidden="1" customHeight="1" outlineLevel="1">
      <c r="B160" s="130"/>
      <c r="C160" s="294"/>
      <c r="D160" s="294"/>
      <c r="E160" s="298"/>
      <c r="F160" s="298" t="s">
        <v>398</v>
      </c>
      <c r="G160" s="295" t="s">
        <v>515</v>
      </c>
      <c r="H160" s="295"/>
      <c r="I160" s="295"/>
      <c r="J160" s="297"/>
    </row>
    <row r="161" spans="2:10" ht="18" hidden="1" customHeight="1" outlineLevel="1">
      <c r="B161" s="130"/>
      <c r="C161" s="294"/>
      <c r="D161" s="294"/>
      <c r="E161" s="298"/>
      <c r="F161" s="298" t="s">
        <v>399</v>
      </c>
      <c r="G161" s="295" t="s">
        <v>620</v>
      </c>
      <c r="H161" s="295"/>
      <c r="I161" s="295"/>
      <c r="J161" s="297"/>
    </row>
    <row r="162" spans="2:10" ht="18" hidden="1" customHeight="1" outlineLevel="1">
      <c r="B162" s="130"/>
      <c r="C162" s="294"/>
      <c r="D162" s="294"/>
      <c r="E162" s="298"/>
      <c r="F162" s="298" t="s">
        <v>400</v>
      </c>
      <c r="G162" s="295" t="s">
        <v>516</v>
      </c>
      <c r="H162" s="295"/>
      <c r="I162" s="295"/>
      <c r="J162" s="297"/>
    </row>
    <row r="163" spans="2:10" ht="18" hidden="1" customHeight="1" outlineLevel="1">
      <c r="B163" s="130"/>
      <c r="C163" s="294"/>
      <c r="D163" s="294"/>
      <c r="E163" s="298"/>
      <c r="F163" s="298" t="s">
        <v>621</v>
      </c>
      <c r="G163" s="299" t="s">
        <v>517</v>
      </c>
      <c r="H163" s="295"/>
      <c r="I163" s="295"/>
      <c r="J163" s="297"/>
    </row>
    <row r="164" spans="2:10" ht="18" hidden="1" customHeight="1" outlineLevel="1">
      <c r="B164" s="130"/>
      <c r="C164" s="294"/>
      <c r="D164" s="294"/>
      <c r="E164" s="298" t="s">
        <v>401</v>
      </c>
      <c r="F164" s="298" t="s">
        <v>461</v>
      </c>
      <c r="G164" s="295"/>
      <c r="H164" s="295"/>
      <c r="I164" s="295"/>
      <c r="J164" s="297"/>
    </row>
    <row r="165" spans="2:10" ht="18" hidden="1" customHeight="1" outlineLevel="1">
      <c r="B165" s="130"/>
      <c r="C165" s="294"/>
      <c r="D165" s="294"/>
      <c r="E165" s="298" t="s">
        <v>494</v>
      </c>
      <c r="F165" s="298"/>
      <c r="G165" s="295"/>
      <c r="H165" s="295"/>
      <c r="I165" s="295"/>
      <c r="J165" s="297"/>
    </row>
    <row r="166" spans="2:10" ht="18" hidden="1" customHeight="1" outlineLevel="1">
      <c r="B166" s="130"/>
      <c r="C166" s="294"/>
      <c r="D166" s="294"/>
      <c r="E166" s="298"/>
      <c r="F166" s="298" t="s">
        <v>402</v>
      </c>
      <c r="G166" s="295" t="s">
        <v>462</v>
      </c>
      <c r="H166" s="295"/>
      <c r="I166" s="295"/>
      <c r="J166" s="297"/>
    </row>
    <row r="167" spans="2:10" ht="18" hidden="1" customHeight="1" outlineLevel="1">
      <c r="B167" s="130"/>
      <c r="C167" s="294"/>
      <c r="D167" s="294"/>
      <c r="E167" s="298"/>
      <c r="F167" s="298" t="s">
        <v>403</v>
      </c>
      <c r="G167" s="295" t="s">
        <v>463</v>
      </c>
      <c r="H167" s="295"/>
      <c r="I167" s="295"/>
      <c r="J167" s="297"/>
    </row>
    <row r="168" spans="2:10" ht="18" hidden="1" customHeight="1" outlineLevel="1">
      <c r="B168" s="130"/>
      <c r="C168" s="294"/>
      <c r="D168" s="294"/>
      <c r="E168" s="298"/>
      <c r="F168" s="298"/>
      <c r="G168" s="295" t="s">
        <v>404</v>
      </c>
      <c r="H168" s="295" t="s">
        <v>466</v>
      </c>
      <c r="I168" s="295"/>
      <c r="J168" s="297"/>
    </row>
    <row r="169" spans="2:10" ht="18" hidden="1" customHeight="1" outlineLevel="1">
      <c r="B169" s="130"/>
      <c r="C169" s="294"/>
      <c r="D169" s="294"/>
      <c r="E169" s="298"/>
      <c r="F169" s="298"/>
      <c r="G169" s="295" t="s">
        <v>405</v>
      </c>
      <c r="H169" s="295" t="s">
        <v>465</v>
      </c>
      <c r="I169" s="295"/>
      <c r="J169" s="297"/>
    </row>
    <row r="170" spans="2:10" ht="18" hidden="1" customHeight="1" outlineLevel="1">
      <c r="B170" s="130"/>
      <c r="C170" s="294"/>
      <c r="D170" s="294"/>
      <c r="E170" s="298" t="s">
        <v>520</v>
      </c>
      <c r="F170" s="298"/>
      <c r="G170" s="295"/>
      <c r="H170" s="295"/>
      <c r="I170" s="295"/>
      <c r="J170" s="297"/>
    </row>
    <row r="171" spans="2:10" ht="18" hidden="1" customHeight="1" outlineLevel="1">
      <c r="B171" s="130"/>
      <c r="C171" s="294"/>
      <c r="D171" s="294"/>
      <c r="E171" s="298"/>
      <c r="F171" s="298" t="s">
        <v>406</v>
      </c>
      <c r="G171" s="295" t="s">
        <v>510</v>
      </c>
      <c r="H171" s="295"/>
      <c r="I171" s="295"/>
      <c r="J171" s="297"/>
    </row>
    <row r="172" spans="2:10" ht="18" hidden="1" customHeight="1" outlineLevel="1">
      <c r="B172" s="130"/>
      <c r="C172" s="294"/>
      <c r="D172" s="294"/>
      <c r="E172" s="298"/>
      <c r="F172" s="298"/>
      <c r="G172" s="295" t="s">
        <v>407</v>
      </c>
      <c r="H172" s="295" t="s">
        <v>521</v>
      </c>
      <c r="I172" s="295"/>
      <c r="J172" s="297"/>
    </row>
    <row r="173" spans="2:10" ht="18" hidden="1" customHeight="1" outlineLevel="1">
      <c r="B173" s="130"/>
      <c r="C173" s="294"/>
      <c r="D173" s="294"/>
      <c r="E173" s="298"/>
      <c r="F173" s="298"/>
      <c r="G173" s="295" t="s">
        <v>408</v>
      </c>
      <c r="H173" s="295" t="s">
        <v>463</v>
      </c>
      <c r="I173" s="295"/>
      <c r="J173" s="297"/>
    </row>
    <row r="174" spans="2:10" ht="18" hidden="1" customHeight="1" outlineLevel="1">
      <c r="B174" s="130"/>
      <c r="C174" s="294"/>
      <c r="D174" s="294"/>
      <c r="E174" s="298"/>
      <c r="F174" s="298"/>
      <c r="G174" s="297"/>
      <c r="H174" s="295" t="s">
        <v>409</v>
      </c>
      <c r="I174" s="295" t="s">
        <v>464</v>
      </c>
      <c r="J174" s="297"/>
    </row>
    <row r="175" spans="2:10" ht="18" hidden="1" customHeight="1" outlineLevel="1">
      <c r="B175" s="130"/>
      <c r="C175" s="294"/>
      <c r="D175" s="294"/>
      <c r="E175" s="298"/>
      <c r="F175" s="298"/>
      <c r="G175" s="297"/>
      <c r="H175" s="295" t="s">
        <v>410</v>
      </c>
      <c r="I175" s="295" t="s">
        <v>522</v>
      </c>
      <c r="J175" s="297"/>
    </row>
    <row r="176" spans="2:10" ht="18" hidden="1" customHeight="1" outlineLevel="1">
      <c r="B176" s="130"/>
      <c r="C176" s="294"/>
      <c r="D176" s="294"/>
      <c r="E176" s="298"/>
      <c r="F176" s="298" t="s">
        <v>411</v>
      </c>
      <c r="G176" s="295" t="s">
        <v>511</v>
      </c>
      <c r="H176" s="295"/>
      <c r="I176" s="295"/>
      <c r="J176" s="297"/>
    </row>
    <row r="177" spans="2:10" ht="18" hidden="1" customHeight="1" outlineLevel="1">
      <c r="B177" s="130"/>
      <c r="C177" s="294"/>
      <c r="D177" s="294"/>
      <c r="E177" s="298"/>
      <c r="F177" s="298"/>
      <c r="G177" s="295" t="s">
        <v>412</v>
      </c>
      <c r="H177" s="295" t="s">
        <v>521</v>
      </c>
      <c r="I177" s="295"/>
      <c r="J177" s="297"/>
    </row>
    <row r="178" spans="2:10" ht="18" hidden="1" customHeight="1" outlineLevel="1">
      <c r="B178" s="130"/>
      <c r="C178" s="294"/>
      <c r="D178" s="294"/>
      <c r="E178" s="298"/>
      <c r="F178" s="298"/>
      <c r="G178" s="295" t="s">
        <v>413</v>
      </c>
      <c r="H178" s="295" t="s">
        <v>463</v>
      </c>
      <c r="I178" s="295"/>
      <c r="J178" s="297"/>
    </row>
    <row r="179" spans="2:10" ht="18" hidden="1" customHeight="1" outlineLevel="1">
      <c r="B179" s="130"/>
      <c r="C179" s="294"/>
      <c r="D179" s="294"/>
      <c r="E179" s="298"/>
      <c r="F179" s="298"/>
      <c r="G179" s="297"/>
      <c r="H179" s="295" t="s">
        <v>414</v>
      </c>
      <c r="I179" s="295" t="s">
        <v>464</v>
      </c>
      <c r="J179" s="297"/>
    </row>
    <row r="180" spans="2:10" ht="18" hidden="1" customHeight="1" outlineLevel="1">
      <c r="B180" s="130"/>
      <c r="C180" s="294"/>
      <c r="D180" s="294"/>
      <c r="E180" s="298"/>
      <c r="F180" s="298"/>
      <c r="G180" s="297"/>
      <c r="H180" s="295" t="s">
        <v>415</v>
      </c>
      <c r="I180" s="295" t="s">
        <v>522</v>
      </c>
      <c r="J180" s="297"/>
    </row>
    <row r="181" spans="2:10" ht="18" hidden="1" customHeight="1" outlineLevel="1">
      <c r="B181" s="130"/>
      <c r="C181" s="294"/>
      <c r="D181" s="294"/>
      <c r="E181" s="298"/>
      <c r="F181" s="298" t="s">
        <v>416</v>
      </c>
      <c r="G181" s="295" t="s">
        <v>512</v>
      </c>
      <c r="H181" s="295"/>
      <c r="I181" s="295"/>
      <c r="J181" s="297"/>
    </row>
    <row r="182" spans="2:10" ht="18" hidden="1" customHeight="1" outlineLevel="1">
      <c r="B182" s="130"/>
      <c r="C182" s="294"/>
      <c r="D182" s="294"/>
      <c r="E182" s="298"/>
      <c r="F182" s="298"/>
      <c r="G182" s="295" t="s">
        <v>417</v>
      </c>
      <c r="H182" s="295" t="s">
        <v>521</v>
      </c>
      <c r="I182" s="295"/>
      <c r="J182" s="297"/>
    </row>
    <row r="183" spans="2:10" ht="18" hidden="1" customHeight="1" outlineLevel="1">
      <c r="B183" s="130"/>
      <c r="C183" s="294"/>
      <c r="D183" s="294"/>
      <c r="E183" s="298"/>
      <c r="F183" s="298"/>
      <c r="G183" s="295" t="s">
        <v>418</v>
      </c>
      <c r="H183" s="295" t="s">
        <v>463</v>
      </c>
      <c r="I183" s="295"/>
      <c r="J183" s="297"/>
    </row>
    <row r="184" spans="2:10" ht="18" hidden="1" customHeight="1" outlineLevel="1">
      <c r="B184" s="130"/>
      <c r="C184" s="294"/>
      <c r="D184" s="294"/>
      <c r="E184" s="298"/>
      <c r="F184" s="298"/>
      <c r="G184" s="297"/>
      <c r="H184" s="295" t="s">
        <v>419</v>
      </c>
      <c r="I184" s="295" t="s">
        <v>464</v>
      </c>
      <c r="J184" s="297"/>
    </row>
    <row r="185" spans="2:10" ht="18" hidden="1" customHeight="1" outlineLevel="1">
      <c r="B185" s="130"/>
      <c r="C185" s="294"/>
      <c r="D185" s="294"/>
      <c r="E185" s="298"/>
      <c r="F185" s="298"/>
      <c r="G185" s="297"/>
      <c r="H185" s="295" t="s">
        <v>420</v>
      </c>
      <c r="I185" s="295" t="s">
        <v>522</v>
      </c>
      <c r="J185" s="297"/>
    </row>
    <row r="186" spans="2:10" ht="18" hidden="1" customHeight="1" outlineLevel="1">
      <c r="B186" s="130"/>
      <c r="C186" s="294"/>
      <c r="D186" s="294"/>
      <c r="E186" s="298"/>
      <c r="F186" s="298" t="s">
        <v>421</v>
      </c>
      <c r="G186" s="295" t="s">
        <v>513</v>
      </c>
      <c r="H186" s="295"/>
      <c r="I186" s="295"/>
      <c r="J186" s="297"/>
    </row>
    <row r="187" spans="2:10" ht="18" hidden="1" customHeight="1" outlineLevel="1">
      <c r="B187" s="130"/>
      <c r="C187" s="294"/>
      <c r="D187" s="294"/>
      <c r="E187" s="298"/>
      <c r="F187" s="298"/>
      <c r="G187" s="295" t="s">
        <v>422</v>
      </c>
      <c r="H187" s="295" t="s">
        <v>521</v>
      </c>
      <c r="I187" s="295"/>
      <c r="J187" s="297"/>
    </row>
    <row r="188" spans="2:10" ht="18" hidden="1" customHeight="1" outlineLevel="1">
      <c r="B188" s="130"/>
      <c r="C188" s="294"/>
      <c r="D188" s="294"/>
      <c r="E188" s="298"/>
      <c r="F188" s="298"/>
      <c r="G188" s="295" t="s">
        <v>423</v>
      </c>
      <c r="H188" s="295" t="s">
        <v>463</v>
      </c>
      <c r="I188" s="295"/>
      <c r="J188" s="297"/>
    </row>
    <row r="189" spans="2:10" ht="18" hidden="1" customHeight="1" outlineLevel="1">
      <c r="B189" s="130"/>
      <c r="C189" s="294"/>
      <c r="D189" s="294"/>
      <c r="E189" s="298"/>
      <c r="F189" s="298"/>
      <c r="G189" s="297"/>
      <c r="H189" s="295" t="s">
        <v>424</v>
      </c>
      <c r="I189" s="295" t="s">
        <v>464</v>
      </c>
      <c r="J189" s="297"/>
    </row>
    <row r="190" spans="2:10" ht="18" hidden="1" customHeight="1" outlineLevel="1">
      <c r="B190" s="130"/>
      <c r="C190" s="294"/>
      <c r="D190" s="294"/>
      <c r="E190" s="298"/>
      <c r="F190" s="298"/>
      <c r="G190" s="297"/>
      <c r="H190" s="295" t="s">
        <v>425</v>
      </c>
      <c r="I190" s="295" t="s">
        <v>522</v>
      </c>
      <c r="J190" s="297"/>
    </row>
    <row r="191" spans="2:10" ht="18" hidden="1" customHeight="1" outlineLevel="1">
      <c r="B191" s="130"/>
      <c r="C191" s="294"/>
      <c r="D191" s="294"/>
      <c r="E191" s="298"/>
      <c r="F191" s="298" t="s">
        <v>426</v>
      </c>
      <c r="G191" s="295" t="s">
        <v>514</v>
      </c>
      <c r="H191" s="295"/>
      <c r="I191" s="295"/>
      <c r="J191" s="297"/>
    </row>
    <row r="192" spans="2:10" ht="18" hidden="1" customHeight="1" outlineLevel="1">
      <c r="B192" s="130"/>
      <c r="C192" s="294"/>
      <c r="D192" s="294"/>
      <c r="E192" s="298"/>
      <c r="F192" s="298"/>
      <c r="G192" s="295" t="s">
        <v>427</v>
      </c>
      <c r="H192" s="295" t="s">
        <v>521</v>
      </c>
      <c r="I192" s="295"/>
      <c r="J192" s="297"/>
    </row>
    <row r="193" spans="2:10" ht="18" hidden="1" customHeight="1" outlineLevel="1">
      <c r="B193" s="130"/>
      <c r="C193" s="294"/>
      <c r="D193" s="294"/>
      <c r="E193" s="298"/>
      <c r="F193" s="298"/>
      <c r="G193" s="295" t="s">
        <v>428</v>
      </c>
      <c r="H193" s="295" t="s">
        <v>463</v>
      </c>
      <c r="I193" s="295"/>
      <c r="J193" s="297"/>
    </row>
    <row r="194" spans="2:10" ht="18" hidden="1" customHeight="1" outlineLevel="1">
      <c r="B194" s="130"/>
      <c r="C194" s="294"/>
      <c r="D194" s="294"/>
      <c r="E194" s="298"/>
      <c r="F194" s="298"/>
      <c r="G194" s="297"/>
      <c r="H194" s="295" t="s">
        <v>429</v>
      </c>
      <c r="I194" s="295" t="s">
        <v>464</v>
      </c>
      <c r="J194" s="297"/>
    </row>
    <row r="195" spans="2:10" ht="18" hidden="1" customHeight="1" outlineLevel="1">
      <c r="B195" s="130"/>
      <c r="C195" s="294"/>
      <c r="D195" s="294"/>
      <c r="E195" s="298"/>
      <c r="F195" s="298"/>
      <c r="G195" s="297"/>
      <c r="H195" s="295" t="s">
        <v>430</v>
      </c>
      <c r="I195" s="295" t="s">
        <v>522</v>
      </c>
      <c r="J195" s="297"/>
    </row>
    <row r="196" spans="2:10" ht="18" hidden="1" customHeight="1" outlineLevel="1">
      <c r="B196" s="130"/>
      <c r="C196" s="294"/>
      <c r="D196" s="294"/>
      <c r="E196" s="298"/>
      <c r="F196" s="298" t="s">
        <v>431</v>
      </c>
      <c r="G196" s="295" t="s">
        <v>515</v>
      </c>
      <c r="H196" s="295"/>
      <c r="I196" s="295"/>
      <c r="J196" s="297"/>
    </row>
    <row r="197" spans="2:10" ht="18" hidden="1" customHeight="1" outlineLevel="1">
      <c r="B197" s="130"/>
      <c r="C197" s="294"/>
      <c r="D197" s="294"/>
      <c r="E197" s="298"/>
      <c r="F197" s="298"/>
      <c r="G197" s="295" t="s">
        <v>432</v>
      </c>
      <c r="H197" s="295" t="s">
        <v>521</v>
      </c>
      <c r="I197" s="295"/>
      <c r="J197" s="297"/>
    </row>
    <row r="198" spans="2:10" ht="18" hidden="1" customHeight="1" outlineLevel="1">
      <c r="B198" s="130"/>
      <c r="C198" s="294"/>
      <c r="D198" s="294"/>
      <c r="E198" s="298"/>
      <c r="F198" s="298"/>
      <c r="G198" s="295" t="s">
        <v>433</v>
      </c>
      <c r="H198" s="295" t="s">
        <v>464</v>
      </c>
      <c r="I198" s="295"/>
      <c r="J198" s="297"/>
    </row>
    <row r="199" spans="2:10" ht="18" hidden="1" customHeight="1" outlineLevel="1">
      <c r="B199" s="130"/>
      <c r="C199" s="294"/>
      <c r="D199" s="294"/>
      <c r="E199" s="298"/>
      <c r="F199" s="298" t="s">
        <v>434</v>
      </c>
      <c r="G199" s="295" t="s">
        <v>620</v>
      </c>
      <c r="H199" s="295"/>
      <c r="I199" s="295"/>
      <c r="J199" s="297"/>
    </row>
    <row r="200" spans="2:10" ht="18" hidden="1" customHeight="1" outlineLevel="1">
      <c r="B200" s="130"/>
      <c r="C200" s="294"/>
      <c r="D200" s="294"/>
      <c r="E200" s="298"/>
      <c r="F200" s="298" t="s">
        <v>435</v>
      </c>
      <c r="G200" s="295" t="s">
        <v>516</v>
      </c>
      <c r="H200" s="295"/>
      <c r="I200" s="295"/>
      <c r="J200" s="297"/>
    </row>
    <row r="201" spans="2:10" ht="18" hidden="1" customHeight="1" outlineLevel="1">
      <c r="B201" s="130"/>
      <c r="C201" s="294"/>
      <c r="D201" s="294"/>
      <c r="E201" s="298"/>
      <c r="F201" s="298" t="s">
        <v>622</v>
      </c>
      <c r="G201" s="299" t="s">
        <v>517</v>
      </c>
      <c r="H201" s="299"/>
      <c r="I201" s="299"/>
      <c r="J201" s="297"/>
    </row>
    <row r="202" spans="2:10" ht="18" customHeight="1" collapsed="1">
      <c r="B202" s="130"/>
      <c r="C202" s="294"/>
      <c r="D202" s="108" t="s">
        <v>436</v>
      </c>
      <c r="E202" s="108" t="s">
        <v>523</v>
      </c>
      <c r="F202" s="108"/>
      <c r="G202" s="108"/>
      <c r="H202" s="108"/>
      <c r="I202" s="295"/>
      <c r="J202" s="297"/>
    </row>
    <row r="203" spans="2:10" ht="18" hidden="1" customHeight="1" outlineLevel="1">
      <c r="B203" s="130"/>
      <c r="C203" s="294"/>
      <c r="D203" s="294"/>
      <c r="E203" s="298" t="s">
        <v>437</v>
      </c>
      <c r="F203" s="298" t="s">
        <v>459</v>
      </c>
      <c r="G203" s="295"/>
      <c r="H203" s="295"/>
      <c r="I203" s="295"/>
      <c r="J203" s="297"/>
    </row>
    <row r="204" spans="2:10" ht="18" hidden="1" customHeight="1" outlineLevel="1">
      <c r="B204" s="130"/>
      <c r="C204" s="294"/>
      <c r="D204" s="294"/>
      <c r="E204" s="298" t="s">
        <v>438</v>
      </c>
      <c r="F204" s="298" t="s">
        <v>460</v>
      </c>
      <c r="G204" s="295"/>
      <c r="H204" s="295"/>
      <c r="I204" s="295"/>
      <c r="J204" s="297"/>
    </row>
    <row r="205" spans="2:10" ht="18" hidden="1" customHeight="1" outlineLevel="1">
      <c r="B205" s="130"/>
      <c r="C205" s="294"/>
      <c r="D205" s="294"/>
      <c r="E205" s="298" t="s">
        <v>439</v>
      </c>
      <c r="F205" s="298" t="s">
        <v>461</v>
      </c>
      <c r="G205" s="295"/>
      <c r="H205" s="295"/>
      <c r="I205" s="295"/>
      <c r="J205" s="297"/>
    </row>
    <row r="206" spans="2:10" ht="18" hidden="1" customHeight="1" outlineLevel="1">
      <c r="B206" s="130"/>
      <c r="C206" s="294"/>
      <c r="D206" s="294"/>
      <c r="E206" s="298"/>
      <c r="F206" s="298" t="s">
        <v>440</v>
      </c>
      <c r="G206" s="295" t="s">
        <v>56</v>
      </c>
      <c r="H206" s="295"/>
      <c r="I206" s="295"/>
      <c r="J206" s="297"/>
    </row>
    <row r="207" spans="2:10" ht="18" hidden="1" customHeight="1" outlineLevel="1">
      <c r="B207" s="130"/>
      <c r="C207" s="294"/>
      <c r="D207" s="294"/>
      <c r="E207" s="298"/>
      <c r="F207" s="298"/>
      <c r="G207" s="298" t="s">
        <v>441</v>
      </c>
      <c r="H207" s="295" t="s">
        <v>524</v>
      </c>
      <c r="I207" s="295"/>
      <c r="J207" s="297"/>
    </row>
    <row r="208" spans="2:10" ht="18" hidden="1" customHeight="1" outlineLevel="1">
      <c r="B208" s="130"/>
      <c r="C208" s="294"/>
      <c r="D208" s="294"/>
      <c r="E208" s="298"/>
      <c r="F208" s="298"/>
      <c r="G208" s="298" t="s">
        <v>442</v>
      </c>
      <c r="H208" s="295" t="s">
        <v>525</v>
      </c>
      <c r="I208" s="295"/>
      <c r="J208" s="297"/>
    </row>
    <row r="209" spans="2:11" ht="18" hidden="1" customHeight="1" outlineLevel="1">
      <c r="B209" s="130"/>
      <c r="C209" s="300"/>
      <c r="D209" s="300"/>
      <c r="E209" s="301"/>
      <c r="F209" s="301" t="s">
        <v>443</v>
      </c>
      <c r="G209" s="297" t="s">
        <v>526</v>
      </c>
      <c r="H209" s="297"/>
      <c r="I209" s="297"/>
      <c r="J209" s="297"/>
    </row>
    <row r="210" spans="2:11" ht="18" hidden="1" customHeight="1" outlineLevel="1">
      <c r="B210" s="130"/>
      <c r="C210" s="300"/>
      <c r="D210" s="300"/>
      <c r="E210" s="301"/>
      <c r="F210" s="301" t="s">
        <v>444</v>
      </c>
      <c r="G210" s="297" t="s">
        <v>527</v>
      </c>
      <c r="H210" s="297"/>
      <c r="I210" s="297"/>
      <c r="J210" s="297"/>
    </row>
    <row r="211" spans="2:11" ht="18" hidden="1" customHeight="1" outlineLevel="1">
      <c r="B211" s="130"/>
      <c r="C211" s="300"/>
      <c r="D211" s="300"/>
      <c r="E211" s="301"/>
      <c r="F211" s="298" t="s">
        <v>445</v>
      </c>
      <c r="G211" s="295" t="s">
        <v>615</v>
      </c>
      <c r="H211" s="295"/>
      <c r="I211" s="295"/>
      <c r="J211" s="297"/>
    </row>
    <row r="212" spans="2:11" ht="18" hidden="1" customHeight="1" outlineLevel="1">
      <c r="B212" s="130"/>
      <c r="C212" s="300"/>
      <c r="D212" s="300"/>
      <c r="E212" s="301"/>
      <c r="F212" s="298" t="s">
        <v>446</v>
      </c>
      <c r="G212" s="295" t="s">
        <v>616</v>
      </c>
      <c r="H212" s="295"/>
      <c r="I212" s="295"/>
      <c r="J212" s="297"/>
    </row>
    <row r="213" spans="2:11" ht="18" hidden="1" customHeight="1" outlineLevel="1">
      <c r="B213" s="130"/>
      <c r="C213" s="300"/>
      <c r="D213" s="300"/>
      <c r="E213" s="301"/>
      <c r="F213" s="301" t="s">
        <v>447</v>
      </c>
      <c r="G213" s="297" t="s">
        <v>528</v>
      </c>
      <c r="H213" s="297"/>
      <c r="I213" s="297"/>
      <c r="J213" s="297"/>
    </row>
    <row r="214" spans="2:11" ht="18" hidden="1" customHeight="1" outlineLevel="1">
      <c r="B214" s="130"/>
      <c r="C214" s="300"/>
      <c r="D214" s="300"/>
      <c r="E214" s="301"/>
      <c r="F214" s="301" t="s">
        <v>607</v>
      </c>
      <c r="G214" s="297" t="s">
        <v>529</v>
      </c>
      <c r="H214" s="297"/>
      <c r="I214" s="297"/>
      <c r="J214" s="297"/>
    </row>
    <row r="215" spans="2:11" ht="18" hidden="1" customHeight="1" outlineLevel="1">
      <c r="B215" s="130"/>
      <c r="C215" s="300"/>
      <c r="D215" s="300"/>
      <c r="E215" s="301"/>
      <c r="F215" s="301"/>
      <c r="G215" s="298" t="s">
        <v>608</v>
      </c>
      <c r="H215" s="297" t="s">
        <v>530</v>
      </c>
      <c r="I215" s="297"/>
      <c r="J215" s="297"/>
    </row>
    <row r="216" spans="2:11" ht="18" hidden="1" customHeight="1" outlineLevel="1">
      <c r="B216" s="130"/>
      <c r="C216" s="300"/>
      <c r="D216" s="300"/>
      <c r="E216" s="301"/>
      <c r="F216" s="301"/>
      <c r="G216" s="298" t="s">
        <v>609</v>
      </c>
      <c r="H216" s="297" t="s">
        <v>531</v>
      </c>
      <c r="I216" s="297"/>
      <c r="J216" s="297"/>
    </row>
    <row r="217" spans="2:11" ht="18" hidden="1" customHeight="1" outlineLevel="1">
      <c r="B217" s="130"/>
      <c r="C217" s="300"/>
      <c r="D217" s="300"/>
      <c r="E217" s="301"/>
      <c r="F217" s="301"/>
      <c r="G217" s="298" t="s">
        <v>610</v>
      </c>
      <c r="H217" s="297" t="s">
        <v>532</v>
      </c>
      <c r="I217" s="297"/>
      <c r="J217" s="297"/>
    </row>
    <row r="218" spans="2:11" ht="18" hidden="1" customHeight="1" outlineLevel="1">
      <c r="B218" s="130"/>
      <c r="C218" s="300"/>
      <c r="D218" s="300"/>
      <c r="E218" s="301"/>
      <c r="F218" s="301" t="s">
        <v>611</v>
      </c>
      <c r="G218" s="297" t="s">
        <v>471</v>
      </c>
      <c r="H218" s="297"/>
      <c r="I218" s="297"/>
      <c r="J218" s="297"/>
    </row>
    <row r="219" spans="2:11" ht="18" hidden="1" customHeight="1" outlineLevel="1">
      <c r="B219" s="130"/>
      <c r="C219" s="300"/>
      <c r="D219" s="300"/>
      <c r="E219" s="301"/>
      <c r="F219" s="301"/>
      <c r="G219" s="301" t="s">
        <v>612</v>
      </c>
      <c r="H219" s="297" t="s">
        <v>533</v>
      </c>
      <c r="I219" s="297"/>
      <c r="J219" s="297"/>
    </row>
    <row r="220" spans="2:11" ht="18" hidden="1" customHeight="1" outlineLevel="1">
      <c r="B220" s="130"/>
      <c r="C220" s="300"/>
      <c r="D220" s="300"/>
      <c r="E220" s="301"/>
      <c r="F220" s="301"/>
      <c r="G220" s="301" t="s">
        <v>613</v>
      </c>
      <c r="H220" s="297" t="s">
        <v>534</v>
      </c>
      <c r="I220" s="297"/>
      <c r="J220" s="297"/>
    </row>
    <row r="221" spans="2:11" ht="18" hidden="1" customHeight="1" outlineLevel="1">
      <c r="B221" s="130"/>
      <c r="C221" s="300"/>
      <c r="D221" s="300"/>
      <c r="E221" s="301"/>
      <c r="F221" s="301"/>
      <c r="G221" s="301" t="s">
        <v>614</v>
      </c>
      <c r="H221" s="297" t="s">
        <v>535</v>
      </c>
      <c r="I221" s="297"/>
      <c r="J221" s="297"/>
    </row>
    <row r="222" spans="2:11" ht="18" customHeight="1">
      <c r="B222" s="130"/>
      <c r="C222" s="300"/>
      <c r="D222" s="300"/>
      <c r="E222" s="301"/>
      <c r="F222" s="301"/>
      <c r="G222" s="301"/>
      <c r="H222" s="297"/>
      <c r="I222" s="297"/>
      <c r="J222" s="297"/>
    </row>
    <row r="223" spans="2:11" ht="18" customHeight="1">
      <c r="B223" s="130"/>
      <c r="C223" s="309" t="s">
        <v>448</v>
      </c>
      <c r="D223" s="310" t="s">
        <v>536</v>
      </c>
      <c r="E223" s="310"/>
      <c r="F223" s="310"/>
      <c r="G223" s="311"/>
      <c r="H223" s="311"/>
      <c r="I223" s="311"/>
      <c r="J223" s="311"/>
      <c r="K223" s="312"/>
    </row>
    <row r="224" spans="2:11" ht="18" customHeight="1">
      <c r="B224" s="130"/>
      <c r="C224" s="302"/>
      <c r="D224" s="303"/>
      <c r="E224" s="301"/>
      <c r="F224" s="301"/>
      <c r="G224" s="297"/>
      <c r="H224" s="297"/>
      <c r="I224" s="297"/>
      <c r="J224" s="297"/>
    </row>
    <row r="225" spans="2:10" ht="18" customHeight="1">
      <c r="B225" s="130"/>
      <c r="C225" s="309" t="s">
        <v>449</v>
      </c>
      <c r="D225" s="310" t="s">
        <v>537</v>
      </c>
      <c r="E225" s="310"/>
      <c r="F225" s="310"/>
      <c r="G225" s="311"/>
      <c r="H225" s="311"/>
      <c r="I225" s="297"/>
      <c r="J225" s="297"/>
    </row>
  </sheetData>
  <hyperlinks>
    <hyperlink ref="D7" location="'Table 1.2'!A1" tooltip="Table 1.2" display=" Table 1.2. Evolution"/>
    <hyperlink ref="D10" location="'Table 2.1'!A1" tooltip="Table 2.1" display=" Table 2.1. Refunds, Partic. Local Administrations Share and Other Reductions. Month and Year-to-date"/>
    <hyperlink ref="D11" location="'Table 2.2'!A1" tooltip="Table 2.2" display=" Table 2.2. Refunds. Evolution"/>
    <hyperlink ref="D12" location="'Table 2.3'!A1" tooltip="Table 2.3" display=" Table 2.3. Local Administrations Share and Other Reductions. Evolution"/>
    <hyperlink ref="D13" location="'Table 2.4'!A1" tooltip="Table 2.4" display=" Table 2.4. Gross Receipts. Month and Year-to-date"/>
    <hyperlink ref="D16" location="'Table 3.1'!A1" tooltip="Table 3.1" display=" Table 3.1. Abstract. Month and Year-to-date"/>
    <hyperlink ref="D17" location="'Table 3.2'!A1" tooltip="Table 3.2" display=" Table 3.2. Evolution"/>
    <hyperlink ref="D6" location="'Table 1.1'!A1" tooltip="Table 1.1" display=" Table 1.1. Abstract. Month and Year-to-date"/>
    <hyperlink ref="C223:J223" location="Homogéneos!A1" tooltip="Vínculo a Ingresos homogéneos (ajustes)" display="5."/>
    <hyperlink ref="C225:H225" location="'Homogeneous Revenue (rates)'!A1" tooltip="Homogeneous Tax Revenue (rates)" display="6."/>
    <hyperlink ref="D21:G21" location="Total_Tax_Revenue" tooltip="Total Tax Revenue" display="4.1."/>
    <hyperlink ref="D31:I31" location="PIT" tooltip="PIT" display="4.2."/>
    <hyperlink ref="D70:H70" location="CT" tooltip="CT" display="4.3."/>
    <hyperlink ref="D103:I103" location="IRNR" tooltip="IRNR" display="4.4."/>
    <hyperlink ref="D112:H112" location="VAT" tooltip="VAT" display="4.5."/>
    <hyperlink ref="D140:G140" location="Excises_tax" tooltip="Excises Tax" display="4.6."/>
    <hyperlink ref="D202:H202" location="Other_revenue" tooltip="Other Revenue" display="4.7."/>
    <hyperlink ref="D202:G202" location="Other_revenue" tooltip="Rest of tax receipts" display="4.7."/>
    <hyperlink ref="D140:F140" location="Excises_tax" tooltip="Excise Taxes" display="4.6."/>
    <hyperlink ref="D103:H103" location="IRNR" tooltip="Non-Residents Income Tax" display="4.4."/>
    <hyperlink ref="C223:K223" location="Homogeneous!A1" tooltip="Total Tax Revenue and Homogeneous Tax Revenue (adjustments)" display="5."/>
    <hyperlink ref="D6:H6" location="'Table 1.1'!A1" tooltip="Table 1.1" display="Table 1.1. Abstract. Month and Year-to-date"/>
    <hyperlink ref="D7:F7" location="'Table 1.2'!A1" tooltip="Table 1.2" display="Table 1.2. Evolution"/>
    <hyperlink ref="D10:L10" location="'Table 2.1'!A1" tooltip="Table 2.1" display="Table 2.1. Refunds, Local Administrations Share and Other Reductions. Month and Year-to-date"/>
    <hyperlink ref="D11:G11" location="'Table 2.2'!A1" tooltip="Table 2.2" display="Table 2.2. Refunds. Evolution"/>
    <hyperlink ref="D12:J12" location="'Table 2.3'!A1" tooltip="Table 2.3" display="Table 2.3. Local Administrations Share and Other Reductions. Evolution"/>
    <hyperlink ref="D13:I13" location="'Table 2.4'!A1" tooltip="Table 2.4" display="Table 2.4. Gross Receipts. Month and Year-to-date"/>
    <hyperlink ref="D16:H16" location="'Table 3.1'!A1" tooltip="Table 3.1" display="Table 3.1. Abstract. Month and Year-to-date"/>
    <hyperlink ref="D17:F17" location="'Table 3.2'!A1" tooltip="Table 3.2" display="Table 3.2. Evolution"/>
    <hyperlink ref="C20:E20" location="Data!A1" tooltip="Tax Revenue" display="4."/>
    <hyperlink ref="C20:F20" location="Data!A1" tooltip="Tax Revenue" display="4."/>
  </hyperlinks>
  <pageMargins left="0.19685039370078741" right="0.19685039370078741" top="1.9685039370078741" bottom="0.39370078740157483" header="0.31496062992125984" footer="0.31496062992125984"/>
  <pageSetup paperSize="9" orientation="portrait" horizontalDpi="1200" verticalDpi="1200" r:id="rId1"/>
  <headerFooter>
    <oddHeader>&amp;L    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441"/>
  <sheetViews>
    <sheetView showGridLines="0" showRowColHeaders="0" zoomScaleNormal="100" workbookViewId="0">
      <pane xSplit="3" ySplit="7" topLeftCell="D347" activePane="bottomRight" state="frozen"/>
      <selection sqref="A1:C1"/>
      <selection pane="topRight" sqref="A1:C1"/>
      <selection pane="bottomLeft" sqref="A1:C1"/>
      <selection pane="bottomRight" activeCell="D357" sqref="D357"/>
    </sheetView>
  </sheetViews>
  <sheetFormatPr baseColWidth="10" defaultColWidth="9.36328125" defaultRowHeight="13.8"/>
  <cols>
    <col min="1" max="1" width="9.6328125" style="83" customWidth="1"/>
    <col min="2" max="2" width="4.90625" style="83" hidden="1" customWidth="1"/>
    <col min="3" max="3" width="11.36328125" style="83" customWidth="1"/>
    <col min="4" max="192" width="12" style="83" customWidth="1"/>
    <col min="193" max="16384" width="9.36328125" style="83"/>
  </cols>
  <sheetData>
    <row r="1" spans="1:197" ht="34.950000000000003" customHeight="1">
      <c r="A1" s="387" t="s">
        <v>617</v>
      </c>
      <c r="B1" s="387"/>
      <c r="C1" s="387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  <c r="GE1" s="82"/>
      <c r="GF1" s="82"/>
      <c r="GG1" s="82"/>
      <c r="GH1" s="82"/>
      <c r="GI1" s="82"/>
      <c r="GJ1" s="82"/>
    </row>
    <row r="2" spans="1:197">
      <c r="A2" s="376" t="s">
        <v>538</v>
      </c>
      <c r="B2" s="377"/>
      <c r="C2" s="378"/>
      <c r="D2" s="84" t="s">
        <v>458</v>
      </c>
      <c r="E2" s="85"/>
      <c r="F2" s="85"/>
      <c r="G2" s="85"/>
      <c r="H2" s="85"/>
      <c r="I2" s="85"/>
      <c r="J2" s="85"/>
      <c r="K2" s="85"/>
      <c r="L2" s="86" t="s">
        <v>53</v>
      </c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8" t="s">
        <v>54</v>
      </c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90" t="s">
        <v>497</v>
      </c>
      <c r="CB2" s="91"/>
      <c r="CC2" s="91"/>
      <c r="CD2" s="91"/>
      <c r="CE2" s="91"/>
      <c r="CF2" s="91"/>
      <c r="CG2" s="91"/>
      <c r="CH2" s="91"/>
      <c r="CI2" s="92" t="s">
        <v>85</v>
      </c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3" t="s">
        <v>61</v>
      </c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4" t="s">
        <v>580</v>
      </c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</row>
    <row r="3" spans="1:197">
      <c r="A3" s="379"/>
      <c r="B3" s="380"/>
      <c r="C3" s="381"/>
      <c r="D3" s="361" t="s">
        <v>539</v>
      </c>
      <c r="E3" s="361" t="s">
        <v>460</v>
      </c>
      <c r="F3" s="361" t="s">
        <v>486</v>
      </c>
      <c r="G3" s="357" t="s">
        <v>461</v>
      </c>
      <c r="H3" s="357"/>
      <c r="I3" s="357"/>
      <c r="J3" s="357"/>
      <c r="K3" s="357"/>
      <c r="L3" s="361" t="s">
        <v>539</v>
      </c>
      <c r="M3" s="361"/>
      <c r="N3" s="361"/>
      <c r="O3" s="361"/>
      <c r="P3" s="361"/>
      <c r="Q3" s="361"/>
      <c r="R3" s="361"/>
      <c r="S3" s="363" t="s">
        <v>460</v>
      </c>
      <c r="T3" s="363"/>
      <c r="U3" s="363"/>
      <c r="V3" s="363"/>
      <c r="W3" s="363"/>
      <c r="X3" s="363"/>
      <c r="Y3" s="363"/>
      <c r="Z3" s="363"/>
      <c r="AA3" s="363"/>
      <c r="AB3" s="363"/>
      <c r="AC3" s="361" t="s">
        <v>486</v>
      </c>
      <c r="AD3" s="370" t="s">
        <v>461</v>
      </c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61" t="s">
        <v>539</v>
      </c>
      <c r="AW3" s="361"/>
      <c r="AX3" s="361"/>
      <c r="AY3" s="361"/>
      <c r="AZ3" s="361"/>
      <c r="BA3" s="361"/>
      <c r="BB3" s="361"/>
      <c r="BC3" s="361"/>
      <c r="BD3" s="361"/>
      <c r="BE3" s="363" t="s">
        <v>460</v>
      </c>
      <c r="BF3" s="363"/>
      <c r="BG3" s="363"/>
      <c r="BH3" s="363"/>
      <c r="BI3" s="363"/>
      <c r="BJ3" s="363"/>
      <c r="BK3" s="363"/>
      <c r="BL3" s="363"/>
      <c r="BM3" s="363"/>
      <c r="BN3" s="370" t="s">
        <v>461</v>
      </c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61" t="s">
        <v>539</v>
      </c>
      <c r="CB3" s="363" t="s">
        <v>460</v>
      </c>
      <c r="CC3" s="363"/>
      <c r="CD3" s="363"/>
      <c r="CE3" s="375" t="s">
        <v>565</v>
      </c>
      <c r="CF3" s="375"/>
      <c r="CG3" s="375"/>
      <c r="CH3" s="375"/>
      <c r="CI3" s="363" t="s">
        <v>539</v>
      </c>
      <c r="CJ3" s="363"/>
      <c r="CK3" s="363"/>
      <c r="CL3" s="363"/>
      <c r="CM3" s="363"/>
      <c r="CN3" s="363"/>
      <c r="CO3" s="363"/>
      <c r="CP3" s="363"/>
      <c r="CQ3" s="363"/>
      <c r="CR3" s="363" t="s">
        <v>460</v>
      </c>
      <c r="CS3" s="363"/>
      <c r="CT3" s="363"/>
      <c r="CU3" s="363"/>
      <c r="CV3" s="363"/>
      <c r="CW3" s="363"/>
      <c r="CX3" s="363"/>
      <c r="CY3" s="363"/>
      <c r="CZ3" s="363"/>
      <c r="DA3" s="363"/>
      <c r="DB3" s="363"/>
      <c r="DC3" s="363"/>
      <c r="DD3" s="370" t="s">
        <v>575</v>
      </c>
      <c r="DE3" s="370"/>
      <c r="DF3" s="370"/>
      <c r="DG3" s="370"/>
      <c r="DH3" s="370"/>
      <c r="DI3" s="361" t="s">
        <v>539</v>
      </c>
      <c r="DJ3" s="361"/>
      <c r="DK3" s="361"/>
      <c r="DL3" s="361"/>
      <c r="DM3" s="361"/>
      <c r="DN3" s="361"/>
      <c r="DO3" s="361"/>
      <c r="DP3" s="361"/>
      <c r="DQ3" s="361"/>
      <c r="DR3" s="361"/>
      <c r="DS3" s="361" t="s">
        <v>460</v>
      </c>
      <c r="DT3" s="361"/>
      <c r="DU3" s="361"/>
      <c r="DV3" s="361"/>
      <c r="DW3" s="361"/>
      <c r="DX3" s="361"/>
      <c r="DY3" s="361"/>
      <c r="DZ3" s="361"/>
      <c r="EA3" s="361"/>
      <c r="EB3" s="361"/>
      <c r="EC3" s="361"/>
      <c r="ED3" s="361"/>
      <c r="EE3" s="361"/>
      <c r="EF3" s="370" t="s">
        <v>461</v>
      </c>
      <c r="EG3" s="370"/>
      <c r="EH3" s="370"/>
      <c r="EI3" s="370"/>
      <c r="EJ3" s="370"/>
      <c r="EK3" s="370"/>
      <c r="EL3" s="370"/>
      <c r="EM3" s="370"/>
      <c r="EN3" s="370"/>
      <c r="EO3" s="370"/>
      <c r="EP3" s="370"/>
      <c r="EQ3" s="370"/>
      <c r="ER3" s="370"/>
      <c r="ES3" s="370"/>
      <c r="ET3" s="370"/>
      <c r="EU3" s="370"/>
      <c r="EV3" s="370"/>
      <c r="EW3" s="370"/>
      <c r="EX3" s="370"/>
      <c r="EY3" s="370"/>
      <c r="EZ3" s="370"/>
      <c r="FA3" s="370"/>
      <c r="FB3" s="370"/>
      <c r="FC3" s="370"/>
      <c r="FD3" s="370"/>
      <c r="FE3" s="370"/>
      <c r="FF3" s="370"/>
      <c r="FG3" s="370"/>
      <c r="FH3" s="370"/>
      <c r="FI3" s="370"/>
      <c r="FJ3" s="370"/>
      <c r="FK3" s="370"/>
      <c r="FL3" s="370"/>
      <c r="FM3" s="370"/>
      <c r="FN3" s="370"/>
      <c r="FO3" s="370"/>
      <c r="FP3" s="370"/>
      <c r="FQ3" s="370"/>
      <c r="FR3" s="361" t="s">
        <v>539</v>
      </c>
      <c r="FS3" s="361" t="s">
        <v>460</v>
      </c>
      <c r="FT3" s="357" t="s">
        <v>461</v>
      </c>
      <c r="FU3" s="357"/>
      <c r="FV3" s="357"/>
      <c r="FW3" s="357"/>
      <c r="FX3" s="357"/>
      <c r="FY3" s="357"/>
      <c r="FZ3" s="357"/>
      <c r="GA3" s="357"/>
      <c r="GB3" s="357"/>
      <c r="GC3" s="357"/>
      <c r="GD3" s="357"/>
      <c r="GE3" s="357"/>
      <c r="GF3" s="357"/>
      <c r="GG3" s="357"/>
      <c r="GH3" s="357"/>
      <c r="GI3" s="357"/>
      <c r="GJ3" s="357"/>
      <c r="GL3"/>
      <c r="GM3"/>
      <c r="GN3"/>
      <c r="GO3"/>
    </row>
    <row r="4" spans="1:197" ht="15" customHeight="1">
      <c r="A4" s="379"/>
      <c r="B4" s="380"/>
      <c r="C4" s="381"/>
      <c r="D4" s="361"/>
      <c r="E4" s="361"/>
      <c r="F4" s="361"/>
      <c r="G4" s="357" t="s">
        <v>5</v>
      </c>
      <c r="H4" s="371" t="s">
        <v>540</v>
      </c>
      <c r="I4" s="371"/>
      <c r="J4" s="371"/>
      <c r="K4" s="371"/>
      <c r="L4" s="361" t="s">
        <v>5</v>
      </c>
      <c r="M4" s="355" t="s">
        <v>161</v>
      </c>
      <c r="N4" s="372" t="s">
        <v>123</v>
      </c>
      <c r="O4" s="373"/>
      <c r="P4" s="374"/>
      <c r="Q4" s="355" t="s">
        <v>541</v>
      </c>
      <c r="R4" s="355" t="s">
        <v>542</v>
      </c>
      <c r="S4" s="361" t="s">
        <v>5</v>
      </c>
      <c r="T4" s="355" t="s">
        <v>123</v>
      </c>
      <c r="U4" s="355"/>
      <c r="V4" s="355"/>
      <c r="W4" s="355"/>
      <c r="X4" s="355"/>
      <c r="Y4" s="355"/>
      <c r="Z4" s="355" t="s">
        <v>541</v>
      </c>
      <c r="AA4" s="355" t="s">
        <v>547</v>
      </c>
      <c r="AB4" s="355" t="s">
        <v>477</v>
      </c>
      <c r="AC4" s="361"/>
      <c r="AD4" s="357" t="s">
        <v>5</v>
      </c>
      <c r="AE4" s="362" t="s">
        <v>540</v>
      </c>
      <c r="AF4" s="362"/>
      <c r="AG4" s="362"/>
      <c r="AH4" s="362"/>
      <c r="AI4" s="362" t="s">
        <v>553</v>
      </c>
      <c r="AJ4" s="362"/>
      <c r="AK4" s="362"/>
      <c r="AL4" s="362"/>
      <c r="AM4" s="362"/>
      <c r="AN4" s="362"/>
      <c r="AO4" s="362"/>
      <c r="AP4" s="362"/>
      <c r="AQ4" s="362"/>
      <c r="AR4" s="362"/>
      <c r="AS4" s="362"/>
      <c r="AT4" s="362"/>
      <c r="AU4" s="362"/>
      <c r="AV4" s="361" t="s">
        <v>5</v>
      </c>
      <c r="AW4" s="355" t="s">
        <v>487</v>
      </c>
      <c r="AX4" s="367" t="s">
        <v>123</v>
      </c>
      <c r="AY4" s="368"/>
      <c r="AZ4" s="368"/>
      <c r="BA4" s="368"/>
      <c r="BB4" s="369"/>
      <c r="BC4" s="355" t="s">
        <v>541</v>
      </c>
      <c r="BD4" s="355" t="s">
        <v>471</v>
      </c>
      <c r="BE4" s="361" t="s">
        <v>5</v>
      </c>
      <c r="BF4" s="361" t="s">
        <v>555</v>
      </c>
      <c r="BG4" s="361"/>
      <c r="BH4" s="361"/>
      <c r="BI4" s="361"/>
      <c r="BJ4" s="361"/>
      <c r="BK4" s="361"/>
      <c r="BL4" s="355" t="s">
        <v>561</v>
      </c>
      <c r="BM4" s="355" t="s">
        <v>562</v>
      </c>
      <c r="BN4" s="370" t="s">
        <v>5</v>
      </c>
      <c r="BO4" s="355" t="s">
        <v>563</v>
      </c>
      <c r="BP4" s="355" t="s">
        <v>482</v>
      </c>
      <c r="BQ4" s="355" t="s">
        <v>483</v>
      </c>
      <c r="BR4" s="364" t="s">
        <v>484</v>
      </c>
      <c r="BS4" s="367" t="s">
        <v>487</v>
      </c>
      <c r="BT4" s="368"/>
      <c r="BU4" s="368"/>
      <c r="BV4" s="368"/>
      <c r="BW4" s="369"/>
      <c r="BX4" s="355" t="s">
        <v>123</v>
      </c>
      <c r="BY4" s="355" t="s">
        <v>541</v>
      </c>
      <c r="BZ4" s="355" t="s">
        <v>471</v>
      </c>
      <c r="CA4" s="361"/>
      <c r="CB4" s="361" t="s">
        <v>5</v>
      </c>
      <c r="CC4" s="355" t="s">
        <v>564</v>
      </c>
      <c r="CD4" s="355" t="s">
        <v>477</v>
      </c>
      <c r="CE4" s="357" t="s">
        <v>6</v>
      </c>
      <c r="CF4" s="355" t="s">
        <v>566</v>
      </c>
      <c r="CG4" s="355" t="s">
        <v>487</v>
      </c>
      <c r="CH4" s="355" t="s">
        <v>567</v>
      </c>
      <c r="CI4" s="363" t="s">
        <v>5</v>
      </c>
      <c r="CJ4" s="355" t="s">
        <v>501</v>
      </c>
      <c r="CK4" s="355" t="s">
        <v>502</v>
      </c>
      <c r="CL4" s="355"/>
      <c r="CM4" s="355"/>
      <c r="CN4" s="355"/>
      <c r="CO4" s="355"/>
      <c r="CP4" s="355"/>
      <c r="CQ4" s="355"/>
      <c r="CR4" s="361" t="s">
        <v>5</v>
      </c>
      <c r="CS4" s="355" t="s">
        <v>505</v>
      </c>
      <c r="CT4" s="355"/>
      <c r="CU4" s="355"/>
      <c r="CV4" s="355"/>
      <c r="CW4" s="355"/>
      <c r="CX4" s="355" t="s">
        <v>507</v>
      </c>
      <c r="CY4" s="355"/>
      <c r="CZ4" s="355"/>
      <c r="DA4" s="355"/>
      <c r="DB4" s="355" t="s">
        <v>573</v>
      </c>
      <c r="DC4" s="355" t="s">
        <v>574</v>
      </c>
      <c r="DD4" s="357" t="s">
        <v>5</v>
      </c>
      <c r="DE4" s="362" t="s">
        <v>540</v>
      </c>
      <c r="DF4" s="362"/>
      <c r="DG4" s="362"/>
      <c r="DH4" s="362"/>
      <c r="DI4" s="361" t="s">
        <v>5</v>
      </c>
      <c r="DJ4" s="355" t="s">
        <v>576</v>
      </c>
      <c r="DK4" s="355" t="s">
        <v>511</v>
      </c>
      <c r="DL4" s="355" t="s">
        <v>512</v>
      </c>
      <c r="DM4" s="355" t="s">
        <v>513</v>
      </c>
      <c r="DN4" s="355" t="s">
        <v>514</v>
      </c>
      <c r="DO4" s="355" t="s">
        <v>515</v>
      </c>
      <c r="DP4" s="355" t="s">
        <v>620</v>
      </c>
      <c r="DQ4" s="355" t="s">
        <v>516</v>
      </c>
      <c r="DR4" s="355" t="s">
        <v>517</v>
      </c>
      <c r="DS4" s="361" t="s">
        <v>5</v>
      </c>
      <c r="DT4" s="355" t="s">
        <v>576</v>
      </c>
      <c r="DU4" s="355" t="s">
        <v>511</v>
      </c>
      <c r="DV4" s="355" t="s">
        <v>512</v>
      </c>
      <c r="DW4" s="355" t="s">
        <v>513</v>
      </c>
      <c r="DX4" s="355"/>
      <c r="DY4" s="355"/>
      <c r="DZ4" s="355"/>
      <c r="EA4" s="355" t="s">
        <v>514</v>
      </c>
      <c r="EB4" s="355" t="s">
        <v>515</v>
      </c>
      <c r="EC4" s="355" t="s">
        <v>620</v>
      </c>
      <c r="ED4" s="355" t="s">
        <v>516</v>
      </c>
      <c r="EE4" s="355" t="s">
        <v>517</v>
      </c>
      <c r="EF4" s="357" t="s">
        <v>5</v>
      </c>
      <c r="EG4" s="362" t="s">
        <v>540</v>
      </c>
      <c r="EH4" s="362"/>
      <c r="EI4" s="362"/>
      <c r="EJ4" s="362"/>
      <c r="EK4" s="362" t="s">
        <v>577</v>
      </c>
      <c r="EL4" s="362"/>
      <c r="EM4" s="362"/>
      <c r="EN4" s="362"/>
      <c r="EO4" s="362"/>
      <c r="EP4" s="362"/>
      <c r="EQ4" s="362"/>
      <c r="ER4" s="362"/>
      <c r="ES4" s="362"/>
      <c r="ET4" s="362"/>
      <c r="EU4" s="362"/>
      <c r="EV4" s="362"/>
      <c r="EW4" s="362"/>
      <c r="EX4" s="362"/>
      <c r="EY4" s="362"/>
      <c r="EZ4" s="362"/>
      <c r="FA4" s="362"/>
      <c r="FB4" s="362"/>
      <c r="FC4" s="362"/>
      <c r="FD4" s="362"/>
      <c r="FE4" s="362"/>
      <c r="FF4" s="362"/>
      <c r="FG4" s="362"/>
      <c r="FH4" s="362"/>
      <c r="FI4" s="362"/>
      <c r="FJ4" s="362"/>
      <c r="FK4" s="362"/>
      <c r="FL4" s="362"/>
      <c r="FM4" s="362"/>
      <c r="FN4" s="362"/>
      <c r="FO4" s="362"/>
      <c r="FP4" s="362"/>
      <c r="FQ4" s="362"/>
      <c r="FR4" s="361"/>
      <c r="FS4" s="361"/>
      <c r="FT4" s="357" t="s">
        <v>5</v>
      </c>
      <c r="FU4" s="355" t="s">
        <v>56</v>
      </c>
      <c r="FV4" s="355"/>
      <c r="FW4" s="355"/>
      <c r="FX4" s="355" t="s">
        <v>526</v>
      </c>
      <c r="FY4" s="355" t="s">
        <v>579</v>
      </c>
      <c r="FZ4" s="358" t="s">
        <v>615</v>
      </c>
      <c r="GA4" s="358" t="s">
        <v>616</v>
      </c>
      <c r="GB4" s="355" t="s">
        <v>528</v>
      </c>
      <c r="GC4" s="355" t="s">
        <v>529</v>
      </c>
      <c r="GD4" s="355"/>
      <c r="GE4" s="355"/>
      <c r="GF4" s="355"/>
      <c r="GG4" s="355" t="s">
        <v>542</v>
      </c>
      <c r="GH4" s="355"/>
      <c r="GI4" s="355"/>
      <c r="GJ4" s="355"/>
      <c r="GL4"/>
      <c r="GM4"/>
      <c r="GN4"/>
      <c r="GO4"/>
    </row>
    <row r="5" spans="1:197" ht="15" customHeight="1">
      <c r="A5" s="379"/>
      <c r="B5" s="380"/>
      <c r="C5" s="381"/>
      <c r="D5" s="361"/>
      <c r="E5" s="361"/>
      <c r="F5" s="385"/>
      <c r="G5" s="357"/>
      <c r="H5" s="355" t="s">
        <v>521</v>
      </c>
      <c r="I5" s="355" t="s">
        <v>463</v>
      </c>
      <c r="J5" s="355"/>
      <c r="K5" s="355"/>
      <c r="L5" s="361"/>
      <c r="M5" s="367"/>
      <c r="N5" s="355" t="s">
        <v>7</v>
      </c>
      <c r="O5" s="355" t="s">
        <v>468</v>
      </c>
      <c r="P5" s="355" t="s">
        <v>469</v>
      </c>
      <c r="Q5" s="369"/>
      <c r="R5" s="355"/>
      <c r="S5" s="361"/>
      <c r="T5" s="355" t="s">
        <v>7</v>
      </c>
      <c r="U5" s="355" t="s">
        <v>543</v>
      </c>
      <c r="V5" s="355" t="s">
        <v>600</v>
      </c>
      <c r="W5" s="355" t="s">
        <v>545</v>
      </c>
      <c r="X5" s="355" t="s">
        <v>546</v>
      </c>
      <c r="Y5" s="355" t="s">
        <v>57</v>
      </c>
      <c r="Z5" s="355"/>
      <c r="AA5" s="355"/>
      <c r="AB5" s="355"/>
      <c r="AC5" s="385"/>
      <c r="AD5" s="357"/>
      <c r="AE5" s="355" t="s">
        <v>521</v>
      </c>
      <c r="AF5" s="355" t="s">
        <v>4</v>
      </c>
      <c r="AG5" s="355"/>
      <c r="AH5" s="355"/>
      <c r="AI5" s="355" t="s">
        <v>548</v>
      </c>
      <c r="AJ5" s="386" t="s">
        <v>549</v>
      </c>
      <c r="AK5" s="386"/>
      <c r="AL5" s="386"/>
      <c r="AM5" s="355" t="s">
        <v>550</v>
      </c>
      <c r="AN5" s="355" t="s">
        <v>482</v>
      </c>
      <c r="AO5" s="355" t="s">
        <v>483</v>
      </c>
      <c r="AP5" s="355" t="s">
        <v>484</v>
      </c>
      <c r="AQ5" s="355" t="s">
        <v>551</v>
      </c>
      <c r="AR5" s="355" t="s">
        <v>552</v>
      </c>
      <c r="AS5" s="355" t="s">
        <v>541</v>
      </c>
      <c r="AT5" s="355" t="s">
        <v>471</v>
      </c>
      <c r="AU5" s="355" t="s">
        <v>486</v>
      </c>
      <c r="AV5" s="361"/>
      <c r="AW5" s="355"/>
      <c r="AX5" s="355" t="s">
        <v>7</v>
      </c>
      <c r="AY5" s="355" t="s">
        <v>554</v>
      </c>
      <c r="AZ5" s="355" t="s">
        <v>489</v>
      </c>
      <c r="BA5" s="355" t="s">
        <v>490</v>
      </c>
      <c r="BB5" s="355" t="s">
        <v>469</v>
      </c>
      <c r="BC5" s="355"/>
      <c r="BD5" s="355"/>
      <c r="BE5" s="361"/>
      <c r="BF5" s="361" t="s">
        <v>9</v>
      </c>
      <c r="BG5" s="355" t="s">
        <v>556</v>
      </c>
      <c r="BH5" s="355" t="s">
        <v>541</v>
      </c>
      <c r="BI5" s="355" t="s">
        <v>557</v>
      </c>
      <c r="BJ5" s="355"/>
      <c r="BK5" s="355"/>
      <c r="BL5" s="355"/>
      <c r="BM5" s="355"/>
      <c r="BN5" s="370"/>
      <c r="BO5" s="355"/>
      <c r="BP5" s="355"/>
      <c r="BQ5" s="355"/>
      <c r="BR5" s="365"/>
      <c r="BS5" s="355" t="s">
        <v>5</v>
      </c>
      <c r="BT5" s="355" t="s">
        <v>488</v>
      </c>
      <c r="BU5" s="355" t="s">
        <v>489</v>
      </c>
      <c r="BV5" s="355" t="s">
        <v>490</v>
      </c>
      <c r="BW5" s="355" t="s">
        <v>469</v>
      </c>
      <c r="BX5" s="355"/>
      <c r="BY5" s="355"/>
      <c r="BZ5" s="355"/>
      <c r="CA5" s="361"/>
      <c r="CB5" s="361"/>
      <c r="CC5" s="355"/>
      <c r="CD5" s="355"/>
      <c r="CE5" s="357"/>
      <c r="CF5" s="355"/>
      <c r="CG5" s="355"/>
      <c r="CH5" s="355"/>
      <c r="CI5" s="363"/>
      <c r="CJ5" s="355"/>
      <c r="CK5" s="355" t="s">
        <v>5</v>
      </c>
      <c r="CL5" s="355" t="s">
        <v>479</v>
      </c>
      <c r="CM5" s="355" t="s">
        <v>480</v>
      </c>
      <c r="CN5" s="355" t="s">
        <v>471</v>
      </c>
      <c r="CO5" s="355"/>
      <c r="CP5" s="355"/>
      <c r="CQ5" s="355"/>
      <c r="CR5" s="361"/>
      <c r="CS5" s="355" t="s">
        <v>10</v>
      </c>
      <c r="CT5" s="355" t="s">
        <v>570</v>
      </c>
      <c r="CU5" s="355" t="s">
        <v>571</v>
      </c>
      <c r="CV5" s="355" t="s">
        <v>506</v>
      </c>
      <c r="CW5" s="355" t="s">
        <v>57</v>
      </c>
      <c r="CX5" s="355" t="s">
        <v>5</v>
      </c>
      <c r="CY5" s="355" t="s">
        <v>572</v>
      </c>
      <c r="CZ5" s="355" t="s">
        <v>570</v>
      </c>
      <c r="DA5" s="355" t="s">
        <v>57</v>
      </c>
      <c r="DB5" s="355"/>
      <c r="DC5" s="355"/>
      <c r="DD5" s="357"/>
      <c r="DE5" s="355" t="s">
        <v>521</v>
      </c>
      <c r="DF5" s="355" t="s">
        <v>4</v>
      </c>
      <c r="DG5" s="355"/>
      <c r="DH5" s="355"/>
      <c r="DI5" s="361"/>
      <c r="DJ5" s="355"/>
      <c r="DK5" s="355"/>
      <c r="DL5" s="355"/>
      <c r="DM5" s="355"/>
      <c r="DN5" s="355"/>
      <c r="DO5" s="355"/>
      <c r="DP5" s="355"/>
      <c r="DQ5" s="355"/>
      <c r="DR5" s="355"/>
      <c r="DS5" s="361"/>
      <c r="DT5" s="355"/>
      <c r="DU5" s="355"/>
      <c r="DV5" s="355"/>
      <c r="DW5" s="355" t="s">
        <v>5</v>
      </c>
      <c r="DX5" s="355" t="s">
        <v>518</v>
      </c>
      <c r="DY5" s="355" t="s">
        <v>519</v>
      </c>
      <c r="DZ5" s="355" t="s">
        <v>57</v>
      </c>
      <c r="EA5" s="355"/>
      <c r="EB5" s="355"/>
      <c r="EC5" s="355"/>
      <c r="ED5" s="355"/>
      <c r="EE5" s="355"/>
      <c r="EF5" s="357"/>
      <c r="EG5" s="355" t="s">
        <v>521</v>
      </c>
      <c r="EH5" s="355" t="s">
        <v>4</v>
      </c>
      <c r="EI5" s="355"/>
      <c r="EJ5" s="355"/>
      <c r="EK5" s="355" t="s">
        <v>576</v>
      </c>
      <c r="EL5" s="356"/>
      <c r="EM5" s="356"/>
      <c r="EN5" s="356"/>
      <c r="EO5" s="356"/>
      <c r="EP5" s="356" t="s">
        <v>511</v>
      </c>
      <c r="EQ5" s="356"/>
      <c r="ER5" s="356"/>
      <c r="ES5" s="356"/>
      <c r="ET5" s="356"/>
      <c r="EU5" s="355" t="s">
        <v>512</v>
      </c>
      <c r="EV5" s="356"/>
      <c r="EW5" s="356"/>
      <c r="EX5" s="356"/>
      <c r="EY5" s="356"/>
      <c r="EZ5" s="355" t="s">
        <v>513</v>
      </c>
      <c r="FA5" s="356"/>
      <c r="FB5" s="356"/>
      <c r="FC5" s="356"/>
      <c r="FD5" s="356"/>
      <c r="FE5" s="355" t="s">
        <v>514</v>
      </c>
      <c r="FF5" s="356"/>
      <c r="FG5" s="356"/>
      <c r="FH5" s="356"/>
      <c r="FI5" s="356"/>
      <c r="FJ5" s="355" t="s">
        <v>515</v>
      </c>
      <c r="FK5" s="356"/>
      <c r="FL5" s="356"/>
      <c r="FM5" s="356"/>
      <c r="FN5" s="356"/>
      <c r="FO5" s="355" t="s">
        <v>620</v>
      </c>
      <c r="FP5" s="355" t="s">
        <v>516</v>
      </c>
      <c r="FQ5" s="355" t="s">
        <v>517</v>
      </c>
      <c r="FR5" s="361"/>
      <c r="FS5" s="361"/>
      <c r="FT5" s="357"/>
      <c r="FU5" s="355" t="s">
        <v>5</v>
      </c>
      <c r="FV5" s="355" t="s">
        <v>578</v>
      </c>
      <c r="FW5" s="355" t="s">
        <v>525</v>
      </c>
      <c r="FX5" s="355"/>
      <c r="FY5" s="355"/>
      <c r="FZ5" s="359"/>
      <c r="GA5" s="359"/>
      <c r="GB5" s="355"/>
      <c r="GC5" s="355" t="s">
        <v>5</v>
      </c>
      <c r="GD5" s="355" t="s">
        <v>581</v>
      </c>
      <c r="GE5" s="355" t="s">
        <v>582</v>
      </c>
      <c r="GF5" s="355" t="s">
        <v>583</v>
      </c>
      <c r="GG5" s="355" t="s">
        <v>5</v>
      </c>
      <c r="GH5" s="355" t="s">
        <v>584</v>
      </c>
      <c r="GI5" s="355" t="s">
        <v>585</v>
      </c>
      <c r="GJ5" s="355" t="s">
        <v>586</v>
      </c>
      <c r="GL5"/>
      <c r="GM5"/>
      <c r="GN5"/>
      <c r="GO5"/>
    </row>
    <row r="6" spans="1:197">
      <c r="A6" s="379"/>
      <c r="B6" s="380"/>
      <c r="C6" s="381"/>
      <c r="D6" s="361"/>
      <c r="E6" s="361"/>
      <c r="F6" s="385"/>
      <c r="G6" s="357"/>
      <c r="H6" s="355"/>
      <c r="I6" s="355" t="s">
        <v>5</v>
      </c>
      <c r="J6" s="355" t="s">
        <v>464</v>
      </c>
      <c r="K6" s="355" t="s">
        <v>522</v>
      </c>
      <c r="L6" s="361"/>
      <c r="M6" s="367"/>
      <c r="N6" s="355"/>
      <c r="O6" s="355"/>
      <c r="P6" s="355"/>
      <c r="Q6" s="369"/>
      <c r="R6" s="355"/>
      <c r="S6" s="361"/>
      <c r="T6" s="355"/>
      <c r="U6" s="355"/>
      <c r="V6" s="355"/>
      <c r="W6" s="355"/>
      <c r="X6" s="355"/>
      <c r="Y6" s="355"/>
      <c r="Z6" s="355"/>
      <c r="AA6" s="355"/>
      <c r="AB6" s="355"/>
      <c r="AC6" s="385"/>
      <c r="AD6" s="357"/>
      <c r="AE6" s="355"/>
      <c r="AF6" s="355" t="s">
        <v>5</v>
      </c>
      <c r="AG6" s="355" t="s">
        <v>11</v>
      </c>
      <c r="AH6" s="355" t="s">
        <v>12</v>
      </c>
      <c r="AI6" s="355"/>
      <c r="AJ6" s="355" t="s">
        <v>478</v>
      </c>
      <c r="AK6" s="355" t="s">
        <v>479</v>
      </c>
      <c r="AL6" s="355" t="s">
        <v>480</v>
      </c>
      <c r="AM6" s="355"/>
      <c r="AN6" s="355"/>
      <c r="AO6" s="355"/>
      <c r="AP6" s="355"/>
      <c r="AQ6" s="355"/>
      <c r="AR6" s="355"/>
      <c r="AS6" s="355"/>
      <c r="AT6" s="355"/>
      <c r="AU6" s="355"/>
      <c r="AV6" s="361"/>
      <c r="AW6" s="355"/>
      <c r="AX6" s="355"/>
      <c r="AY6" s="355"/>
      <c r="AZ6" s="355"/>
      <c r="BA6" s="355"/>
      <c r="BB6" s="355"/>
      <c r="BC6" s="355"/>
      <c r="BD6" s="355"/>
      <c r="BE6" s="361"/>
      <c r="BF6" s="361"/>
      <c r="BG6" s="355"/>
      <c r="BH6" s="355"/>
      <c r="BI6" s="355" t="s">
        <v>558</v>
      </c>
      <c r="BJ6" s="355" t="s">
        <v>559</v>
      </c>
      <c r="BK6" s="355" t="s">
        <v>560</v>
      </c>
      <c r="BL6" s="355"/>
      <c r="BM6" s="355"/>
      <c r="BN6" s="370"/>
      <c r="BO6" s="355"/>
      <c r="BP6" s="355"/>
      <c r="BQ6" s="355"/>
      <c r="BR6" s="365"/>
      <c r="BS6" s="355"/>
      <c r="BT6" s="355"/>
      <c r="BU6" s="355"/>
      <c r="BV6" s="355"/>
      <c r="BW6" s="355"/>
      <c r="BX6" s="355"/>
      <c r="BY6" s="355"/>
      <c r="BZ6" s="355"/>
      <c r="CA6" s="361"/>
      <c r="CB6" s="361"/>
      <c r="CC6" s="355"/>
      <c r="CD6" s="355"/>
      <c r="CE6" s="357"/>
      <c r="CF6" s="355"/>
      <c r="CG6" s="355"/>
      <c r="CH6" s="355"/>
      <c r="CI6" s="363"/>
      <c r="CJ6" s="355"/>
      <c r="CK6" s="355"/>
      <c r="CL6" s="355"/>
      <c r="CM6" s="355"/>
      <c r="CN6" s="355" t="s">
        <v>5</v>
      </c>
      <c r="CO6" s="355" t="s">
        <v>568</v>
      </c>
      <c r="CP6" s="355" t="s">
        <v>569</v>
      </c>
      <c r="CQ6" s="355" t="s">
        <v>469</v>
      </c>
      <c r="CR6" s="361"/>
      <c r="CS6" s="355"/>
      <c r="CT6" s="355"/>
      <c r="CU6" s="355"/>
      <c r="CV6" s="355"/>
      <c r="CW6" s="355"/>
      <c r="CX6" s="355"/>
      <c r="CY6" s="355"/>
      <c r="CZ6" s="355"/>
      <c r="DA6" s="355"/>
      <c r="DB6" s="355"/>
      <c r="DC6" s="355"/>
      <c r="DD6" s="357"/>
      <c r="DE6" s="355"/>
      <c r="DF6" s="355" t="s">
        <v>5</v>
      </c>
      <c r="DG6" s="355" t="s">
        <v>11</v>
      </c>
      <c r="DH6" s="355" t="s">
        <v>12</v>
      </c>
      <c r="DI6" s="361"/>
      <c r="DJ6" s="355"/>
      <c r="DK6" s="355"/>
      <c r="DL6" s="355"/>
      <c r="DM6" s="355"/>
      <c r="DN6" s="355"/>
      <c r="DO6" s="355"/>
      <c r="DP6" s="355"/>
      <c r="DQ6" s="355"/>
      <c r="DR6" s="355"/>
      <c r="DS6" s="361"/>
      <c r="DT6" s="355"/>
      <c r="DU6" s="355"/>
      <c r="DV6" s="355"/>
      <c r="DW6" s="355"/>
      <c r="DX6" s="355"/>
      <c r="DY6" s="355"/>
      <c r="DZ6" s="355"/>
      <c r="EA6" s="355"/>
      <c r="EB6" s="355"/>
      <c r="EC6" s="355"/>
      <c r="ED6" s="355"/>
      <c r="EE6" s="355"/>
      <c r="EF6" s="357"/>
      <c r="EG6" s="355"/>
      <c r="EH6" s="355" t="s">
        <v>5</v>
      </c>
      <c r="EI6" s="355" t="s">
        <v>11</v>
      </c>
      <c r="EJ6" s="355" t="s">
        <v>12</v>
      </c>
      <c r="EK6" s="355" t="s">
        <v>5</v>
      </c>
      <c r="EL6" s="355" t="s">
        <v>521</v>
      </c>
      <c r="EM6" s="356" t="s">
        <v>4</v>
      </c>
      <c r="EN6" s="356"/>
      <c r="EO6" s="356"/>
      <c r="EP6" s="355" t="s">
        <v>5</v>
      </c>
      <c r="EQ6" s="355" t="s">
        <v>521</v>
      </c>
      <c r="ER6" s="356" t="s">
        <v>4</v>
      </c>
      <c r="ES6" s="356"/>
      <c r="ET6" s="356"/>
      <c r="EU6" s="355" t="s">
        <v>5</v>
      </c>
      <c r="EV6" s="355" t="s">
        <v>521</v>
      </c>
      <c r="EW6" s="356" t="s">
        <v>4</v>
      </c>
      <c r="EX6" s="356"/>
      <c r="EY6" s="356"/>
      <c r="EZ6" s="355" t="s">
        <v>5</v>
      </c>
      <c r="FA6" s="355" t="s">
        <v>521</v>
      </c>
      <c r="FB6" s="356" t="s">
        <v>4</v>
      </c>
      <c r="FC6" s="356"/>
      <c r="FD6" s="356"/>
      <c r="FE6" s="355" t="s">
        <v>5</v>
      </c>
      <c r="FF6" s="355" t="s">
        <v>521</v>
      </c>
      <c r="FG6" s="356" t="s">
        <v>4</v>
      </c>
      <c r="FH6" s="356"/>
      <c r="FI6" s="356"/>
      <c r="FJ6" s="355" t="s">
        <v>5</v>
      </c>
      <c r="FK6" s="355" t="s">
        <v>521</v>
      </c>
      <c r="FL6" s="356" t="s">
        <v>4</v>
      </c>
      <c r="FM6" s="356"/>
      <c r="FN6" s="356"/>
      <c r="FO6" s="355"/>
      <c r="FP6" s="355"/>
      <c r="FQ6" s="355"/>
      <c r="FR6" s="361"/>
      <c r="FS6" s="361"/>
      <c r="FT6" s="357"/>
      <c r="FU6" s="355"/>
      <c r="FV6" s="355"/>
      <c r="FW6" s="355"/>
      <c r="FX6" s="355"/>
      <c r="FY6" s="355"/>
      <c r="FZ6" s="359"/>
      <c r="GA6" s="359"/>
      <c r="GB6" s="355"/>
      <c r="GC6" s="355"/>
      <c r="GD6" s="355"/>
      <c r="GE6" s="355"/>
      <c r="GF6" s="355"/>
      <c r="GG6" s="355"/>
      <c r="GH6" s="355"/>
      <c r="GI6" s="355"/>
      <c r="GJ6" s="355"/>
      <c r="GL6"/>
      <c r="GM6"/>
      <c r="GN6"/>
      <c r="GO6"/>
    </row>
    <row r="7" spans="1:197" ht="46.5" customHeight="1">
      <c r="A7" s="382"/>
      <c r="B7" s="383"/>
      <c r="C7" s="384"/>
      <c r="D7" s="361"/>
      <c r="E7" s="361"/>
      <c r="F7" s="385"/>
      <c r="G7" s="357"/>
      <c r="H7" s="355"/>
      <c r="I7" s="355"/>
      <c r="J7" s="355"/>
      <c r="K7" s="355"/>
      <c r="L7" s="361"/>
      <c r="M7" s="367"/>
      <c r="N7" s="355"/>
      <c r="O7" s="355"/>
      <c r="P7" s="355"/>
      <c r="Q7" s="369"/>
      <c r="R7" s="355"/>
      <c r="S7" s="361"/>
      <c r="T7" s="355"/>
      <c r="U7" s="355"/>
      <c r="V7" s="355"/>
      <c r="W7" s="355"/>
      <c r="X7" s="355"/>
      <c r="Y7" s="355"/>
      <c r="Z7" s="355"/>
      <c r="AA7" s="355"/>
      <c r="AB7" s="355"/>
      <c r="AC7" s="385"/>
      <c r="AD7" s="357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61"/>
      <c r="AW7" s="355"/>
      <c r="AX7" s="355"/>
      <c r="AY7" s="355"/>
      <c r="AZ7" s="355"/>
      <c r="BA7" s="355"/>
      <c r="BB7" s="355"/>
      <c r="BC7" s="355"/>
      <c r="BD7" s="355"/>
      <c r="BE7" s="361"/>
      <c r="BF7" s="361"/>
      <c r="BG7" s="355"/>
      <c r="BH7" s="355"/>
      <c r="BI7" s="355"/>
      <c r="BJ7" s="355"/>
      <c r="BK7" s="355"/>
      <c r="BL7" s="355"/>
      <c r="BM7" s="355"/>
      <c r="BN7" s="370"/>
      <c r="BO7" s="355"/>
      <c r="BP7" s="355"/>
      <c r="BQ7" s="355"/>
      <c r="BR7" s="366"/>
      <c r="BS7" s="355"/>
      <c r="BT7" s="355"/>
      <c r="BU7" s="355"/>
      <c r="BV7" s="355"/>
      <c r="BW7" s="355"/>
      <c r="BX7" s="355"/>
      <c r="BY7" s="355"/>
      <c r="BZ7" s="355"/>
      <c r="CA7" s="361"/>
      <c r="CB7" s="361"/>
      <c r="CC7" s="355"/>
      <c r="CD7" s="355"/>
      <c r="CE7" s="357"/>
      <c r="CF7" s="355"/>
      <c r="CG7" s="355"/>
      <c r="CH7" s="355"/>
      <c r="CI7" s="363"/>
      <c r="CJ7" s="355"/>
      <c r="CK7" s="355"/>
      <c r="CL7" s="355"/>
      <c r="CM7" s="355"/>
      <c r="CN7" s="355"/>
      <c r="CO7" s="355"/>
      <c r="CP7" s="355"/>
      <c r="CQ7" s="355"/>
      <c r="CR7" s="361"/>
      <c r="CS7" s="355"/>
      <c r="CT7" s="355"/>
      <c r="CU7" s="355"/>
      <c r="CV7" s="355"/>
      <c r="CW7" s="355"/>
      <c r="CX7" s="355"/>
      <c r="CY7" s="355"/>
      <c r="CZ7" s="355"/>
      <c r="DA7" s="355"/>
      <c r="DB7" s="355"/>
      <c r="DC7" s="355"/>
      <c r="DD7" s="357"/>
      <c r="DE7" s="355"/>
      <c r="DF7" s="355"/>
      <c r="DG7" s="355"/>
      <c r="DH7" s="355"/>
      <c r="DI7" s="361"/>
      <c r="DJ7" s="355"/>
      <c r="DK7" s="355"/>
      <c r="DL7" s="355"/>
      <c r="DM7" s="355"/>
      <c r="DN7" s="355"/>
      <c r="DO7" s="355"/>
      <c r="DP7" s="355"/>
      <c r="DQ7" s="355"/>
      <c r="DR7" s="355"/>
      <c r="DS7" s="361"/>
      <c r="DT7" s="355"/>
      <c r="DU7" s="355"/>
      <c r="DV7" s="355"/>
      <c r="DW7" s="355"/>
      <c r="DX7" s="355"/>
      <c r="DY7" s="355"/>
      <c r="DZ7" s="355"/>
      <c r="EA7" s="355"/>
      <c r="EB7" s="355"/>
      <c r="EC7" s="355"/>
      <c r="ED7" s="355"/>
      <c r="EE7" s="355"/>
      <c r="EF7" s="357"/>
      <c r="EG7" s="355"/>
      <c r="EH7" s="355"/>
      <c r="EI7" s="355"/>
      <c r="EJ7" s="355"/>
      <c r="EK7" s="355"/>
      <c r="EL7" s="355"/>
      <c r="EM7" s="95" t="s">
        <v>5</v>
      </c>
      <c r="EN7" s="95" t="s">
        <v>11</v>
      </c>
      <c r="EO7" s="95" t="s">
        <v>12</v>
      </c>
      <c r="EP7" s="355"/>
      <c r="EQ7" s="355"/>
      <c r="ER7" s="95" t="s">
        <v>5</v>
      </c>
      <c r="ES7" s="95" t="s">
        <v>11</v>
      </c>
      <c r="ET7" s="95" t="s">
        <v>12</v>
      </c>
      <c r="EU7" s="355"/>
      <c r="EV7" s="355"/>
      <c r="EW7" s="95" t="s">
        <v>5</v>
      </c>
      <c r="EX7" s="95" t="s">
        <v>11</v>
      </c>
      <c r="EY7" s="95" t="s">
        <v>12</v>
      </c>
      <c r="EZ7" s="355"/>
      <c r="FA7" s="355"/>
      <c r="FB7" s="95" t="s">
        <v>5</v>
      </c>
      <c r="FC7" s="95" t="s">
        <v>11</v>
      </c>
      <c r="FD7" s="95" t="s">
        <v>12</v>
      </c>
      <c r="FE7" s="355"/>
      <c r="FF7" s="355"/>
      <c r="FG7" s="95" t="s">
        <v>5</v>
      </c>
      <c r="FH7" s="95" t="s">
        <v>11</v>
      </c>
      <c r="FI7" s="95" t="s">
        <v>12</v>
      </c>
      <c r="FJ7" s="355"/>
      <c r="FK7" s="355"/>
      <c r="FL7" s="95" t="s">
        <v>5</v>
      </c>
      <c r="FM7" s="95" t="s">
        <v>11</v>
      </c>
      <c r="FN7" s="95" t="s">
        <v>12</v>
      </c>
      <c r="FO7" s="355"/>
      <c r="FP7" s="355"/>
      <c r="FQ7" s="355"/>
      <c r="FR7" s="361"/>
      <c r="FS7" s="361"/>
      <c r="FT7" s="357"/>
      <c r="FU7" s="355"/>
      <c r="FV7" s="355"/>
      <c r="FW7" s="355"/>
      <c r="FX7" s="355"/>
      <c r="FY7" s="355"/>
      <c r="FZ7" s="360"/>
      <c r="GA7" s="360"/>
      <c r="GB7" s="355"/>
      <c r="GC7" s="355"/>
      <c r="GD7" s="355"/>
      <c r="GE7" s="355"/>
      <c r="GF7" s="355"/>
      <c r="GG7" s="355"/>
      <c r="GH7" s="355"/>
      <c r="GI7" s="355"/>
      <c r="GJ7" s="355"/>
      <c r="GL7"/>
      <c r="GM7"/>
      <c r="GN7"/>
      <c r="GO7"/>
    </row>
    <row r="8" spans="1:197">
      <c r="A8" s="96" t="s">
        <v>13</v>
      </c>
      <c r="B8" s="96">
        <v>1</v>
      </c>
      <c r="C8" s="97" t="s">
        <v>217</v>
      </c>
      <c r="D8" s="314">
        <v>7997475</v>
      </c>
      <c r="E8" s="314">
        <v>-1934531</v>
      </c>
      <c r="F8" s="314">
        <v>-9159</v>
      </c>
      <c r="G8" s="314">
        <v>6053785</v>
      </c>
      <c r="H8" s="314">
        <v>6053785</v>
      </c>
      <c r="I8" s="271"/>
      <c r="J8" s="314"/>
      <c r="K8" s="314"/>
      <c r="L8" s="314">
        <v>5157118</v>
      </c>
      <c r="M8" s="314"/>
      <c r="N8" s="314">
        <v>41018</v>
      </c>
      <c r="O8" s="314"/>
      <c r="P8" s="314"/>
      <c r="Q8" s="314"/>
      <c r="R8" s="314"/>
      <c r="S8" s="314">
        <v>-1297425</v>
      </c>
      <c r="T8" s="314">
        <v>-1243884</v>
      </c>
      <c r="U8" s="314"/>
      <c r="V8" s="314"/>
      <c r="W8" s="314"/>
      <c r="X8" s="314"/>
      <c r="Y8" s="314"/>
      <c r="Z8" s="314"/>
      <c r="AA8" s="314">
        <v>-1427</v>
      </c>
      <c r="AB8" s="314">
        <v>-52114</v>
      </c>
      <c r="AC8" s="314">
        <v>-9159</v>
      </c>
      <c r="AD8" s="314">
        <v>3850534</v>
      </c>
      <c r="AE8" s="314">
        <v>3850534</v>
      </c>
      <c r="AF8" s="271"/>
      <c r="AG8" s="314"/>
      <c r="AH8" s="314"/>
      <c r="AI8" s="314">
        <v>3484103</v>
      </c>
      <c r="AJ8" s="314"/>
      <c r="AK8" s="314"/>
      <c r="AL8" s="314"/>
      <c r="AM8" s="314">
        <v>854387</v>
      </c>
      <c r="AN8" s="314"/>
      <c r="AO8" s="314"/>
      <c r="AP8" s="314"/>
      <c r="AQ8" s="314">
        <v>724069</v>
      </c>
      <c r="AR8" s="314">
        <v>-1202866</v>
      </c>
      <c r="AS8" s="314"/>
      <c r="AT8" s="314"/>
      <c r="AU8" s="314">
        <v>-9159</v>
      </c>
      <c r="AV8" s="314">
        <v>607643</v>
      </c>
      <c r="AW8" s="314"/>
      <c r="AX8" s="314">
        <v>207673</v>
      </c>
      <c r="AY8" s="314"/>
      <c r="AZ8" s="314"/>
      <c r="BA8" s="314"/>
      <c r="BB8" s="314"/>
      <c r="BC8" s="314"/>
      <c r="BD8" s="314"/>
      <c r="BE8" s="314">
        <v>-252715</v>
      </c>
      <c r="BF8" s="314">
        <v>-230247</v>
      </c>
      <c r="BG8" s="314">
        <v>-230247</v>
      </c>
      <c r="BH8" s="314"/>
      <c r="BI8" s="314"/>
      <c r="BJ8" s="314"/>
      <c r="BK8" s="314"/>
      <c r="BL8" s="314">
        <v>-134</v>
      </c>
      <c r="BM8" s="314">
        <v>-22334</v>
      </c>
      <c r="BN8" s="314">
        <v>354928</v>
      </c>
      <c r="BO8" s="314">
        <v>363264</v>
      </c>
      <c r="BP8" s="314"/>
      <c r="BQ8" s="314"/>
      <c r="BR8" s="314"/>
      <c r="BS8" s="314">
        <v>14238</v>
      </c>
      <c r="BT8" s="314"/>
      <c r="BU8" s="314"/>
      <c r="BV8" s="314"/>
      <c r="BW8" s="314"/>
      <c r="BX8" s="314">
        <v>-22574</v>
      </c>
      <c r="BY8" s="314"/>
      <c r="BZ8" s="314"/>
      <c r="CA8" s="314"/>
      <c r="CB8" s="314"/>
      <c r="CC8" s="314"/>
      <c r="CD8" s="314"/>
      <c r="CE8" s="314"/>
      <c r="CF8" s="314"/>
      <c r="CG8" s="314"/>
      <c r="CH8" s="314"/>
      <c r="CI8" s="314">
        <v>840836</v>
      </c>
      <c r="CJ8" s="314">
        <v>455912</v>
      </c>
      <c r="CK8" s="314">
        <v>384924</v>
      </c>
      <c r="CL8" s="314">
        <v>66718</v>
      </c>
      <c r="CM8" s="314">
        <v>309696</v>
      </c>
      <c r="CN8" s="314">
        <v>8510</v>
      </c>
      <c r="CO8" s="314"/>
      <c r="CP8" s="314"/>
      <c r="CQ8" s="314">
        <v>8510</v>
      </c>
      <c r="CR8" s="314">
        <v>-379259</v>
      </c>
      <c r="CS8" s="314">
        <v>-35757</v>
      </c>
      <c r="CT8" s="314"/>
      <c r="CU8" s="314"/>
      <c r="CV8" s="314"/>
      <c r="CW8" s="314"/>
      <c r="CX8" s="314">
        <v>-343502</v>
      </c>
      <c r="CY8" s="314"/>
      <c r="CZ8" s="314"/>
      <c r="DA8" s="314"/>
      <c r="DB8" s="314">
        <v>0</v>
      </c>
      <c r="DC8" s="314">
        <v>0</v>
      </c>
      <c r="DD8" s="314">
        <v>461577</v>
      </c>
      <c r="DE8" s="314">
        <v>461577</v>
      </c>
      <c r="DF8" s="271"/>
      <c r="DG8" s="314"/>
      <c r="DH8" s="314"/>
      <c r="DI8" s="314">
        <v>1230027</v>
      </c>
      <c r="DJ8" s="314">
        <v>88713</v>
      </c>
      <c r="DK8" s="314">
        <v>15468</v>
      </c>
      <c r="DL8" s="314">
        <v>3380</v>
      </c>
      <c r="DM8" s="314">
        <v>666912</v>
      </c>
      <c r="DN8" s="314">
        <v>394954</v>
      </c>
      <c r="DO8" s="314"/>
      <c r="DP8" s="314"/>
      <c r="DQ8" s="314"/>
      <c r="DR8" s="314">
        <v>60600</v>
      </c>
      <c r="DS8" s="314">
        <v>-1288</v>
      </c>
      <c r="DT8" s="314">
        <v>-617</v>
      </c>
      <c r="DU8" s="314">
        <v>-16</v>
      </c>
      <c r="DV8" s="314">
        <v>-2</v>
      </c>
      <c r="DW8" s="314">
        <v>-510</v>
      </c>
      <c r="DX8" s="314"/>
      <c r="DY8" s="314"/>
      <c r="DZ8" s="314"/>
      <c r="EA8" s="314">
        <v>-59</v>
      </c>
      <c r="EB8" s="314"/>
      <c r="EC8" s="314"/>
      <c r="ED8" s="314"/>
      <c r="EE8" s="314">
        <v>-84</v>
      </c>
      <c r="EF8" s="314">
        <v>1228739</v>
      </c>
      <c r="EG8" s="314">
        <v>1228739</v>
      </c>
      <c r="EH8" s="271"/>
      <c r="EI8" s="314"/>
      <c r="EJ8" s="314"/>
      <c r="EK8" s="314">
        <v>88096</v>
      </c>
      <c r="EL8" s="314">
        <v>88096</v>
      </c>
      <c r="EM8" s="271"/>
      <c r="EN8" s="314"/>
      <c r="EO8" s="314"/>
      <c r="EP8" s="314">
        <v>15452</v>
      </c>
      <c r="EQ8" s="314">
        <v>15452</v>
      </c>
      <c r="ER8" s="271"/>
      <c r="ES8" s="314"/>
      <c r="ET8" s="314"/>
      <c r="EU8" s="314">
        <v>3378</v>
      </c>
      <c r="EV8" s="314">
        <v>3378</v>
      </c>
      <c r="EW8" s="271"/>
      <c r="EX8" s="314"/>
      <c r="EY8" s="314"/>
      <c r="EZ8" s="314">
        <v>666402</v>
      </c>
      <c r="FA8" s="314">
        <v>666402</v>
      </c>
      <c r="FB8" s="271"/>
      <c r="FC8" s="314"/>
      <c r="FD8" s="314"/>
      <c r="FE8" s="314">
        <v>394895</v>
      </c>
      <c r="FF8" s="314">
        <v>394895</v>
      </c>
      <c r="FG8" s="271"/>
      <c r="FH8" s="314"/>
      <c r="FI8" s="314"/>
      <c r="FJ8" s="314"/>
      <c r="FK8" s="314"/>
      <c r="FL8" s="271"/>
      <c r="FM8" s="314"/>
      <c r="FN8" s="314"/>
      <c r="FO8" s="314"/>
      <c r="FP8" s="314"/>
      <c r="FQ8" s="314">
        <v>60516</v>
      </c>
      <c r="FR8" s="314">
        <v>161851</v>
      </c>
      <c r="FS8" s="314">
        <v>-3844</v>
      </c>
      <c r="FT8" s="314">
        <v>158007</v>
      </c>
      <c r="FU8" s="314"/>
      <c r="FV8" s="314"/>
      <c r="FW8" s="314"/>
      <c r="FX8" s="314">
        <v>53286</v>
      </c>
      <c r="FY8" s="314"/>
      <c r="FZ8" s="314"/>
      <c r="GA8" s="314"/>
      <c r="GB8" s="314"/>
      <c r="GC8" s="314">
        <v>42540</v>
      </c>
      <c r="GD8" s="314"/>
      <c r="GE8" s="314"/>
      <c r="GF8" s="314"/>
      <c r="GG8" s="314">
        <v>62181</v>
      </c>
      <c r="GH8" s="314">
        <v>2007</v>
      </c>
      <c r="GI8" s="314">
        <v>22785</v>
      </c>
      <c r="GJ8" s="314">
        <v>37389</v>
      </c>
      <c r="GL8"/>
      <c r="GM8"/>
      <c r="GN8"/>
      <c r="GO8"/>
    </row>
    <row r="9" spans="1:197">
      <c r="A9" s="98" t="s">
        <v>13</v>
      </c>
      <c r="B9" s="98">
        <v>2</v>
      </c>
      <c r="C9" s="98" t="s">
        <v>218</v>
      </c>
      <c r="D9" s="315">
        <v>7691928</v>
      </c>
      <c r="E9" s="315">
        <v>-904325</v>
      </c>
      <c r="F9" s="315">
        <v>-9485</v>
      </c>
      <c r="G9" s="315">
        <v>6778118</v>
      </c>
      <c r="H9" s="315">
        <v>6778118</v>
      </c>
      <c r="I9" s="316"/>
      <c r="J9" s="315"/>
      <c r="K9" s="315"/>
      <c r="L9" s="315">
        <v>1640434</v>
      </c>
      <c r="M9" s="315"/>
      <c r="N9" s="315">
        <v>50059</v>
      </c>
      <c r="O9" s="315"/>
      <c r="P9" s="315"/>
      <c r="Q9" s="315"/>
      <c r="R9" s="315"/>
      <c r="S9" s="315">
        <v>-311295</v>
      </c>
      <c r="T9" s="315">
        <v>-183153</v>
      </c>
      <c r="U9" s="315"/>
      <c r="V9" s="315"/>
      <c r="W9" s="315"/>
      <c r="X9" s="315"/>
      <c r="Y9" s="315"/>
      <c r="Z9" s="315"/>
      <c r="AA9" s="315">
        <v>-9136</v>
      </c>
      <c r="AB9" s="315">
        <v>-119006</v>
      </c>
      <c r="AC9" s="315">
        <v>-9485</v>
      </c>
      <c r="AD9" s="315">
        <v>1319654</v>
      </c>
      <c r="AE9" s="315">
        <v>1319654</v>
      </c>
      <c r="AF9" s="316"/>
      <c r="AG9" s="315"/>
      <c r="AH9" s="315"/>
      <c r="AI9" s="315">
        <v>1085879</v>
      </c>
      <c r="AJ9" s="315"/>
      <c r="AK9" s="315"/>
      <c r="AL9" s="315"/>
      <c r="AM9" s="315">
        <v>357188</v>
      </c>
      <c r="AN9" s="315"/>
      <c r="AO9" s="315"/>
      <c r="AP9" s="315"/>
      <c r="AQ9" s="315">
        <v>19166</v>
      </c>
      <c r="AR9" s="315">
        <v>-133094</v>
      </c>
      <c r="AS9" s="315"/>
      <c r="AT9" s="315"/>
      <c r="AU9" s="315">
        <v>-9485</v>
      </c>
      <c r="AV9" s="315">
        <v>328228</v>
      </c>
      <c r="AW9" s="315"/>
      <c r="AX9" s="315">
        <v>122853</v>
      </c>
      <c r="AY9" s="315"/>
      <c r="AZ9" s="315"/>
      <c r="BA9" s="315"/>
      <c r="BB9" s="315"/>
      <c r="BC9" s="315"/>
      <c r="BD9" s="315"/>
      <c r="BE9" s="315">
        <v>-277887</v>
      </c>
      <c r="BF9" s="315">
        <v>-226864</v>
      </c>
      <c r="BG9" s="315">
        <v>-226864</v>
      </c>
      <c r="BH9" s="315"/>
      <c r="BI9" s="315"/>
      <c r="BJ9" s="315"/>
      <c r="BK9" s="315"/>
      <c r="BL9" s="315">
        <v>-21</v>
      </c>
      <c r="BM9" s="315">
        <v>-51002</v>
      </c>
      <c r="BN9" s="315">
        <v>50341</v>
      </c>
      <c r="BO9" s="315">
        <v>150241</v>
      </c>
      <c r="BP9" s="315"/>
      <c r="BQ9" s="315"/>
      <c r="BR9" s="315"/>
      <c r="BS9" s="315">
        <v>4111</v>
      </c>
      <c r="BT9" s="315"/>
      <c r="BU9" s="315"/>
      <c r="BV9" s="315"/>
      <c r="BW9" s="315"/>
      <c r="BX9" s="315">
        <v>-104011</v>
      </c>
      <c r="BY9" s="315"/>
      <c r="BZ9" s="315"/>
      <c r="CA9" s="315"/>
      <c r="CB9" s="315"/>
      <c r="CC9" s="315"/>
      <c r="CD9" s="315"/>
      <c r="CE9" s="315"/>
      <c r="CF9" s="315"/>
      <c r="CG9" s="315"/>
      <c r="CH9" s="315"/>
      <c r="CI9" s="315">
        <v>4792665</v>
      </c>
      <c r="CJ9" s="315">
        <v>391742</v>
      </c>
      <c r="CK9" s="315">
        <v>4400923</v>
      </c>
      <c r="CL9" s="315">
        <v>1732159</v>
      </c>
      <c r="CM9" s="315">
        <v>2661155</v>
      </c>
      <c r="CN9" s="315">
        <v>7609</v>
      </c>
      <c r="CO9" s="315"/>
      <c r="CP9" s="315"/>
      <c r="CQ9" s="315">
        <v>7609</v>
      </c>
      <c r="CR9" s="315">
        <v>-312967</v>
      </c>
      <c r="CS9" s="315">
        <v>-35684</v>
      </c>
      <c r="CT9" s="315"/>
      <c r="CU9" s="315"/>
      <c r="CV9" s="315"/>
      <c r="CW9" s="315"/>
      <c r="CX9" s="315">
        <v>-277283</v>
      </c>
      <c r="CY9" s="315"/>
      <c r="CZ9" s="315"/>
      <c r="DA9" s="315"/>
      <c r="DB9" s="315">
        <v>0</v>
      </c>
      <c r="DC9" s="315">
        <v>0</v>
      </c>
      <c r="DD9" s="315">
        <v>4479698</v>
      </c>
      <c r="DE9" s="315">
        <v>4479698</v>
      </c>
      <c r="DF9" s="316"/>
      <c r="DG9" s="315"/>
      <c r="DH9" s="315"/>
      <c r="DI9" s="315">
        <v>795522</v>
      </c>
      <c r="DJ9" s="315">
        <v>83307</v>
      </c>
      <c r="DK9" s="315">
        <v>12663</v>
      </c>
      <c r="DL9" s="315">
        <v>2898</v>
      </c>
      <c r="DM9" s="315">
        <v>596798</v>
      </c>
      <c r="DN9" s="315">
        <v>47522</v>
      </c>
      <c r="DO9" s="315"/>
      <c r="DP9" s="315"/>
      <c r="DQ9" s="315"/>
      <c r="DR9" s="315">
        <v>52334</v>
      </c>
      <c r="DS9" s="315">
        <v>-857</v>
      </c>
      <c r="DT9" s="315">
        <v>-463</v>
      </c>
      <c r="DU9" s="315">
        <v>0</v>
      </c>
      <c r="DV9" s="315">
        <v>-103</v>
      </c>
      <c r="DW9" s="315">
        <v>-233</v>
      </c>
      <c r="DX9" s="315"/>
      <c r="DY9" s="315"/>
      <c r="DZ9" s="315"/>
      <c r="EA9" s="315">
        <v>0</v>
      </c>
      <c r="EB9" s="315"/>
      <c r="EC9" s="315"/>
      <c r="ED9" s="315"/>
      <c r="EE9" s="315">
        <v>-58</v>
      </c>
      <c r="EF9" s="315">
        <v>794665</v>
      </c>
      <c r="EG9" s="315">
        <v>794665</v>
      </c>
      <c r="EH9" s="316"/>
      <c r="EI9" s="315"/>
      <c r="EJ9" s="315"/>
      <c r="EK9" s="315">
        <v>82844</v>
      </c>
      <c r="EL9" s="315">
        <v>82844</v>
      </c>
      <c r="EM9" s="316"/>
      <c r="EN9" s="315"/>
      <c r="EO9" s="315"/>
      <c r="EP9" s="315">
        <v>12663</v>
      </c>
      <c r="EQ9" s="315">
        <v>12663</v>
      </c>
      <c r="ER9" s="316"/>
      <c r="ES9" s="315"/>
      <c r="ET9" s="315"/>
      <c r="EU9" s="315">
        <v>2795</v>
      </c>
      <c r="EV9" s="315">
        <v>2795</v>
      </c>
      <c r="EW9" s="316"/>
      <c r="EX9" s="315"/>
      <c r="EY9" s="315"/>
      <c r="EZ9" s="315">
        <v>596565</v>
      </c>
      <c r="FA9" s="315">
        <v>596565</v>
      </c>
      <c r="FB9" s="316"/>
      <c r="FC9" s="315"/>
      <c r="FD9" s="315"/>
      <c r="FE9" s="315">
        <v>47522</v>
      </c>
      <c r="FF9" s="315">
        <v>47522</v>
      </c>
      <c r="FG9" s="316"/>
      <c r="FH9" s="315"/>
      <c r="FI9" s="315"/>
      <c r="FJ9" s="315"/>
      <c r="FK9" s="315"/>
      <c r="FL9" s="316"/>
      <c r="FM9" s="315"/>
      <c r="FN9" s="315"/>
      <c r="FO9" s="315"/>
      <c r="FP9" s="315"/>
      <c r="FQ9" s="315">
        <v>52276</v>
      </c>
      <c r="FR9" s="315">
        <v>135079</v>
      </c>
      <c r="FS9" s="315">
        <v>-1319</v>
      </c>
      <c r="FT9" s="315">
        <v>133760</v>
      </c>
      <c r="FU9" s="315"/>
      <c r="FV9" s="315"/>
      <c r="FW9" s="315"/>
      <c r="FX9" s="315">
        <v>49055</v>
      </c>
      <c r="FY9" s="315"/>
      <c r="FZ9" s="315"/>
      <c r="GA9" s="315"/>
      <c r="GB9" s="315"/>
      <c r="GC9" s="315">
        <v>18337</v>
      </c>
      <c r="GD9" s="315"/>
      <c r="GE9" s="315"/>
      <c r="GF9" s="315"/>
      <c r="GG9" s="315">
        <v>66368</v>
      </c>
      <c r="GH9" s="315">
        <v>1412</v>
      </c>
      <c r="GI9" s="315">
        <v>25385</v>
      </c>
      <c r="GJ9" s="315">
        <v>39571</v>
      </c>
      <c r="GL9"/>
      <c r="GM9"/>
      <c r="GN9"/>
      <c r="GO9"/>
    </row>
    <row r="10" spans="1:197">
      <c r="A10" s="98" t="s">
        <v>13</v>
      </c>
      <c r="B10" s="98">
        <v>3</v>
      </c>
      <c r="C10" s="98" t="s">
        <v>219</v>
      </c>
      <c r="D10" s="315">
        <v>4098834</v>
      </c>
      <c r="E10" s="315">
        <v>-722903</v>
      </c>
      <c r="F10" s="315">
        <v>-9489</v>
      </c>
      <c r="G10" s="315">
        <v>3366442</v>
      </c>
      <c r="H10" s="315">
        <v>3366442</v>
      </c>
      <c r="I10" s="316"/>
      <c r="J10" s="315"/>
      <c r="K10" s="315"/>
      <c r="L10" s="315">
        <v>1771367</v>
      </c>
      <c r="M10" s="315"/>
      <c r="N10" s="315">
        <v>46128</v>
      </c>
      <c r="O10" s="315"/>
      <c r="P10" s="315"/>
      <c r="Q10" s="315"/>
      <c r="R10" s="315"/>
      <c r="S10" s="315">
        <v>-84549</v>
      </c>
      <c r="T10" s="315">
        <v>-50792</v>
      </c>
      <c r="U10" s="315"/>
      <c r="V10" s="315"/>
      <c r="W10" s="315"/>
      <c r="X10" s="315"/>
      <c r="Y10" s="315"/>
      <c r="Z10" s="315"/>
      <c r="AA10" s="315">
        <v>-1146</v>
      </c>
      <c r="AB10" s="315">
        <v>-32611</v>
      </c>
      <c r="AC10" s="315">
        <v>-9489</v>
      </c>
      <c r="AD10" s="315">
        <v>1677329</v>
      </c>
      <c r="AE10" s="315">
        <v>1677329</v>
      </c>
      <c r="AF10" s="316"/>
      <c r="AG10" s="315"/>
      <c r="AH10" s="315"/>
      <c r="AI10" s="315">
        <v>1482625</v>
      </c>
      <c r="AJ10" s="315"/>
      <c r="AK10" s="315"/>
      <c r="AL10" s="315"/>
      <c r="AM10" s="315">
        <v>200852</v>
      </c>
      <c r="AN10" s="315"/>
      <c r="AO10" s="315"/>
      <c r="AP10" s="315"/>
      <c r="AQ10" s="315">
        <v>8005</v>
      </c>
      <c r="AR10" s="315">
        <v>-4664</v>
      </c>
      <c r="AS10" s="315"/>
      <c r="AT10" s="315"/>
      <c r="AU10" s="315">
        <v>-9489</v>
      </c>
      <c r="AV10" s="315">
        <v>188927</v>
      </c>
      <c r="AW10" s="315"/>
      <c r="AX10" s="315">
        <v>87300</v>
      </c>
      <c r="AY10" s="315"/>
      <c r="AZ10" s="315"/>
      <c r="BA10" s="315"/>
      <c r="BB10" s="315"/>
      <c r="BC10" s="315"/>
      <c r="BD10" s="315"/>
      <c r="BE10" s="315">
        <v>-161070</v>
      </c>
      <c r="BF10" s="315">
        <v>-147070</v>
      </c>
      <c r="BG10" s="315">
        <v>-147070</v>
      </c>
      <c r="BH10" s="315"/>
      <c r="BI10" s="315"/>
      <c r="BJ10" s="315"/>
      <c r="BK10" s="315"/>
      <c r="BL10" s="315">
        <v>-20</v>
      </c>
      <c r="BM10" s="315">
        <v>-13980</v>
      </c>
      <c r="BN10" s="315">
        <v>27857</v>
      </c>
      <c r="BO10" s="315">
        <v>83829</v>
      </c>
      <c r="BP10" s="315"/>
      <c r="BQ10" s="315"/>
      <c r="BR10" s="315"/>
      <c r="BS10" s="315">
        <v>3798</v>
      </c>
      <c r="BT10" s="315"/>
      <c r="BU10" s="315"/>
      <c r="BV10" s="315"/>
      <c r="BW10" s="315"/>
      <c r="BX10" s="315">
        <v>-59770</v>
      </c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  <c r="CI10" s="315">
        <v>1230351</v>
      </c>
      <c r="CJ10" s="315">
        <v>424995</v>
      </c>
      <c r="CK10" s="315">
        <v>805356</v>
      </c>
      <c r="CL10" s="315">
        <v>718450</v>
      </c>
      <c r="CM10" s="315">
        <v>77098</v>
      </c>
      <c r="CN10" s="315">
        <v>9808</v>
      </c>
      <c r="CO10" s="315"/>
      <c r="CP10" s="315"/>
      <c r="CQ10" s="315">
        <v>9808</v>
      </c>
      <c r="CR10" s="315">
        <v>-471032</v>
      </c>
      <c r="CS10" s="315">
        <v>-168339</v>
      </c>
      <c r="CT10" s="315"/>
      <c r="CU10" s="315"/>
      <c r="CV10" s="315"/>
      <c r="CW10" s="315"/>
      <c r="CX10" s="315">
        <v>-273322</v>
      </c>
      <c r="CY10" s="315"/>
      <c r="CZ10" s="315"/>
      <c r="DA10" s="315"/>
      <c r="DB10" s="315">
        <v>0</v>
      </c>
      <c r="DC10" s="315">
        <v>-29371</v>
      </c>
      <c r="DD10" s="315">
        <v>759319</v>
      </c>
      <c r="DE10" s="315">
        <v>759319</v>
      </c>
      <c r="DF10" s="316"/>
      <c r="DG10" s="315"/>
      <c r="DH10" s="315"/>
      <c r="DI10" s="315">
        <v>744040</v>
      </c>
      <c r="DJ10" s="315">
        <v>14808</v>
      </c>
      <c r="DK10" s="315">
        <v>9940</v>
      </c>
      <c r="DL10" s="315">
        <v>894</v>
      </c>
      <c r="DM10" s="315">
        <v>582289</v>
      </c>
      <c r="DN10" s="315">
        <v>73185</v>
      </c>
      <c r="DO10" s="315"/>
      <c r="DP10" s="315"/>
      <c r="DQ10" s="315"/>
      <c r="DR10" s="315">
        <v>62924</v>
      </c>
      <c r="DS10" s="315">
        <v>-3372</v>
      </c>
      <c r="DT10" s="315">
        <v>-504</v>
      </c>
      <c r="DU10" s="315">
        <v>-210</v>
      </c>
      <c r="DV10" s="315">
        <v>-65</v>
      </c>
      <c r="DW10" s="315">
        <v>-2523</v>
      </c>
      <c r="DX10" s="315"/>
      <c r="DY10" s="315"/>
      <c r="DZ10" s="315"/>
      <c r="EA10" s="315">
        <v>0</v>
      </c>
      <c r="EB10" s="315"/>
      <c r="EC10" s="315"/>
      <c r="ED10" s="315"/>
      <c r="EE10" s="315">
        <v>-70</v>
      </c>
      <c r="EF10" s="315">
        <v>740668</v>
      </c>
      <c r="EG10" s="315">
        <v>740668</v>
      </c>
      <c r="EH10" s="316"/>
      <c r="EI10" s="315"/>
      <c r="EJ10" s="315"/>
      <c r="EK10" s="315">
        <v>14304</v>
      </c>
      <c r="EL10" s="315">
        <v>14304</v>
      </c>
      <c r="EM10" s="316"/>
      <c r="EN10" s="315"/>
      <c r="EO10" s="315"/>
      <c r="EP10" s="315">
        <v>9730</v>
      </c>
      <c r="EQ10" s="315">
        <v>9730</v>
      </c>
      <c r="ER10" s="316"/>
      <c r="ES10" s="315"/>
      <c r="ET10" s="315"/>
      <c r="EU10" s="315">
        <v>829</v>
      </c>
      <c r="EV10" s="315">
        <v>829</v>
      </c>
      <c r="EW10" s="316"/>
      <c r="EX10" s="315"/>
      <c r="EY10" s="315"/>
      <c r="EZ10" s="315">
        <v>579766</v>
      </c>
      <c r="FA10" s="315">
        <v>579766</v>
      </c>
      <c r="FB10" s="316"/>
      <c r="FC10" s="315"/>
      <c r="FD10" s="315"/>
      <c r="FE10" s="315">
        <v>73185</v>
      </c>
      <c r="FF10" s="315">
        <v>73185</v>
      </c>
      <c r="FG10" s="316"/>
      <c r="FH10" s="315"/>
      <c r="FI10" s="315"/>
      <c r="FJ10" s="315"/>
      <c r="FK10" s="315"/>
      <c r="FL10" s="316"/>
      <c r="FM10" s="315"/>
      <c r="FN10" s="315"/>
      <c r="FO10" s="315"/>
      <c r="FP10" s="315"/>
      <c r="FQ10" s="315">
        <v>62854</v>
      </c>
      <c r="FR10" s="315">
        <v>164149</v>
      </c>
      <c r="FS10" s="315">
        <v>-2880</v>
      </c>
      <c r="FT10" s="315">
        <v>161269</v>
      </c>
      <c r="FU10" s="315"/>
      <c r="FV10" s="315"/>
      <c r="FW10" s="315"/>
      <c r="FX10" s="315">
        <v>67373</v>
      </c>
      <c r="FY10" s="315"/>
      <c r="FZ10" s="315"/>
      <c r="GA10" s="315"/>
      <c r="GB10" s="315"/>
      <c r="GC10" s="315">
        <v>21318</v>
      </c>
      <c r="GD10" s="315"/>
      <c r="GE10" s="315"/>
      <c r="GF10" s="315"/>
      <c r="GG10" s="315">
        <v>72578</v>
      </c>
      <c r="GH10" s="315">
        <v>1051</v>
      </c>
      <c r="GI10" s="315">
        <v>27233</v>
      </c>
      <c r="GJ10" s="315">
        <v>44294</v>
      </c>
      <c r="GL10"/>
      <c r="GM10"/>
      <c r="GN10"/>
      <c r="GO10"/>
    </row>
    <row r="11" spans="1:197">
      <c r="A11" s="98" t="s">
        <v>13</v>
      </c>
      <c r="B11" s="98">
        <v>4</v>
      </c>
      <c r="C11" s="98" t="s">
        <v>220</v>
      </c>
      <c r="D11" s="315">
        <v>9970087</v>
      </c>
      <c r="E11" s="315">
        <v>-871287</v>
      </c>
      <c r="F11" s="315">
        <v>-9478</v>
      </c>
      <c r="G11" s="315">
        <v>9089322</v>
      </c>
      <c r="H11" s="315">
        <v>9089322</v>
      </c>
      <c r="I11" s="316"/>
      <c r="J11" s="315"/>
      <c r="K11" s="315"/>
      <c r="L11" s="315">
        <v>4339425</v>
      </c>
      <c r="M11" s="315"/>
      <c r="N11" s="315">
        <v>55592</v>
      </c>
      <c r="O11" s="315"/>
      <c r="P11" s="315"/>
      <c r="Q11" s="315"/>
      <c r="R11" s="315"/>
      <c r="S11" s="315">
        <v>-53890</v>
      </c>
      <c r="T11" s="315">
        <v>-23804</v>
      </c>
      <c r="U11" s="315"/>
      <c r="V11" s="315"/>
      <c r="W11" s="315"/>
      <c r="X11" s="315"/>
      <c r="Y11" s="315"/>
      <c r="Z11" s="315"/>
      <c r="AA11" s="315">
        <v>-1093</v>
      </c>
      <c r="AB11" s="315">
        <v>-28993</v>
      </c>
      <c r="AC11" s="315">
        <v>-9478</v>
      </c>
      <c r="AD11" s="315">
        <v>4276057</v>
      </c>
      <c r="AE11" s="315">
        <v>4276057</v>
      </c>
      <c r="AF11" s="316"/>
      <c r="AG11" s="315"/>
      <c r="AH11" s="315"/>
      <c r="AI11" s="315">
        <v>3143221</v>
      </c>
      <c r="AJ11" s="315"/>
      <c r="AK11" s="315"/>
      <c r="AL11" s="315"/>
      <c r="AM11" s="315">
        <v>498594</v>
      </c>
      <c r="AN11" s="315"/>
      <c r="AO11" s="315"/>
      <c r="AP11" s="315"/>
      <c r="AQ11" s="315">
        <v>611932</v>
      </c>
      <c r="AR11" s="315">
        <v>31788</v>
      </c>
      <c r="AS11" s="315"/>
      <c r="AT11" s="315"/>
      <c r="AU11" s="315">
        <v>-9478</v>
      </c>
      <c r="AV11" s="315">
        <v>904311</v>
      </c>
      <c r="AW11" s="315"/>
      <c r="AX11" s="315">
        <v>154530</v>
      </c>
      <c r="AY11" s="315"/>
      <c r="AZ11" s="315"/>
      <c r="BA11" s="315"/>
      <c r="BB11" s="315"/>
      <c r="BC11" s="315"/>
      <c r="BD11" s="315"/>
      <c r="BE11" s="315">
        <v>-239105</v>
      </c>
      <c r="BF11" s="315">
        <v>-226621</v>
      </c>
      <c r="BG11" s="315">
        <v>-226621</v>
      </c>
      <c r="BH11" s="315"/>
      <c r="BI11" s="315"/>
      <c r="BJ11" s="315"/>
      <c r="BK11" s="315"/>
      <c r="BL11" s="315">
        <v>-61</v>
      </c>
      <c r="BM11" s="315">
        <v>-12423</v>
      </c>
      <c r="BN11" s="315">
        <v>665206</v>
      </c>
      <c r="BO11" s="315">
        <v>204428</v>
      </c>
      <c r="BP11" s="315"/>
      <c r="BQ11" s="315"/>
      <c r="BR11" s="315"/>
      <c r="BS11" s="315">
        <v>532869</v>
      </c>
      <c r="BT11" s="315"/>
      <c r="BU11" s="315"/>
      <c r="BV11" s="315"/>
      <c r="BW11" s="315"/>
      <c r="BX11" s="315">
        <v>-72091</v>
      </c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  <c r="CI11" s="315">
        <v>3634081</v>
      </c>
      <c r="CJ11" s="315">
        <v>448981</v>
      </c>
      <c r="CK11" s="315">
        <v>3185100</v>
      </c>
      <c r="CL11" s="315">
        <v>930072</v>
      </c>
      <c r="CM11" s="315">
        <v>2249570</v>
      </c>
      <c r="CN11" s="315">
        <v>5458</v>
      </c>
      <c r="CO11" s="315"/>
      <c r="CP11" s="315"/>
      <c r="CQ11" s="315">
        <v>5458</v>
      </c>
      <c r="CR11" s="315">
        <v>-574280</v>
      </c>
      <c r="CS11" s="315">
        <v>-216221</v>
      </c>
      <c r="CT11" s="315"/>
      <c r="CU11" s="315"/>
      <c r="CV11" s="315"/>
      <c r="CW11" s="315"/>
      <c r="CX11" s="315">
        <v>-232880</v>
      </c>
      <c r="CY11" s="315"/>
      <c r="CZ11" s="315"/>
      <c r="DA11" s="315"/>
      <c r="DB11" s="315">
        <v>-125179</v>
      </c>
      <c r="DC11" s="315">
        <v>0</v>
      </c>
      <c r="DD11" s="315">
        <v>3059801</v>
      </c>
      <c r="DE11" s="315">
        <v>3059801</v>
      </c>
      <c r="DF11" s="316"/>
      <c r="DG11" s="315"/>
      <c r="DH11" s="315"/>
      <c r="DI11" s="315">
        <v>930810</v>
      </c>
      <c r="DJ11" s="315">
        <v>29865</v>
      </c>
      <c r="DK11" s="315">
        <v>12357</v>
      </c>
      <c r="DL11" s="315">
        <v>1959</v>
      </c>
      <c r="DM11" s="315">
        <v>682934</v>
      </c>
      <c r="DN11" s="315">
        <v>142151</v>
      </c>
      <c r="DO11" s="315"/>
      <c r="DP11" s="315"/>
      <c r="DQ11" s="315"/>
      <c r="DR11" s="315">
        <v>61544</v>
      </c>
      <c r="DS11" s="315">
        <v>-1747</v>
      </c>
      <c r="DT11" s="315">
        <v>-1347</v>
      </c>
      <c r="DU11" s="315">
        <v>0</v>
      </c>
      <c r="DV11" s="315">
        <v>-66</v>
      </c>
      <c r="DW11" s="315">
        <v>-268</v>
      </c>
      <c r="DX11" s="315"/>
      <c r="DY11" s="315"/>
      <c r="DZ11" s="315"/>
      <c r="EA11" s="315">
        <v>0</v>
      </c>
      <c r="EB11" s="315"/>
      <c r="EC11" s="315"/>
      <c r="ED11" s="315"/>
      <c r="EE11" s="315">
        <v>-66</v>
      </c>
      <c r="EF11" s="315">
        <v>929063</v>
      </c>
      <c r="EG11" s="315">
        <v>929063</v>
      </c>
      <c r="EH11" s="316"/>
      <c r="EI11" s="315"/>
      <c r="EJ11" s="315"/>
      <c r="EK11" s="315">
        <v>28518</v>
      </c>
      <c r="EL11" s="315">
        <v>28518</v>
      </c>
      <c r="EM11" s="316"/>
      <c r="EN11" s="315"/>
      <c r="EO11" s="315"/>
      <c r="EP11" s="315">
        <v>12357</v>
      </c>
      <c r="EQ11" s="315">
        <v>12357</v>
      </c>
      <c r="ER11" s="316"/>
      <c r="ES11" s="315"/>
      <c r="ET11" s="315"/>
      <c r="EU11" s="315">
        <v>1893</v>
      </c>
      <c r="EV11" s="315">
        <v>1893</v>
      </c>
      <c r="EW11" s="316"/>
      <c r="EX11" s="315"/>
      <c r="EY11" s="315"/>
      <c r="EZ11" s="315">
        <v>682666</v>
      </c>
      <c r="FA11" s="315">
        <v>682666</v>
      </c>
      <c r="FB11" s="316"/>
      <c r="FC11" s="315"/>
      <c r="FD11" s="315"/>
      <c r="FE11" s="315">
        <v>142151</v>
      </c>
      <c r="FF11" s="315">
        <v>142151</v>
      </c>
      <c r="FG11" s="316"/>
      <c r="FH11" s="315"/>
      <c r="FI11" s="315"/>
      <c r="FJ11" s="315"/>
      <c r="FK11" s="315"/>
      <c r="FL11" s="316"/>
      <c r="FM11" s="315"/>
      <c r="FN11" s="315"/>
      <c r="FO11" s="315"/>
      <c r="FP11" s="315"/>
      <c r="FQ11" s="315">
        <v>61478</v>
      </c>
      <c r="FR11" s="315">
        <v>161460</v>
      </c>
      <c r="FS11" s="315">
        <v>-2265</v>
      </c>
      <c r="FT11" s="315">
        <v>159195</v>
      </c>
      <c r="FU11" s="315"/>
      <c r="FV11" s="315"/>
      <c r="FW11" s="315"/>
      <c r="FX11" s="315">
        <v>59957</v>
      </c>
      <c r="FY11" s="315"/>
      <c r="FZ11" s="315"/>
      <c r="GA11" s="315"/>
      <c r="GB11" s="315"/>
      <c r="GC11" s="315">
        <v>40803</v>
      </c>
      <c r="GD11" s="315"/>
      <c r="GE11" s="315"/>
      <c r="GF11" s="315"/>
      <c r="GG11" s="315">
        <v>58435</v>
      </c>
      <c r="GH11" s="315">
        <v>781</v>
      </c>
      <c r="GI11" s="315">
        <v>20920</v>
      </c>
      <c r="GJ11" s="315">
        <v>36734</v>
      </c>
      <c r="GL11"/>
      <c r="GM11"/>
      <c r="GN11"/>
      <c r="GO11"/>
    </row>
    <row r="12" spans="1:197">
      <c r="A12" s="98" t="s">
        <v>13</v>
      </c>
      <c r="B12" s="98">
        <v>5</v>
      </c>
      <c r="C12" s="98" t="s">
        <v>221</v>
      </c>
      <c r="D12" s="315">
        <v>4294201</v>
      </c>
      <c r="E12" s="315">
        <v>-1186325</v>
      </c>
      <c r="F12" s="315">
        <v>-9490</v>
      </c>
      <c r="G12" s="315">
        <v>3098386</v>
      </c>
      <c r="H12" s="315">
        <v>3098386</v>
      </c>
      <c r="I12" s="316"/>
      <c r="J12" s="315"/>
      <c r="K12" s="315"/>
      <c r="L12" s="315">
        <v>1595225</v>
      </c>
      <c r="M12" s="315"/>
      <c r="N12" s="315">
        <v>103678</v>
      </c>
      <c r="O12" s="315"/>
      <c r="P12" s="315"/>
      <c r="Q12" s="315"/>
      <c r="R12" s="315"/>
      <c r="S12" s="315">
        <v>-118767</v>
      </c>
      <c r="T12" s="315">
        <v>-17968</v>
      </c>
      <c r="U12" s="315"/>
      <c r="V12" s="315"/>
      <c r="W12" s="315"/>
      <c r="X12" s="315"/>
      <c r="Y12" s="315"/>
      <c r="Z12" s="315"/>
      <c r="AA12" s="315">
        <v>-4006</v>
      </c>
      <c r="AB12" s="315">
        <v>-96793</v>
      </c>
      <c r="AC12" s="315">
        <v>-9490</v>
      </c>
      <c r="AD12" s="315">
        <v>1466968</v>
      </c>
      <c r="AE12" s="315">
        <v>1466968</v>
      </c>
      <c r="AF12" s="316"/>
      <c r="AG12" s="315"/>
      <c r="AH12" s="315"/>
      <c r="AI12" s="315">
        <v>1132451</v>
      </c>
      <c r="AJ12" s="315"/>
      <c r="AK12" s="315"/>
      <c r="AL12" s="315"/>
      <c r="AM12" s="315">
        <v>249624</v>
      </c>
      <c r="AN12" s="315"/>
      <c r="AO12" s="315"/>
      <c r="AP12" s="315"/>
      <c r="AQ12" s="315">
        <v>8673</v>
      </c>
      <c r="AR12" s="315">
        <v>85710</v>
      </c>
      <c r="AS12" s="315"/>
      <c r="AT12" s="315"/>
      <c r="AU12" s="315">
        <v>-9490</v>
      </c>
      <c r="AV12" s="315">
        <v>301593</v>
      </c>
      <c r="AW12" s="315"/>
      <c r="AX12" s="315">
        <v>158457</v>
      </c>
      <c r="AY12" s="315"/>
      <c r="AZ12" s="315"/>
      <c r="BA12" s="315"/>
      <c r="BB12" s="315"/>
      <c r="BC12" s="315"/>
      <c r="BD12" s="315"/>
      <c r="BE12" s="315">
        <v>-301292</v>
      </c>
      <c r="BF12" s="315">
        <v>-259589</v>
      </c>
      <c r="BG12" s="315">
        <v>-259589</v>
      </c>
      <c r="BH12" s="315"/>
      <c r="BI12" s="315"/>
      <c r="BJ12" s="315"/>
      <c r="BK12" s="315"/>
      <c r="BL12" s="315">
        <v>-221</v>
      </c>
      <c r="BM12" s="315">
        <v>-41482</v>
      </c>
      <c r="BN12" s="315">
        <v>301</v>
      </c>
      <c r="BO12" s="315">
        <v>96721</v>
      </c>
      <c r="BP12" s="315"/>
      <c r="BQ12" s="315"/>
      <c r="BR12" s="315"/>
      <c r="BS12" s="315">
        <v>4712</v>
      </c>
      <c r="BT12" s="315"/>
      <c r="BU12" s="315"/>
      <c r="BV12" s="315"/>
      <c r="BW12" s="315"/>
      <c r="BX12" s="315">
        <v>-101132</v>
      </c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>
        <v>1354823</v>
      </c>
      <c r="CJ12" s="315">
        <v>462879</v>
      </c>
      <c r="CK12" s="315">
        <v>891944</v>
      </c>
      <c r="CL12" s="315">
        <v>805723</v>
      </c>
      <c r="CM12" s="315">
        <v>72200</v>
      </c>
      <c r="CN12" s="315">
        <v>14021</v>
      </c>
      <c r="CO12" s="315"/>
      <c r="CP12" s="315"/>
      <c r="CQ12" s="315">
        <v>14021</v>
      </c>
      <c r="CR12" s="315">
        <v>-759977</v>
      </c>
      <c r="CS12" s="315">
        <v>-334490</v>
      </c>
      <c r="CT12" s="315"/>
      <c r="CU12" s="315"/>
      <c r="CV12" s="315"/>
      <c r="CW12" s="315"/>
      <c r="CX12" s="315">
        <v>-425487</v>
      </c>
      <c r="CY12" s="315"/>
      <c r="CZ12" s="315"/>
      <c r="DA12" s="315"/>
      <c r="DB12" s="315">
        <v>0</v>
      </c>
      <c r="DC12" s="315">
        <v>0</v>
      </c>
      <c r="DD12" s="315">
        <v>594846</v>
      </c>
      <c r="DE12" s="315">
        <v>594846</v>
      </c>
      <c r="DF12" s="316"/>
      <c r="DG12" s="315"/>
      <c r="DH12" s="315"/>
      <c r="DI12" s="315">
        <v>886545</v>
      </c>
      <c r="DJ12" s="315">
        <v>26056</v>
      </c>
      <c r="DK12" s="315">
        <v>14472</v>
      </c>
      <c r="DL12" s="315">
        <v>1396</v>
      </c>
      <c r="DM12" s="315">
        <v>632099</v>
      </c>
      <c r="DN12" s="315">
        <v>152446</v>
      </c>
      <c r="DO12" s="315"/>
      <c r="DP12" s="315"/>
      <c r="DQ12" s="315"/>
      <c r="DR12" s="315">
        <v>60076</v>
      </c>
      <c r="DS12" s="315">
        <v>-1742</v>
      </c>
      <c r="DT12" s="315">
        <v>-856</v>
      </c>
      <c r="DU12" s="315">
        <v>-6</v>
      </c>
      <c r="DV12" s="315">
        <v>-80</v>
      </c>
      <c r="DW12" s="315">
        <v>-700</v>
      </c>
      <c r="DX12" s="315"/>
      <c r="DY12" s="315"/>
      <c r="DZ12" s="315"/>
      <c r="EA12" s="315">
        <v>-5</v>
      </c>
      <c r="EB12" s="315"/>
      <c r="EC12" s="315"/>
      <c r="ED12" s="315"/>
      <c r="EE12" s="315">
        <v>-95</v>
      </c>
      <c r="EF12" s="315">
        <v>884803</v>
      </c>
      <c r="EG12" s="315">
        <v>884803</v>
      </c>
      <c r="EH12" s="316"/>
      <c r="EI12" s="315"/>
      <c r="EJ12" s="315"/>
      <c r="EK12" s="315">
        <v>25200</v>
      </c>
      <c r="EL12" s="315">
        <v>25200</v>
      </c>
      <c r="EM12" s="316"/>
      <c r="EN12" s="315"/>
      <c r="EO12" s="315"/>
      <c r="EP12" s="315">
        <v>14466</v>
      </c>
      <c r="EQ12" s="315">
        <v>14466</v>
      </c>
      <c r="ER12" s="316"/>
      <c r="ES12" s="315"/>
      <c r="ET12" s="315"/>
      <c r="EU12" s="315">
        <v>1316</v>
      </c>
      <c r="EV12" s="315">
        <v>1316</v>
      </c>
      <c r="EW12" s="316"/>
      <c r="EX12" s="315"/>
      <c r="EY12" s="315"/>
      <c r="EZ12" s="315">
        <v>631399</v>
      </c>
      <c r="FA12" s="315">
        <v>631399</v>
      </c>
      <c r="FB12" s="316"/>
      <c r="FC12" s="315"/>
      <c r="FD12" s="315"/>
      <c r="FE12" s="315">
        <v>152441</v>
      </c>
      <c r="FF12" s="315">
        <v>152441</v>
      </c>
      <c r="FG12" s="316"/>
      <c r="FH12" s="315"/>
      <c r="FI12" s="315"/>
      <c r="FJ12" s="315"/>
      <c r="FK12" s="315"/>
      <c r="FL12" s="316"/>
      <c r="FM12" s="315"/>
      <c r="FN12" s="315"/>
      <c r="FO12" s="315"/>
      <c r="FP12" s="315"/>
      <c r="FQ12" s="315">
        <v>59981</v>
      </c>
      <c r="FR12" s="315">
        <v>156015</v>
      </c>
      <c r="FS12" s="315">
        <v>-4547</v>
      </c>
      <c r="FT12" s="315">
        <v>151468</v>
      </c>
      <c r="FU12" s="315"/>
      <c r="FV12" s="315"/>
      <c r="FW12" s="315"/>
      <c r="FX12" s="315">
        <v>76136</v>
      </c>
      <c r="FY12" s="315"/>
      <c r="FZ12" s="315"/>
      <c r="GA12" s="315"/>
      <c r="GB12" s="315"/>
      <c r="GC12" s="315">
        <v>18247</v>
      </c>
      <c r="GD12" s="315"/>
      <c r="GE12" s="315"/>
      <c r="GF12" s="315"/>
      <c r="GG12" s="315">
        <v>57085</v>
      </c>
      <c r="GH12" s="315">
        <v>1208</v>
      </c>
      <c r="GI12" s="315">
        <v>19558</v>
      </c>
      <c r="GJ12" s="315">
        <v>36319</v>
      </c>
      <c r="GL12"/>
      <c r="GM12"/>
      <c r="GN12"/>
      <c r="GO12"/>
    </row>
    <row r="13" spans="1:197">
      <c r="A13" s="98" t="s">
        <v>13</v>
      </c>
      <c r="B13" s="98">
        <v>6</v>
      </c>
      <c r="C13" s="98" t="s">
        <v>222</v>
      </c>
      <c r="D13" s="315">
        <v>7270666</v>
      </c>
      <c r="E13" s="315">
        <v>-764976</v>
      </c>
      <c r="F13" s="315">
        <v>-9483</v>
      </c>
      <c r="G13" s="315">
        <v>6496207</v>
      </c>
      <c r="H13" s="315">
        <v>6496207</v>
      </c>
      <c r="I13" s="316"/>
      <c r="J13" s="315"/>
      <c r="K13" s="315"/>
      <c r="L13" s="315">
        <v>4262616</v>
      </c>
      <c r="M13" s="315"/>
      <c r="N13" s="315">
        <v>2703189</v>
      </c>
      <c r="O13" s="315"/>
      <c r="P13" s="315"/>
      <c r="Q13" s="315"/>
      <c r="R13" s="315"/>
      <c r="S13" s="315">
        <v>-34887</v>
      </c>
      <c r="T13" s="315">
        <v>-9891</v>
      </c>
      <c r="U13" s="315"/>
      <c r="V13" s="315"/>
      <c r="W13" s="315"/>
      <c r="X13" s="315"/>
      <c r="Y13" s="315"/>
      <c r="Z13" s="315"/>
      <c r="AA13" s="315">
        <v>-4453</v>
      </c>
      <c r="AB13" s="315">
        <v>-20543</v>
      </c>
      <c r="AC13" s="315">
        <v>-9483</v>
      </c>
      <c r="AD13" s="315">
        <v>4218246</v>
      </c>
      <c r="AE13" s="315">
        <v>4218246</v>
      </c>
      <c r="AF13" s="316"/>
      <c r="AG13" s="315"/>
      <c r="AH13" s="315"/>
      <c r="AI13" s="315">
        <v>1212145</v>
      </c>
      <c r="AJ13" s="315"/>
      <c r="AK13" s="315"/>
      <c r="AL13" s="315"/>
      <c r="AM13" s="315">
        <v>313151</v>
      </c>
      <c r="AN13" s="315"/>
      <c r="AO13" s="315"/>
      <c r="AP13" s="315"/>
      <c r="AQ13" s="315">
        <v>9135</v>
      </c>
      <c r="AR13" s="315">
        <v>2693298</v>
      </c>
      <c r="AS13" s="315"/>
      <c r="AT13" s="315"/>
      <c r="AU13" s="315">
        <v>-9483</v>
      </c>
      <c r="AV13" s="315">
        <v>358298</v>
      </c>
      <c r="AW13" s="315"/>
      <c r="AX13" s="315">
        <v>213146</v>
      </c>
      <c r="AY13" s="315"/>
      <c r="AZ13" s="315"/>
      <c r="BA13" s="315"/>
      <c r="BB13" s="315"/>
      <c r="BC13" s="315"/>
      <c r="BD13" s="315"/>
      <c r="BE13" s="315">
        <v>-161881</v>
      </c>
      <c r="BF13" s="315">
        <v>-152864</v>
      </c>
      <c r="BG13" s="315">
        <v>-152864</v>
      </c>
      <c r="BH13" s="315"/>
      <c r="BI13" s="315"/>
      <c r="BJ13" s="315"/>
      <c r="BK13" s="315"/>
      <c r="BL13" s="315">
        <v>-212</v>
      </c>
      <c r="BM13" s="315">
        <v>-8805</v>
      </c>
      <c r="BN13" s="315">
        <v>196417</v>
      </c>
      <c r="BO13" s="315">
        <v>132060</v>
      </c>
      <c r="BP13" s="315"/>
      <c r="BQ13" s="315"/>
      <c r="BR13" s="315"/>
      <c r="BS13" s="315">
        <v>4075</v>
      </c>
      <c r="BT13" s="315"/>
      <c r="BU13" s="315"/>
      <c r="BV13" s="315"/>
      <c r="BW13" s="315"/>
      <c r="BX13" s="315">
        <v>60282</v>
      </c>
      <c r="BY13" s="315"/>
      <c r="BZ13" s="315"/>
      <c r="CA13" s="315"/>
      <c r="CB13" s="315"/>
      <c r="CC13" s="315"/>
      <c r="CD13" s="315"/>
      <c r="CE13" s="315"/>
      <c r="CF13" s="315"/>
      <c r="CG13" s="315"/>
      <c r="CH13" s="315"/>
      <c r="CI13" s="315">
        <v>1378104</v>
      </c>
      <c r="CJ13" s="315">
        <v>456795</v>
      </c>
      <c r="CK13" s="315">
        <v>921309</v>
      </c>
      <c r="CL13" s="315">
        <v>848587</v>
      </c>
      <c r="CM13" s="315">
        <v>60155</v>
      </c>
      <c r="CN13" s="315">
        <v>12567</v>
      </c>
      <c r="CO13" s="315"/>
      <c r="CP13" s="315"/>
      <c r="CQ13" s="315">
        <v>12567</v>
      </c>
      <c r="CR13" s="315">
        <v>-560307</v>
      </c>
      <c r="CS13" s="315">
        <v>-276978</v>
      </c>
      <c r="CT13" s="315"/>
      <c r="CU13" s="315"/>
      <c r="CV13" s="315"/>
      <c r="CW13" s="315"/>
      <c r="CX13" s="315">
        <v>-254234</v>
      </c>
      <c r="CY13" s="315"/>
      <c r="CZ13" s="315"/>
      <c r="DA13" s="315"/>
      <c r="DB13" s="315">
        <v>0</v>
      </c>
      <c r="DC13" s="315">
        <v>-29095</v>
      </c>
      <c r="DD13" s="315">
        <v>817797</v>
      </c>
      <c r="DE13" s="315">
        <v>817797</v>
      </c>
      <c r="DF13" s="316"/>
      <c r="DG13" s="315"/>
      <c r="DH13" s="315"/>
      <c r="DI13" s="315">
        <v>964260</v>
      </c>
      <c r="DJ13" s="315">
        <v>26040</v>
      </c>
      <c r="DK13" s="315">
        <v>15200</v>
      </c>
      <c r="DL13" s="315">
        <v>3222</v>
      </c>
      <c r="DM13" s="315">
        <v>653499</v>
      </c>
      <c r="DN13" s="315">
        <v>196654</v>
      </c>
      <c r="DO13" s="315"/>
      <c r="DP13" s="315"/>
      <c r="DQ13" s="315"/>
      <c r="DR13" s="315">
        <v>69645</v>
      </c>
      <c r="DS13" s="315">
        <v>-4047</v>
      </c>
      <c r="DT13" s="315">
        <v>-1801</v>
      </c>
      <c r="DU13" s="315">
        <v>-85</v>
      </c>
      <c r="DV13" s="315">
        <v>-85</v>
      </c>
      <c r="DW13" s="315">
        <v>-259</v>
      </c>
      <c r="DX13" s="315"/>
      <c r="DY13" s="315"/>
      <c r="DZ13" s="315"/>
      <c r="EA13" s="315">
        <v>-171</v>
      </c>
      <c r="EB13" s="315"/>
      <c r="EC13" s="315"/>
      <c r="ED13" s="315"/>
      <c r="EE13" s="315">
        <v>-1646</v>
      </c>
      <c r="EF13" s="315">
        <v>960213</v>
      </c>
      <c r="EG13" s="315">
        <v>960213</v>
      </c>
      <c r="EH13" s="316"/>
      <c r="EI13" s="315"/>
      <c r="EJ13" s="315"/>
      <c r="EK13" s="315">
        <v>24239</v>
      </c>
      <c r="EL13" s="315">
        <v>24239</v>
      </c>
      <c r="EM13" s="316"/>
      <c r="EN13" s="315"/>
      <c r="EO13" s="315"/>
      <c r="EP13" s="315">
        <v>15115</v>
      </c>
      <c r="EQ13" s="315">
        <v>15115</v>
      </c>
      <c r="ER13" s="316"/>
      <c r="ES13" s="315"/>
      <c r="ET13" s="315"/>
      <c r="EU13" s="315">
        <v>3137</v>
      </c>
      <c r="EV13" s="315">
        <v>3137</v>
      </c>
      <c r="EW13" s="316"/>
      <c r="EX13" s="315"/>
      <c r="EY13" s="315"/>
      <c r="EZ13" s="315">
        <v>653240</v>
      </c>
      <c r="FA13" s="315">
        <v>653240</v>
      </c>
      <c r="FB13" s="316"/>
      <c r="FC13" s="315"/>
      <c r="FD13" s="315"/>
      <c r="FE13" s="315">
        <v>196483</v>
      </c>
      <c r="FF13" s="315">
        <v>196483</v>
      </c>
      <c r="FG13" s="316"/>
      <c r="FH13" s="315"/>
      <c r="FI13" s="315"/>
      <c r="FJ13" s="315"/>
      <c r="FK13" s="315"/>
      <c r="FL13" s="316"/>
      <c r="FM13" s="315"/>
      <c r="FN13" s="315"/>
      <c r="FO13" s="315"/>
      <c r="FP13" s="315"/>
      <c r="FQ13" s="315">
        <v>67999</v>
      </c>
      <c r="FR13" s="315">
        <v>307388</v>
      </c>
      <c r="FS13" s="315">
        <v>-3854</v>
      </c>
      <c r="FT13" s="315">
        <v>303534</v>
      </c>
      <c r="FU13" s="315"/>
      <c r="FV13" s="315"/>
      <c r="FW13" s="315"/>
      <c r="FX13" s="315">
        <v>59440</v>
      </c>
      <c r="FY13" s="315"/>
      <c r="FZ13" s="315"/>
      <c r="GA13" s="315"/>
      <c r="GB13" s="315"/>
      <c r="GC13" s="315">
        <v>19779</v>
      </c>
      <c r="GD13" s="315"/>
      <c r="GE13" s="315"/>
      <c r="GF13" s="315"/>
      <c r="GG13" s="315">
        <v>224315</v>
      </c>
      <c r="GH13" s="315">
        <v>146923</v>
      </c>
      <c r="GI13" s="315">
        <v>38717</v>
      </c>
      <c r="GJ13" s="315">
        <v>38675</v>
      </c>
      <c r="GL13"/>
      <c r="GM13"/>
      <c r="GN13"/>
      <c r="GO13"/>
    </row>
    <row r="14" spans="1:197">
      <c r="A14" s="98" t="s">
        <v>13</v>
      </c>
      <c r="B14" s="98">
        <v>7</v>
      </c>
      <c r="C14" s="98" t="s">
        <v>223</v>
      </c>
      <c r="D14" s="315">
        <v>11199553</v>
      </c>
      <c r="E14" s="315">
        <v>-1244786</v>
      </c>
      <c r="F14" s="315">
        <v>-9483</v>
      </c>
      <c r="G14" s="315">
        <v>9945284</v>
      </c>
      <c r="H14" s="315">
        <v>9945284</v>
      </c>
      <c r="I14" s="316"/>
      <c r="J14" s="315"/>
      <c r="K14" s="315"/>
      <c r="L14" s="315">
        <v>4480272</v>
      </c>
      <c r="M14" s="315"/>
      <c r="N14" s="315">
        <v>59251</v>
      </c>
      <c r="O14" s="315"/>
      <c r="P14" s="315"/>
      <c r="Q14" s="315"/>
      <c r="R14" s="315"/>
      <c r="S14" s="315">
        <v>-320734</v>
      </c>
      <c r="T14" s="315">
        <v>-224241</v>
      </c>
      <c r="U14" s="315"/>
      <c r="V14" s="315"/>
      <c r="W14" s="315"/>
      <c r="X14" s="315"/>
      <c r="Y14" s="315"/>
      <c r="Z14" s="315"/>
      <c r="AA14" s="315">
        <v>-2278</v>
      </c>
      <c r="AB14" s="315">
        <v>-94215</v>
      </c>
      <c r="AC14" s="315">
        <v>-9483</v>
      </c>
      <c r="AD14" s="315">
        <v>4150055</v>
      </c>
      <c r="AE14" s="315">
        <v>4150055</v>
      </c>
      <c r="AF14" s="316"/>
      <c r="AG14" s="315"/>
      <c r="AH14" s="315"/>
      <c r="AI14" s="315">
        <v>3200828</v>
      </c>
      <c r="AJ14" s="315"/>
      <c r="AK14" s="315"/>
      <c r="AL14" s="315"/>
      <c r="AM14" s="315">
        <v>511539</v>
      </c>
      <c r="AN14" s="315"/>
      <c r="AO14" s="315"/>
      <c r="AP14" s="315"/>
      <c r="AQ14" s="315">
        <v>612161</v>
      </c>
      <c r="AR14" s="315">
        <v>-164990</v>
      </c>
      <c r="AS14" s="315"/>
      <c r="AT14" s="315"/>
      <c r="AU14" s="315">
        <v>-9483</v>
      </c>
      <c r="AV14" s="315">
        <v>1605941</v>
      </c>
      <c r="AW14" s="315"/>
      <c r="AX14" s="315">
        <v>1354569</v>
      </c>
      <c r="AY14" s="315"/>
      <c r="AZ14" s="315"/>
      <c r="BA14" s="315"/>
      <c r="BB14" s="315"/>
      <c r="BC14" s="315"/>
      <c r="BD14" s="315"/>
      <c r="BE14" s="315">
        <v>-153788</v>
      </c>
      <c r="BF14" s="315">
        <v>-113184</v>
      </c>
      <c r="BG14" s="315">
        <v>-113184</v>
      </c>
      <c r="BH14" s="315"/>
      <c r="BI14" s="315"/>
      <c r="BJ14" s="315"/>
      <c r="BK14" s="315"/>
      <c r="BL14" s="315">
        <v>-222</v>
      </c>
      <c r="BM14" s="315">
        <v>-40382</v>
      </c>
      <c r="BN14" s="315">
        <v>1452153</v>
      </c>
      <c r="BO14" s="315">
        <v>200413</v>
      </c>
      <c r="BP14" s="315"/>
      <c r="BQ14" s="315"/>
      <c r="BR14" s="315"/>
      <c r="BS14" s="315">
        <v>10355</v>
      </c>
      <c r="BT14" s="315"/>
      <c r="BU14" s="315"/>
      <c r="BV14" s="315"/>
      <c r="BW14" s="315"/>
      <c r="BX14" s="315">
        <v>1241385</v>
      </c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>
        <v>3890799</v>
      </c>
      <c r="CJ14" s="315">
        <v>452343</v>
      </c>
      <c r="CK14" s="315">
        <v>3438456</v>
      </c>
      <c r="CL14" s="315">
        <v>941479</v>
      </c>
      <c r="CM14" s="315">
        <v>2495162</v>
      </c>
      <c r="CN14" s="315">
        <v>1815</v>
      </c>
      <c r="CO14" s="315"/>
      <c r="CP14" s="315"/>
      <c r="CQ14" s="315">
        <v>1815</v>
      </c>
      <c r="CR14" s="315">
        <v>-763445</v>
      </c>
      <c r="CS14" s="315">
        <v>-236730</v>
      </c>
      <c r="CT14" s="315"/>
      <c r="CU14" s="315"/>
      <c r="CV14" s="315"/>
      <c r="CW14" s="315"/>
      <c r="CX14" s="315">
        <v>-391872</v>
      </c>
      <c r="CY14" s="315"/>
      <c r="CZ14" s="315"/>
      <c r="DA14" s="315"/>
      <c r="DB14" s="315">
        <v>-134843</v>
      </c>
      <c r="DC14" s="315">
        <v>0</v>
      </c>
      <c r="DD14" s="315">
        <v>3127354</v>
      </c>
      <c r="DE14" s="315">
        <v>3127354</v>
      </c>
      <c r="DF14" s="316"/>
      <c r="DG14" s="315"/>
      <c r="DH14" s="315"/>
      <c r="DI14" s="315">
        <v>1024107</v>
      </c>
      <c r="DJ14" s="315">
        <v>51768</v>
      </c>
      <c r="DK14" s="315">
        <v>19605</v>
      </c>
      <c r="DL14" s="315">
        <v>862</v>
      </c>
      <c r="DM14" s="315">
        <v>663852</v>
      </c>
      <c r="DN14" s="315">
        <v>210919</v>
      </c>
      <c r="DO14" s="315"/>
      <c r="DP14" s="315"/>
      <c r="DQ14" s="315"/>
      <c r="DR14" s="315">
        <v>77101</v>
      </c>
      <c r="DS14" s="315">
        <v>-3571</v>
      </c>
      <c r="DT14" s="315">
        <v>-2166</v>
      </c>
      <c r="DU14" s="315">
        <v>-60</v>
      </c>
      <c r="DV14" s="315">
        <v>-63</v>
      </c>
      <c r="DW14" s="315">
        <v>-377</v>
      </c>
      <c r="DX14" s="315"/>
      <c r="DY14" s="315"/>
      <c r="DZ14" s="315"/>
      <c r="EA14" s="315">
        <v>0</v>
      </c>
      <c r="EB14" s="315"/>
      <c r="EC14" s="315"/>
      <c r="ED14" s="315"/>
      <c r="EE14" s="315">
        <v>-905</v>
      </c>
      <c r="EF14" s="315">
        <v>1020536</v>
      </c>
      <c r="EG14" s="315">
        <v>1020536</v>
      </c>
      <c r="EH14" s="316"/>
      <c r="EI14" s="315"/>
      <c r="EJ14" s="315"/>
      <c r="EK14" s="315">
        <v>49602</v>
      </c>
      <c r="EL14" s="315">
        <v>49602</v>
      </c>
      <c r="EM14" s="316"/>
      <c r="EN14" s="315"/>
      <c r="EO14" s="315"/>
      <c r="EP14" s="315">
        <v>19545</v>
      </c>
      <c r="EQ14" s="315">
        <v>19545</v>
      </c>
      <c r="ER14" s="316"/>
      <c r="ES14" s="315"/>
      <c r="ET14" s="315"/>
      <c r="EU14" s="315">
        <v>799</v>
      </c>
      <c r="EV14" s="315">
        <v>799</v>
      </c>
      <c r="EW14" s="316"/>
      <c r="EX14" s="315"/>
      <c r="EY14" s="315"/>
      <c r="EZ14" s="315">
        <v>663475</v>
      </c>
      <c r="FA14" s="315">
        <v>663475</v>
      </c>
      <c r="FB14" s="316"/>
      <c r="FC14" s="315"/>
      <c r="FD14" s="315"/>
      <c r="FE14" s="315">
        <v>210919</v>
      </c>
      <c r="FF14" s="315">
        <v>210919</v>
      </c>
      <c r="FG14" s="316"/>
      <c r="FH14" s="315"/>
      <c r="FI14" s="315"/>
      <c r="FJ14" s="315"/>
      <c r="FK14" s="315"/>
      <c r="FL14" s="316"/>
      <c r="FM14" s="315"/>
      <c r="FN14" s="315"/>
      <c r="FO14" s="315"/>
      <c r="FP14" s="315"/>
      <c r="FQ14" s="315">
        <v>76196</v>
      </c>
      <c r="FR14" s="315">
        <v>198434</v>
      </c>
      <c r="FS14" s="315">
        <v>-3248</v>
      </c>
      <c r="FT14" s="315">
        <v>195186</v>
      </c>
      <c r="FU14" s="315"/>
      <c r="FV14" s="315"/>
      <c r="FW14" s="315"/>
      <c r="FX14" s="315">
        <v>67301</v>
      </c>
      <c r="FY14" s="315"/>
      <c r="FZ14" s="315"/>
      <c r="GA14" s="315"/>
      <c r="GB14" s="315"/>
      <c r="GC14" s="315">
        <v>43465</v>
      </c>
      <c r="GD14" s="315"/>
      <c r="GE14" s="315"/>
      <c r="GF14" s="315"/>
      <c r="GG14" s="315">
        <v>84420</v>
      </c>
      <c r="GH14" s="315">
        <v>18908</v>
      </c>
      <c r="GI14" s="315">
        <v>28399</v>
      </c>
      <c r="GJ14" s="315">
        <v>37113</v>
      </c>
      <c r="GL14"/>
      <c r="GM14"/>
      <c r="GN14"/>
      <c r="GO14"/>
    </row>
    <row r="15" spans="1:197">
      <c r="A15" s="98" t="s">
        <v>13</v>
      </c>
      <c r="B15" s="98">
        <v>8</v>
      </c>
      <c r="C15" s="98" t="s">
        <v>224</v>
      </c>
      <c r="D15" s="315">
        <v>4919802</v>
      </c>
      <c r="E15" s="315">
        <v>-833672</v>
      </c>
      <c r="F15" s="315">
        <v>-9478</v>
      </c>
      <c r="G15" s="315">
        <v>4076652</v>
      </c>
      <c r="H15" s="315">
        <v>4076652</v>
      </c>
      <c r="I15" s="316"/>
      <c r="J15" s="315"/>
      <c r="K15" s="315"/>
      <c r="L15" s="315">
        <v>1099493</v>
      </c>
      <c r="M15" s="315"/>
      <c r="N15" s="315">
        <v>36847</v>
      </c>
      <c r="O15" s="315"/>
      <c r="P15" s="315"/>
      <c r="Q15" s="315"/>
      <c r="R15" s="315"/>
      <c r="S15" s="315">
        <v>-292520</v>
      </c>
      <c r="T15" s="315">
        <v>-179287</v>
      </c>
      <c r="U15" s="315"/>
      <c r="V15" s="315"/>
      <c r="W15" s="315"/>
      <c r="X15" s="315"/>
      <c r="Y15" s="315"/>
      <c r="Z15" s="315"/>
      <c r="AA15" s="315">
        <v>-471</v>
      </c>
      <c r="AB15" s="315">
        <v>-112762</v>
      </c>
      <c r="AC15" s="315">
        <v>-9478</v>
      </c>
      <c r="AD15" s="315">
        <v>797495</v>
      </c>
      <c r="AE15" s="315">
        <v>797495</v>
      </c>
      <c r="AF15" s="316"/>
      <c r="AG15" s="315"/>
      <c r="AH15" s="315"/>
      <c r="AI15" s="315">
        <v>698761</v>
      </c>
      <c r="AJ15" s="315"/>
      <c r="AK15" s="315"/>
      <c r="AL15" s="315"/>
      <c r="AM15" s="315">
        <v>244251</v>
      </c>
      <c r="AN15" s="315"/>
      <c r="AO15" s="315"/>
      <c r="AP15" s="315"/>
      <c r="AQ15" s="315">
        <v>6401</v>
      </c>
      <c r="AR15" s="315">
        <v>-142440</v>
      </c>
      <c r="AS15" s="315"/>
      <c r="AT15" s="315"/>
      <c r="AU15" s="315">
        <v>-9478</v>
      </c>
      <c r="AV15" s="315">
        <v>2338022</v>
      </c>
      <c r="AW15" s="315"/>
      <c r="AX15" s="315">
        <v>2186514</v>
      </c>
      <c r="AY15" s="315"/>
      <c r="AZ15" s="315"/>
      <c r="BA15" s="315"/>
      <c r="BB15" s="315"/>
      <c r="BC15" s="315"/>
      <c r="BD15" s="315"/>
      <c r="BE15" s="315">
        <v>-84888</v>
      </c>
      <c r="BF15" s="315">
        <v>-36399</v>
      </c>
      <c r="BG15" s="315">
        <v>-36399</v>
      </c>
      <c r="BH15" s="315"/>
      <c r="BI15" s="315"/>
      <c r="BJ15" s="315"/>
      <c r="BK15" s="315"/>
      <c r="BL15" s="315">
        <v>-168</v>
      </c>
      <c r="BM15" s="315">
        <v>-48321</v>
      </c>
      <c r="BN15" s="315">
        <v>2253134</v>
      </c>
      <c r="BO15" s="315">
        <v>103350</v>
      </c>
      <c r="BP15" s="315"/>
      <c r="BQ15" s="315"/>
      <c r="BR15" s="315"/>
      <c r="BS15" s="315">
        <v>-331</v>
      </c>
      <c r="BT15" s="315"/>
      <c r="BU15" s="315"/>
      <c r="BV15" s="315"/>
      <c r="BW15" s="315"/>
      <c r="BX15" s="315">
        <v>2150115</v>
      </c>
      <c r="BY15" s="315"/>
      <c r="BZ15" s="315"/>
      <c r="CA15" s="315"/>
      <c r="CB15" s="315"/>
      <c r="CC15" s="315"/>
      <c r="CD15" s="315"/>
      <c r="CE15" s="315"/>
      <c r="CF15" s="315"/>
      <c r="CG15" s="315"/>
      <c r="CH15" s="315"/>
      <c r="CI15" s="315">
        <v>357153</v>
      </c>
      <c r="CJ15" s="315">
        <v>269279</v>
      </c>
      <c r="CK15" s="315">
        <v>87874</v>
      </c>
      <c r="CL15" s="315">
        <v>33657</v>
      </c>
      <c r="CM15" s="315">
        <v>27923</v>
      </c>
      <c r="CN15" s="315">
        <v>26294</v>
      </c>
      <c r="CO15" s="315"/>
      <c r="CP15" s="315"/>
      <c r="CQ15" s="315">
        <v>26294</v>
      </c>
      <c r="CR15" s="315">
        <v>-451644</v>
      </c>
      <c r="CS15" s="315">
        <v>-196316</v>
      </c>
      <c r="CT15" s="315"/>
      <c r="CU15" s="315"/>
      <c r="CV15" s="315"/>
      <c r="CW15" s="315"/>
      <c r="CX15" s="315">
        <v>-255328</v>
      </c>
      <c r="CY15" s="315"/>
      <c r="CZ15" s="315"/>
      <c r="DA15" s="315"/>
      <c r="DB15" s="315">
        <v>0</v>
      </c>
      <c r="DC15" s="315">
        <v>0</v>
      </c>
      <c r="DD15" s="315">
        <v>-94491</v>
      </c>
      <c r="DE15" s="315">
        <v>-94491</v>
      </c>
      <c r="DF15" s="316"/>
      <c r="DG15" s="315"/>
      <c r="DH15" s="315"/>
      <c r="DI15" s="315">
        <v>1000709</v>
      </c>
      <c r="DJ15" s="315">
        <v>39252</v>
      </c>
      <c r="DK15" s="315">
        <v>18905</v>
      </c>
      <c r="DL15" s="315">
        <v>1662</v>
      </c>
      <c r="DM15" s="315">
        <v>672950</v>
      </c>
      <c r="DN15" s="315">
        <v>212872</v>
      </c>
      <c r="DO15" s="315"/>
      <c r="DP15" s="315"/>
      <c r="DQ15" s="315"/>
      <c r="DR15" s="315">
        <v>55068</v>
      </c>
      <c r="DS15" s="315">
        <v>-4020</v>
      </c>
      <c r="DT15" s="315">
        <v>-1268</v>
      </c>
      <c r="DU15" s="315">
        <v>-9</v>
      </c>
      <c r="DV15" s="315">
        <v>-21</v>
      </c>
      <c r="DW15" s="315">
        <v>-333</v>
      </c>
      <c r="DX15" s="315"/>
      <c r="DY15" s="315"/>
      <c r="DZ15" s="315"/>
      <c r="EA15" s="315">
        <v>0</v>
      </c>
      <c r="EB15" s="315"/>
      <c r="EC15" s="315"/>
      <c r="ED15" s="315"/>
      <c r="EE15" s="315">
        <v>-2389</v>
      </c>
      <c r="EF15" s="315">
        <v>996689</v>
      </c>
      <c r="EG15" s="315">
        <v>996689</v>
      </c>
      <c r="EH15" s="316"/>
      <c r="EI15" s="315"/>
      <c r="EJ15" s="315"/>
      <c r="EK15" s="315">
        <v>37984</v>
      </c>
      <c r="EL15" s="315">
        <v>37984</v>
      </c>
      <c r="EM15" s="316"/>
      <c r="EN15" s="315"/>
      <c r="EO15" s="315"/>
      <c r="EP15" s="315">
        <v>18896</v>
      </c>
      <c r="EQ15" s="315">
        <v>18896</v>
      </c>
      <c r="ER15" s="316"/>
      <c r="ES15" s="315"/>
      <c r="ET15" s="315"/>
      <c r="EU15" s="315">
        <v>1641</v>
      </c>
      <c r="EV15" s="315">
        <v>1641</v>
      </c>
      <c r="EW15" s="316"/>
      <c r="EX15" s="315"/>
      <c r="EY15" s="315"/>
      <c r="EZ15" s="315">
        <v>672617</v>
      </c>
      <c r="FA15" s="315">
        <v>672617</v>
      </c>
      <c r="FB15" s="316"/>
      <c r="FC15" s="315"/>
      <c r="FD15" s="315"/>
      <c r="FE15" s="315">
        <v>212872</v>
      </c>
      <c r="FF15" s="315">
        <v>212872</v>
      </c>
      <c r="FG15" s="316"/>
      <c r="FH15" s="315"/>
      <c r="FI15" s="315"/>
      <c r="FJ15" s="315"/>
      <c r="FK15" s="315"/>
      <c r="FL15" s="316"/>
      <c r="FM15" s="315"/>
      <c r="FN15" s="315"/>
      <c r="FO15" s="315"/>
      <c r="FP15" s="315"/>
      <c r="FQ15" s="315">
        <v>52679</v>
      </c>
      <c r="FR15" s="315">
        <v>124425</v>
      </c>
      <c r="FS15" s="315">
        <v>-600</v>
      </c>
      <c r="FT15" s="315">
        <v>123825</v>
      </c>
      <c r="FU15" s="315"/>
      <c r="FV15" s="315"/>
      <c r="FW15" s="315"/>
      <c r="FX15" s="315">
        <v>62692</v>
      </c>
      <c r="FY15" s="315"/>
      <c r="FZ15" s="315"/>
      <c r="GA15" s="315"/>
      <c r="GB15" s="315"/>
      <c r="GC15" s="315">
        <v>16023</v>
      </c>
      <c r="GD15" s="315"/>
      <c r="GE15" s="315"/>
      <c r="GF15" s="315"/>
      <c r="GG15" s="315">
        <v>45110</v>
      </c>
      <c r="GH15" s="315">
        <v>-1070</v>
      </c>
      <c r="GI15" s="315">
        <v>21695</v>
      </c>
      <c r="GJ15" s="315">
        <v>24485</v>
      </c>
      <c r="GL15"/>
      <c r="GM15"/>
      <c r="GN15"/>
      <c r="GO15"/>
    </row>
    <row r="16" spans="1:197">
      <c r="A16" s="98" t="s">
        <v>13</v>
      </c>
      <c r="B16" s="98">
        <v>9</v>
      </c>
      <c r="C16" s="98" t="s">
        <v>225</v>
      </c>
      <c r="D16" s="315">
        <v>6449870</v>
      </c>
      <c r="E16" s="315">
        <v>-1398700</v>
      </c>
      <c r="F16" s="315">
        <v>-9490</v>
      </c>
      <c r="G16" s="315">
        <v>5041680</v>
      </c>
      <c r="H16" s="315">
        <v>5041680</v>
      </c>
      <c r="I16" s="316"/>
      <c r="J16" s="315"/>
      <c r="K16" s="315"/>
      <c r="L16" s="315">
        <v>2737122</v>
      </c>
      <c r="M16" s="315"/>
      <c r="N16" s="315">
        <v>42069</v>
      </c>
      <c r="O16" s="315"/>
      <c r="P16" s="315"/>
      <c r="Q16" s="315"/>
      <c r="R16" s="315"/>
      <c r="S16" s="315">
        <v>-806136</v>
      </c>
      <c r="T16" s="315">
        <v>-601473</v>
      </c>
      <c r="U16" s="315"/>
      <c r="V16" s="315"/>
      <c r="W16" s="315"/>
      <c r="X16" s="315"/>
      <c r="Y16" s="315"/>
      <c r="Z16" s="315"/>
      <c r="AA16" s="315">
        <v>-1467</v>
      </c>
      <c r="AB16" s="315">
        <v>-203196</v>
      </c>
      <c r="AC16" s="315">
        <v>-9490</v>
      </c>
      <c r="AD16" s="315">
        <v>1921496</v>
      </c>
      <c r="AE16" s="315">
        <v>1921496</v>
      </c>
      <c r="AF16" s="316"/>
      <c r="AG16" s="315"/>
      <c r="AH16" s="315"/>
      <c r="AI16" s="315">
        <v>2043742</v>
      </c>
      <c r="AJ16" s="315"/>
      <c r="AK16" s="315"/>
      <c r="AL16" s="315"/>
      <c r="AM16" s="315">
        <v>438444</v>
      </c>
      <c r="AN16" s="315"/>
      <c r="AO16" s="315"/>
      <c r="AP16" s="315"/>
      <c r="AQ16" s="315">
        <v>8204</v>
      </c>
      <c r="AR16" s="315">
        <v>-559404</v>
      </c>
      <c r="AS16" s="315"/>
      <c r="AT16" s="315"/>
      <c r="AU16" s="315">
        <v>-9490</v>
      </c>
      <c r="AV16" s="315">
        <v>350887</v>
      </c>
      <c r="AW16" s="315"/>
      <c r="AX16" s="315">
        <v>97033</v>
      </c>
      <c r="AY16" s="315"/>
      <c r="AZ16" s="315"/>
      <c r="BA16" s="315"/>
      <c r="BB16" s="315"/>
      <c r="BC16" s="315"/>
      <c r="BD16" s="315"/>
      <c r="BE16" s="315">
        <v>-137804</v>
      </c>
      <c r="BF16" s="315">
        <v>-51224</v>
      </c>
      <c r="BG16" s="315">
        <v>-51224</v>
      </c>
      <c r="BH16" s="315"/>
      <c r="BI16" s="315"/>
      <c r="BJ16" s="315"/>
      <c r="BK16" s="315"/>
      <c r="BL16" s="315">
        <v>-10</v>
      </c>
      <c r="BM16" s="315">
        <v>-86570</v>
      </c>
      <c r="BN16" s="315">
        <v>213083</v>
      </c>
      <c r="BO16" s="315">
        <v>170459</v>
      </c>
      <c r="BP16" s="315"/>
      <c r="BQ16" s="315"/>
      <c r="BR16" s="315"/>
      <c r="BS16" s="315">
        <v>-3185</v>
      </c>
      <c r="BT16" s="315"/>
      <c r="BU16" s="315"/>
      <c r="BV16" s="315"/>
      <c r="BW16" s="315"/>
      <c r="BX16" s="315">
        <v>45809</v>
      </c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>
        <v>2219861</v>
      </c>
      <c r="CJ16" s="315">
        <v>604779</v>
      </c>
      <c r="CK16" s="315">
        <v>1615082</v>
      </c>
      <c r="CL16" s="315">
        <v>1573143</v>
      </c>
      <c r="CM16" s="315">
        <v>58196</v>
      </c>
      <c r="CN16" s="315">
        <v>-16257</v>
      </c>
      <c r="CO16" s="315"/>
      <c r="CP16" s="315"/>
      <c r="CQ16" s="315">
        <v>-16257</v>
      </c>
      <c r="CR16" s="315">
        <v>-451245</v>
      </c>
      <c r="CS16" s="315">
        <v>-233066</v>
      </c>
      <c r="CT16" s="315"/>
      <c r="CU16" s="315"/>
      <c r="CV16" s="315"/>
      <c r="CW16" s="315"/>
      <c r="CX16" s="315">
        <v>-189631</v>
      </c>
      <c r="CY16" s="315"/>
      <c r="CZ16" s="315"/>
      <c r="DA16" s="315"/>
      <c r="DB16" s="315">
        <v>0</v>
      </c>
      <c r="DC16" s="315">
        <v>-28548</v>
      </c>
      <c r="DD16" s="315">
        <v>1768616</v>
      </c>
      <c r="DE16" s="315">
        <v>1768616</v>
      </c>
      <c r="DF16" s="316"/>
      <c r="DG16" s="315"/>
      <c r="DH16" s="315"/>
      <c r="DI16" s="315">
        <v>1021095</v>
      </c>
      <c r="DJ16" s="315">
        <v>44727</v>
      </c>
      <c r="DK16" s="315">
        <v>19139</v>
      </c>
      <c r="DL16" s="315">
        <v>1425</v>
      </c>
      <c r="DM16" s="315">
        <v>679774</v>
      </c>
      <c r="DN16" s="315">
        <v>231205</v>
      </c>
      <c r="DO16" s="315"/>
      <c r="DP16" s="315"/>
      <c r="DQ16" s="315"/>
      <c r="DR16" s="315">
        <v>44825</v>
      </c>
      <c r="DS16" s="315">
        <v>-2403</v>
      </c>
      <c r="DT16" s="315">
        <v>-480</v>
      </c>
      <c r="DU16" s="315">
        <v>-3</v>
      </c>
      <c r="DV16" s="315">
        <v>-55</v>
      </c>
      <c r="DW16" s="315">
        <v>-1309</v>
      </c>
      <c r="DX16" s="315"/>
      <c r="DY16" s="315"/>
      <c r="DZ16" s="315"/>
      <c r="EA16" s="315">
        <v>-122</v>
      </c>
      <c r="EB16" s="315"/>
      <c r="EC16" s="315"/>
      <c r="ED16" s="315"/>
      <c r="EE16" s="315">
        <v>-434</v>
      </c>
      <c r="EF16" s="315">
        <v>1018692</v>
      </c>
      <c r="EG16" s="315">
        <v>1018692</v>
      </c>
      <c r="EH16" s="316"/>
      <c r="EI16" s="315"/>
      <c r="EJ16" s="315"/>
      <c r="EK16" s="315">
        <v>44247</v>
      </c>
      <c r="EL16" s="315">
        <v>44247</v>
      </c>
      <c r="EM16" s="316"/>
      <c r="EN16" s="315"/>
      <c r="EO16" s="315"/>
      <c r="EP16" s="315">
        <v>19136</v>
      </c>
      <c r="EQ16" s="315">
        <v>19136</v>
      </c>
      <c r="ER16" s="316"/>
      <c r="ES16" s="315"/>
      <c r="ET16" s="315"/>
      <c r="EU16" s="315">
        <v>1370</v>
      </c>
      <c r="EV16" s="315">
        <v>1370</v>
      </c>
      <c r="EW16" s="316"/>
      <c r="EX16" s="315"/>
      <c r="EY16" s="315"/>
      <c r="EZ16" s="315">
        <v>678465</v>
      </c>
      <c r="FA16" s="315">
        <v>678465</v>
      </c>
      <c r="FB16" s="316"/>
      <c r="FC16" s="315"/>
      <c r="FD16" s="315"/>
      <c r="FE16" s="315">
        <v>231083</v>
      </c>
      <c r="FF16" s="315">
        <v>231083</v>
      </c>
      <c r="FG16" s="316"/>
      <c r="FH16" s="315"/>
      <c r="FI16" s="315"/>
      <c r="FJ16" s="315"/>
      <c r="FK16" s="315"/>
      <c r="FL16" s="316"/>
      <c r="FM16" s="315"/>
      <c r="FN16" s="315"/>
      <c r="FO16" s="315"/>
      <c r="FP16" s="315"/>
      <c r="FQ16" s="315">
        <v>44391</v>
      </c>
      <c r="FR16" s="315">
        <v>120905</v>
      </c>
      <c r="FS16" s="315">
        <v>-1112</v>
      </c>
      <c r="FT16" s="315">
        <v>119793</v>
      </c>
      <c r="FU16" s="315"/>
      <c r="FV16" s="315"/>
      <c r="FW16" s="315"/>
      <c r="FX16" s="315">
        <v>49908</v>
      </c>
      <c r="FY16" s="315"/>
      <c r="FZ16" s="315"/>
      <c r="GA16" s="315"/>
      <c r="GB16" s="315"/>
      <c r="GC16" s="315">
        <v>17592</v>
      </c>
      <c r="GD16" s="315"/>
      <c r="GE16" s="315"/>
      <c r="GF16" s="315"/>
      <c r="GG16" s="315">
        <v>52293</v>
      </c>
      <c r="GH16" s="315">
        <v>-5037</v>
      </c>
      <c r="GI16" s="315">
        <v>26198</v>
      </c>
      <c r="GJ16" s="315">
        <v>31132</v>
      </c>
      <c r="GL16"/>
      <c r="GM16"/>
      <c r="GN16"/>
      <c r="GO16"/>
    </row>
    <row r="17" spans="1:197">
      <c r="A17" s="98" t="s">
        <v>13</v>
      </c>
      <c r="B17" s="98">
        <v>10</v>
      </c>
      <c r="C17" s="98" t="s">
        <v>226</v>
      </c>
      <c r="D17" s="315">
        <v>10296967</v>
      </c>
      <c r="E17" s="315">
        <v>-1834025</v>
      </c>
      <c r="F17" s="315">
        <v>-9478</v>
      </c>
      <c r="G17" s="315">
        <v>8453464</v>
      </c>
      <c r="H17" s="315">
        <v>8453464</v>
      </c>
      <c r="I17" s="316"/>
      <c r="J17" s="315"/>
      <c r="K17" s="315"/>
      <c r="L17" s="315">
        <v>4138730</v>
      </c>
      <c r="M17" s="315"/>
      <c r="N17" s="315">
        <v>42045</v>
      </c>
      <c r="O17" s="315"/>
      <c r="P17" s="315"/>
      <c r="Q17" s="315"/>
      <c r="R17" s="315"/>
      <c r="S17" s="315">
        <v>-1191373</v>
      </c>
      <c r="T17" s="315">
        <v>-1188674</v>
      </c>
      <c r="U17" s="315"/>
      <c r="V17" s="315"/>
      <c r="W17" s="315"/>
      <c r="X17" s="315"/>
      <c r="Y17" s="315"/>
      <c r="Z17" s="315"/>
      <c r="AA17" s="315">
        <v>-1455</v>
      </c>
      <c r="AB17" s="315">
        <v>-1244</v>
      </c>
      <c r="AC17" s="315">
        <v>-9478</v>
      </c>
      <c r="AD17" s="315">
        <v>2937879</v>
      </c>
      <c r="AE17" s="315">
        <v>2937879</v>
      </c>
      <c r="AF17" s="316"/>
      <c r="AG17" s="315"/>
      <c r="AH17" s="315"/>
      <c r="AI17" s="315">
        <v>2887136</v>
      </c>
      <c r="AJ17" s="315"/>
      <c r="AK17" s="315"/>
      <c r="AL17" s="315"/>
      <c r="AM17" s="315">
        <v>606397</v>
      </c>
      <c r="AN17" s="315"/>
      <c r="AO17" s="315"/>
      <c r="AP17" s="315"/>
      <c r="AQ17" s="315">
        <v>600453</v>
      </c>
      <c r="AR17" s="315">
        <v>-1146629</v>
      </c>
      <c r="AS17" s="315"/>
      <c r="AT17" s="315"/>
      <c r="AU17" s="315">
        <v>-9478</v>
      </c>
      <c r="AV17" s="315">
        <v>1136835</v>
      </c>
      <c r="AW17" s="315"/>
      <c r="AX17" s="315">
        <v>149505</v>
      </c>
      <c r="AY17" s="315"/>
      <c r="AZ17" s="315"/>
      <c r="BA17" s="315"/>
      <c r="BB17" s="315"/>
      <c r="BC17" s="315"/>
      <c r="BD17" s="315"/>
      <c r="BE17" s="315">
        <v>-43780</v>
      </c>
      <c r="BF17" s="315">
        <v>-43179</v>
      </c>
      <c r="BG17" s="315">
        <v>-43179</v>
      </c>
      <c r="BH17" s="315"/>
      <c r="BI17" s="315"/>
      <c r="BJ17" s="315"/>
      <c r="BK17" s="315"/>
      <c r="BL17" s="315">
        <v>-66</v>
      </c>
      <c r="BM17" s="315">
        <v>-535</v>
      </c>
      <c r="BN17" s="315">
        <v>1093055</v>
      </c>
      <c r="BO17" s="315">
        <v>248404</v>
      </c>
      <c r="BP17" s="315"/>
      <c r="BQ17" s="315"/>
      <c r="BR17" s="315"/>
      <c r="BS17" s="315">
        <v>738325</v>
      </c>
      <c r="BT17" s="315"/>
      <c r="BU17" s="315"/>
      <c r="BV17" s="315"/>
      <c r="BW17" s="315"/>
      <c r="BX17" s="315">
        <v>106326</v>
      </c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>
        <v>3876950</v>
      </c>
      <c r="CJ17" s="315">
        <v>457624</v>
      </c>
      <c r="CK17" s="315">
        <v>3419326</v>
      </c>
      <c r="CL17" s="315">
        <v>902726</v>
      </c>
      <c r="CM17" s="315">
        <v>2502602</v>
      </c>
      <c r="CN17" s="315">
        <v>13998</v>
      </c>
      <c r="CO17" s="315"/>
      <c r="CP17" s="315"/>
      <c r="CQ17" s="315">
        <v>13998</v>
      </c>
      <c r="CR17" s="315">
        <v>-593615</v>
      </c>
      <c r="CS17" s="315">
        <v>-115720</v>
      </c>
      <c r="CT17" s="315"/>
      <c r="CU17" s="315"/>
      <c r="CV17" s="315"/>
      <c r="CW17" s="315"/>
      <c r="CX17" s="315">
        <v>-357939</v>
      </c>
      <c r="CY17" s="315"/>
      <c r="CZ17" s="315"/>
      <c r="DA17" s="315"/>
      <c r="DB17" s="315">
        <v>-119956</v>
      </c>
      <c r="DC17" s="315">
        <v>0</v>
      </c>
      <c r="DD17" s="315">
        <v>3283335</v>
      </c>
      <c r="DE17" s="315">
        <v>3283335</v>
      </c>
      <c r="DF17" s="316"/>
      <c r="DG17" s="315"/>
      <c r="DH17" s="315"/>
      <c r="DI17" s="315">
        <v>973364</v>
      </c>
      <c r="DJ17" s="315">
        <v>57195</v>
      </c>
      <c r="DK17" s="315">
        <v>23254</v>
      </c>
      <c r="DL17" s="315">
        <v>2442</v>
      </c>
      <c r="DM17" s="315">
        <v>638813</v>
      </c>
      <c r="DN17" s="315">
        <v>193532</v>
      </c>
      <c r="DO17" s="315"/>
      <c r="DP17" s="315"/>
      <c r="DQ17" s="315"/>
      <c r="DR17" s="315">
        <v>58128</v>
      </c>
      <c r="DS17" s="315">
        <v>-2538</v>
      </c>
      <c r="DT17" s="315">
        <v>-574</v>
      </c>
      <c r="DU17" s="315">
        <v>-1</v>
      </c>
      <c r="DV17" s="315">
        <v>-2</v>
      </c>
      <c r="DW17" s="315">
        <v>-262</v>
      </c>
      <c r="DX17" s="315"/>
      <c r="DY17" s="315"/>
      <c r="DZ17" s="315"/>
      <c r="EA17" s="315">
        <v>0</v>
      </c>
      <c r="EB17" s="315"/>
      <c r="EC17" s="315"/>
      <c r="ED17" s="315"/>
      <c r="EE17" s="315">
        <v>-1699</v>
      </c>
      <c r="EF17" s="315">
        <v>970826</v>
      </c>
      <c r="EG17" s="315">
        <v>970826</v>
      </c>
      <c r="EH17" s="316"/>
      <c r="EI17" s="315"/>
      <c r="EJ17" s="315"/>
      <c r="EK17" s="315">
        <v>56621</v>
      </c>
      <c r="EL17" s="315">
        <v>56621</v>
      </c>
      <c r="EM17" s="316"/>
      <c r="EN17" s="315"/>
      <c r="EO17" s="315"/>
      <c r="EP17" s="315">
        <v>23253</v>
      </c>
      <c r="EQ17" s="315">
        <v>23253</v>
      </c>
      <c r="ER17" s="316"/>
      <c r="ES17" s="315"/>
      <c r="ET17" s="315"/>
      <c r="EU17" s="315">
        <v>2440</v>
      </c>
      <c r="EV17" s="315">
        <v>2440</v>
      </c>
      <c r="EW17" s="316"/>
      <c r="EX17" s="315"/>
      <c r="EY17" s="315"/>
      <c r="EZ17" s="315">
        <v>638551</v>
      </c>
      <c r="FA17" s="315">
        <v>638551</v>
      </c>
      <c r="FB17" s="316"/>
      <c r="FC17" s="315"/>
      <c r="FD17" s="315"/>
      <c r="FE17" s="315">
        <v>193532</v>
      </c>
      <c r="FF17" s="315">
        <v>193532</v>
      </c>
      <c r="FG17" s="316"/>
      <c r="FH17" s="315"/>
      <c r="FI17" s="315"/>
      <c r="FJ17" s="315"/>
      <c r="FK17" s="315"/>
      <c r="FL17" s="316"/>
      <c r="FM17" s="315"/>
      <c r="FN17" s="315"/>
      <c r="FO17" s="315"/>
      <c r="FP17" s="315"/>
      <c r="FQ17" s="315">
        <v>56429</v>
      </c>
      <c r="FR17" s="315">
        <v>171088</v>
      </c>
      <c r="FS17" s="315">
        <v>-2719</v>
      </c>
      <c r="FT17" s="315">
        <v>168369</v>
      </c>
      <c r="FU17" s="315"/>
      <c r="FV17" s="315"/>
      <c r="FW17" s="315"/>
      <c r="FX17" s="315">
        <v>71382</v>
      </c>
      <c r="FY17" s="315"/>
      <c r="FZ17" s="315"/>
      <c r="GA17" s="315"/>
      <c r="GB17" s="315"/>
      <c r="GC17" s="315">
        <v>43243</v>
      </c>
      <c r="GD17" s="315"/>
      <c r="GE17" s="315"/>
      <c r="GF17" s="315"/>
      <c r="GG17" s="315">
        <v>53744</v>
      </c>
      <c r="GH17" s="315">
        <v>727</v>
      </c>
      <c r="GI17" s="315">
        <v>17473</v>
      </c>
      <c r="GJ17" s="315">
        <v>35544</v>
      </c>
      <c r="GL17"/>
      <c r="GM17"/>
      <c r="GN17"/>
      <c r="GO17"/>
    </row>
    <row r="18" spans="1:197">
      <c r="A18" s="98" t="s">
        <v>13</v>
      </c>
      <c r="B18" s="98">
        <v>11</v>
      </c>
      <c r="C18" s="98" t="s">
        <v>227</v>
      </c>
      <c r="D18" s="315">
        <v>6601443</v>
      </c>
      <c r="E18" s="315">
        <v>-1737385</v>
      </c>
      <c r="F18" s="315">
        <v>-9491</v>
      </c>
      <c r="G18" s="315">
        <v>4854567</v>
      </c>
      <c r="H18" s="315">
        <v>4854567</v>
      </c>
      <c r="I18" s="316"/>
      <c r="J18" s="315"/>
      <c r="K18" s="315"/>
      <c r="L18" s="315">
        <v>3737260</v>
      </c>
      <c r="M18" s="315"/>
      <c r="N18" s="315">
        <v>1424031</v>
      </c>
      <c r="O18" s="315"/>
      <c r="P18" s="315"/>
      <c r="Q18" s="315"/>
      <c r="R18" s="315"/>
      <c r="S18" s="315">
        <v>-1193680</v>
      </c>
      <c r="T18" s="315">
        <v>-1138508</v>
      </c>
      <c r="U18" s="315"/>
      <c r="V18" s="315"/>
      <c r="W18" s="315"/>
      <c r="X18" s="315"/>
      <c r="Y18" s="315"/>
      <c r="Z18" s="315"/>
      <c r="AA18" s="315">
        <v>-5042</v>
      </c>
      <c r="AB18" s="315">
        <v>-50130</v>
      </c>
      <c r="AC18" s="315">
        <v>-9491</v>
      </c>
      <c r="AD18" s="315">
        <v>2534089</v>
      </c>
      <c r="AE18" s="315">
        <v>2534089</v>
      </c>
      <c r="AF18" s="316"/>
      <c r="AG18" s="315"/>
      <c r="AH18" s="315"/>
      <c r="AI18" s="315">
        <v>1657381</v>
      </c>
      <c r="AJ18" s="315"/>
      <c r="AK18" s="315"/>
      <c r="AL18" s="315"/>
      <c r="AM18" s="315">
        <v>590140</v>
      </c>
      <c r="AN18" s="315"/>
      <c r="AO18" s="315"/>
      <c r="AP18" s="315"/>
      <c r="AQ18" s="315">
        <v>10536</v>
      </c>
      <c r="AR18" s="315">
        <v>285523</v>
      </c>
      <c r="AS18" s="315"/>
      <c r="AT18" s="315"/>
      <c r="AU18" s="315">
        <v>-9491</v>
      </c>
      <c r="AV18" s="315">
        <v>344579</v>
      </c>
      <c r="AW18" s="315"/>
      <c r="AX18" s="315">
        <v>71337</v>
      </c>
      <c r="AY18" s="315"/>
      <c r="AZ18" s="315"/>
      <c r="BA18" s="315"/>
      <c r="BB18" s="315"/>
      <c r="BC18" s="315"/>
      <c r="BD18" s="315"/>
      <c r="BE18" s="315">
        <v>-142519</v>
      </c>
      <c r="BF18" s="315">
        <v>-119509</v>
      </c>
      <c r="BG18" s="315">
        <v>-119509</v>
      </c>
      <c r="BH18" s="315"/>
      <c r="BI18" s="315"/>
      <c r="BJ18" s="315"/>
      <c r="BK18" s="315"/>
      <c r="BL18" s="315">
        <v>-1524</v>
      </c>
      <c r="BM18" s="315">
        <v>-21486</v>
      </c>
      <c r="BN18" s="315">
        <v>202060</v>
      </c>
      <c r="BO18" s="315">
        <v>243380</v>
      </c>
      <c r="BP18" s="315"/>
      <c r="BQ18" s="315"/>
      <c r="BR18" s="315"/>
      <c r="BS18" s="315">
        <v>6852</v>
      </c>
      <c r="BT18" s="315"/>
      <c r="BU18" s="315"/>
      <c r="BV18" s="315"/>
      <c r="BW18" s="315"/>
      <c r="BX18" s="315">
        <v>-48172</v>
      </c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>
        <v>1395069</v>
      </c>
      <c r="CJ18" s="315">
        <v>438306</v>
      </c>
      <c r="CK18" s="315">
        <v>956763</v>
      </c>
      <c r="CL18" s="315">
        <v>868126</v>
      </c>
      <c r="CM18" s="315">
        <v>62301</v>
      </c>
      <c r="CN18" s="315">
        <v>26336</v>
      </c>
      <c r="CO18" s="315"/>
      <c r="CP18" s="315"/>
      <c r="CQ18" s="315">
        <v>26336</v>
      </c>
      <c r="CR18" s="315">
        <v>-392016</v>
      </c>
      <c r="CS18" s="315">
        <v>-91492</v>
      </c>
      <c r="CT18" s="315"/>
      <c r="CU18" s="315"/>
      <c r="CV18" s="315"/>
      <c r="CW18" s="315"/>
      <c r="CX18" s="315">
        <v>-300524</v>
      </c>
      <c r="CY18" s="315"/>
      <c r="CZ18" s="315"/>
      <c r="DA18" s="315"/>
      <c r="DB18" s="315">
        <v>0</v>
      </c>
      <c r="DC18" s="315">
        <v>0</v>
      </c>
      <c r="DD18" s="315">
        <v>1003053</v>
      </c>
      <c r="DE18" s="315">
        <v>1003053</v>
      </c>
      <c r="DF18" s="316"/>
      <c r="DG18" s="315"/>
      <c r="DH18" s="315"/>
      <c r="DI18" s="315">
        <v>940167</v>
      </c>
      <c r="DJ18" s="315">
        <v>34756</v>
      </c>
      <c r="DK18" s="315">
        <v>11277</v>
      </c>
      <c r="DL18" s="315">
        <v>1371</v>
      </c>
      <c r="DM18" s="315">
        <v>632164</v>
      </c>
      <c r="DN18" s="315">
        <v>198353</v>
      </c>
      <c r="DO18" s="315"/>
      <c r="DP18" s="315"/>
      <c r="DQ18" s="315"/>
      <c r="DR18" s="315">
        <v>62246</v>
      </c>
      <c r="DS18" s="315">
        <v>-3207</v>
      </c>
      <c r="DT18" s="315">
        <v>-1129</v>
      </c>
      <c r="DU18" s="315">
        <v>-32</v>
      </c>
      <c r="DV18" s="315">
        <v>-43</v>
      </c>
      <c r="DW18" s="315">
        <v>-909</v>
      </c>
      <c r="DX18" s="315"/>
      <c r="DY18" s="315"/>
      <c r="DZ18" s="315"/>
      <c r="EA18" s="315">
        <v>-31</v>
      </c>
      <c r="EB18" s="315"/>
      <c r="EC18" s="315"/>
      <c r="ED18" s="315"/>
      <c r="EE18" s="315">
        <v>-1063</v>
      </c>
      <c r="EF18" s="315">
        <v>936960</v>
      </c>
      <c r="EG18" s="315">
        <v>936960</v>
      </c>
      <c r="EH18" s="316"/>
      <c r="EI18" s="315"/>
      <c r="EJ18" s="315"/>
      <c r="EK18" s="315">
        <v>33627</v>
      </c>
      <c r="EL18" s="315">
        <v>33627</v>
      </c>
      <c r="EM18" s="316"/>
      <c r="EN18" s="315"/>
      <c r="EO18" s="315"/>
      <c r="EP18" s="315">
        <v>11245</v>
      </c>
      <c r="EQ18" s="315">
        <v>11245</v>
      </c>
      <c r="ER18" s="316"/>
      <c r="ES18" s="315"/>
      <c r="ET18" s="315"/>
      <c r="EU18" s="315">
        <v>1328</v>
      </c>
      <c r="EV18" s="315">
        <v>1328</v>
      </c>
      <c r="EW18" s="316"/>
      <c r="EX18" s="315"/>
      <c r="EY18" s="315"/>
      <c r="EZ18" s="315">
        <v>631255</v>
      </c>
      <c r="FA18" s="315">
        <v>631255</v>
      </c>
      <c r="FB18" s="316"/>
      <c r="FC18" s="315"/>
      <c r="FD18" s="315"/>
      <c r="FE18" s="315">
        <v>198322</v>
      </c>
      <c r="FF18" s="315">
        <v>198322</v>
      </c>
      <c r="FG18" s="316"/>
      <c r="FH18" s="315"/>
      <c r="FI18" s="315"/>
      <c r="FJ18" s="315"/>
      <c r="FK18" s="315"/>
      <c r="FL18" s="316"/>
      <c r="FM18" s="315"/>
      <c r="FN18" s="315"/>
      <c r="FO18" s="315"/>
      <c r="FP18" s="315"/>
      <c r="FQ18" s="315">
        <v>61183</v>
      </c>
      <c r="FR18" s="315">
        <v>184368</v>
      </c>
      <c r="FS18" s="315">
        <v>-5963</v>
      </c>
      <c r="FT18" s="315">
        <v>178405</v>
      </c>
      <c r="FU18" s="315"/>
      <c r="FV18" s="315"/>
      <c r="FW18" s="315"/>
      <c r="FX18" s="315">
        <v>69086</v>
      </c>
      <c r="FY18" s="315"/>
      <c r="FZ18" s="315"/>
      <c r="GA18" s="315"/>
      <c r="GB18" s="315"/>
      <c r="GC18" s="315">
        <v>18902</v>
      </c>
      <c r="GD18" s="315"/>
      <c r="GE18" s="315"/>
      <c r="GF18" s="315"/>
      <c r="GG18" s="315">
        <v>90417</v>
      </c>
      <c r="GH18" s="315">
        <v>944</v>
      </c>
      <c r="GI18" s="315">
        <v>43730</v>
      </c>
      <c r="GJ18" s="315">
        <v>45743</v>
      </c>
      <c r="GL18"/>
      <c r="GM18"/>
      <c r="GN18"/>
      <c r="GO18"/>
    </row>
    <row r="19" spans="1:197">
      <c r="A19" s="98" t="s">
        <v>13</v>
      </c>
      <c r="B19" s="98">
        <v>12</v>
      </c>
      <c r="C19" s="98" t="s">
        <v>228</v>
      </c>
      <c r="D19" s="315">
        <v>6948773</v>
      </c>
      <c r="E19" s="315">
        <v>-1082729</v>
      </c>
      <c r="F19" s="315">
        <v>-9485</v>
      </c>
      <c r="G19" s="315">
        <v>5856559</v>
      </c>
      <c r="H19" s="315">
        <v>5856559</v>
      </c>
      <c r="I19" s="316"/>
      <c r="J19" s="315"/>
      <c r="K19" s="315"/>
      <c r="L19" s="315">
        <v>2738028</v>
      </c>
      <c r="M19" s="315"/>
      <c r="N19" s="315">
        <v>57437</v>
      </c>
      <c r="O19" s="315"/>
      <c r="P19" s="315"/>
      <c r="Q19" s="315"/>
      <c r="R19" s="315"/>
      <c r="S19" s="315">
        <v>-460257</v>
      </c>
      <c r="T19" s="315">
        <v>-321305</v>
      </c>
      <c r="U19" s="315"/>
      <c r="V19" s="315"/>
      <c r="W19" s="315"/>
      <c r="X19" s="315"/>
      <c r="Y19" s="315"/>
      <c r="Z19" s="315"/>
      <c r="AA19" s="315">
        <v>-60400</v>
      </c>
      <c r="AB19" s="315">
        <v>-78552</v>
      </c>
      <c r="AC19" s="315">
        <v>-9485</v>
      </c>
      <c r="AD19" s="315">
        <v>2268286</v>
      </c>
      <c r="AE19" s="315">
        <v>2268286</v>
      </c>
      <c r="AF19" s="316"/>
      <c r="AG19" s="315"/>
      <c r="AH19" s="315"/>
      <c r="AI19" s="315">
        <v>2169869</v>
      </c>
      <c r="AJ19" s="315"/>
      <c r="AK19" s="315"/>
      <c r="AL19" s="315"/>
      <c r="AM19" s="315">
        <v>363607</v>
      </c>
      <c r="AN19" s="315"/>
      <c r="AO19" s="315"/>
      <c r="AP19" s="315"/>
      <c r="AQ19" s="315">
        <v>8163</v>
      </c>
      <c r="AR19" s="315">
        <v>-263868</v>
      </c>
      <c r="AS19" s="315"/>
      <c r="AT19" s="315"/>
      <c r="AU19" s="315">
        <v>-9485</v>
      </c>
      <c r="AV19" s="315">
        <v>1210707</v>
      </c>
      <c r="AW19" s="315"/>
      <c r="AX19" s="315">
        <v>117250</v>
      </c>
      <c r="AY19" s="315"/>
      <c r="AZ19" s="315"/>
      <c r="BA19" s="315"/>
      <c r="BB19" s="315"/>
      <c r="BC19" s="315"/>
      <c r="BD19" s="315"/>
      <c r="BE19" s="315">
        <v>-114365</v>
      </c>
      <c r="BF19" s="315">
        <v>-56250</v>
      </c>
      <c r="BG19" s="315">
        <v>-56250</v>
      </c>
      <c r="BH19" s="315"/>
      <c r="BI19" s="315"/>
      <c r="BJ19" s="315"/>
      <c r="BK19" s="315"/>
      <c r="BL19" s="315">
        <v>-24452</v>
      </c>
      <c r="BM19" s="315">
        <v>-33663</v>
      </c>
      <c r="BN19" s="315">
        <v>1096342</v>
      </c>
      <c r="BO19" s="315">
        <v>115462</v>
      </c>
      <c r="BP19" s="315"/>
      <c r="BQ19" s="315"/>
      <c r="BR19" s="315"/>
      <c r="BS19" s="315">
        <v>919880</v>
      </c>
      <c r="BT19" s="315"/>
      <c r="BU19" s="315"/>
      <c r="BV19" s="315"/>
      <c r="BW19" s="315"/>
      <c r="BX19" s="315">
        <v>61000</v>
      </c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>
        <v>1567814</v>
      </c>
      <c r="CJ19" s="315">
        <v>446920</v>
      </c>
      <c r="CK19" s="315">
        <v>1120894</v>
      </c>
      <c r="CL19" s="315">
        <v>1050961</v>
      </c>
      <c r="CM19" s="315">
        <v>57384</v>
      </c>
      <c r="CN19" s="315">
        <v>12549</v>
      </c>
      <c r="CO19" s="315"/>
      <c r="CP19" s="315"/>
      <c r="CQ19" s="315">
        <v>12549</v>
      </c>
      <c r="CR19" s="315">
        <v>-492093</v>
      </c>
      <c r="CS19" s="315">
        <v>-90646</v>
      </c>
      <c r="CT19" s="315"/>
      <c r="CU19" s="315"/>
      <c r="CV19" s="315"/>
      <c r="CW19" s="315"/>
      <c r="CX19" s="315">
        <v>-238542</v>
      </c>
      <c r="CY19" s="315"/>
      <c r="CZ19" s="315"/>
      <c r="DA19" s="315"/>
      <c r="DB19" s="315">
        <v>-129380</v>
      </c>
      <c r="DC19" s="315">
        <v>-33525</v>
      </c>
      <c r="DD19" s="315">
        <v>1075721</v>
      </c>
      <c r="DE19" s="315">
        <v>1075721</v>
      </c>
      <c r="DF19" s="316"/>
      <c r="DG19" s="315"/>
      <c r="DH19" s="315"/>
      <c r="DI19" s="315">
        <v>1012818</v>
      </c>
      <c r="DJ19" s="315">
        <v>41551</v>
      </c>
      <c r="DK19" s="315">
        <v>19984</v>
      </c>
      <c r="DL19" s="315">
        <v>1688</v>
      </c>
      <c r="DM19" s="315">
        <v>636470</v>
      </c>
      <c r="DN19" s="315">
        <v>238918</v>
      </c>
      <c r="DO19" s="315"/>
      <c r="DP19" s="315"/>
      <c r="DQ19" s="315"/>
      <c r="DR19" s="315">
        <v>74207</v>
      </c>
      <c r="DS19" s="315">
        <v>-5923</v>
      </c>
      <c r="DT19" s="315">
        <v>-2588</v>
      </c>
      <c r="DU19" s="315">
        <v>-89</v>
      </c>
      <c r="DV19" s="315">
        <v>-4</v>
      </c>
      <c r="DW19" s="315">
        <v>-437</v>
      </c>
      <c r="DX19" s="315"/>
      <c r="DY19" s="315"/>
      <c r="DZ19" s="315"/>
      <c r="EA19" s="315">
        <v>-21</v>
      </c>
      <c r="EB19" s="315"/>
      <c r="EC19" s="315"/>
      <c r="ED19" s="315"/>
      <c r="EE19" s="315">
        <v>-2784</v>
      </c>
      <c r="EF19" s="315">
        <v>1006895</v>
      </c>
      <c r="EG19" s="315">
        <v>1006895</v>
      </c>
      <c r="EH19" s="316"/>
      <c r="EI19" s="315"/>
      <c r="EJ19" s="315"/>
      <c r="EK19" s="315">
        <v>38963</v>
      </c>
      <c r="EL19" s="315">
        <v>38963</v>
      </c>
      <c r="EM19" s="316"/>
      <c r="EN19" s="315"/>
      <c r="EO19" s="315"/>
      <c r="EP19" s="315">
        <v>19895</v>
      </c>
      <c r="EQ19" s="315">
        <v>19895</v>
      </c>
      <c r="ER19" s="316"/>
      <c r="ES19" s="315"/>
      <c r="ET19" s="315"/>
      <c r="EU19" s="315">
        <v>1684</v>
      </c>
      <c r="EV19" s="315">
        <v>1684</v>
      </c>
      <c r="EW19" s="316"/>
      <c r="EX19" s="315"/>
      <c r="EY19" s="315"/>
      <c r="EZ19" s="315">
        <v>636033</v>
      </c>
      <c r="FA19" s="315">
        <v>636033</v>
      </c>
      <c r="FB19" s="316"/>
      <c r="FC19" s="315"/>
      <c r="FD19" s="315"/>
      <c r="FE19" s="315">
        <v>238897</v>
      </c>
      <c r="FF19" s="315">
        <v>238897</v>
      </c>
      <c r="FG19" s="316"/>
      <c r="FH19" s="315"/>
      <c r="FI19" s="315"/>
      <c r="FJ19" s="315"/>
      <c r="FK19" s="315"/>
      <c r="FL19" s="316"/>
      <c r="FM19" s="315"/>
      <c r="FN19" s="315"/>
      <c r="FO19" s="315"/>
      <c r="FP19" s="315"/>
      <c r="FQ19" s="315">
        <v>71423</v>
      </c>
      <c r="FR19" s="315">
        <v>419406</v>
      </c>
      <c r="FS19" s="315">
        <v>-10091</v>
      </c>
      <c r="FT19" s="315">
        <v>409315</v>
      </c>
      <c r="FU19" s="315"/>
      <c r="FV19" s="315"/>
      <c r="FW19" s="315"/>
      <c r="FX19" s="315">
        <v>45497</v>
      </c>
      <c r="FY19" s="315"/>
      <c r="FZ19" s="315"/>
      <c r="GA19" s="315"/>
      <c r="GB19" s="315"/>
      <c r="GC19" s="315">
        <v>230515</v>
      </c>
      <c r="GD19" s="315"/>
      <c r="GE19" s="315"/>
      <c r="GF19" s="315"/>
      <c r="GG19" s="315">
        <v>133303</v>
      </c>
      <c r="GH19" s="315">
        <v>3496</v>
      </c>
      <c r="GI19" s="315">
        <v>42191</v>
      </c>
      <c r="GJ19" s="315">
        <v>87616</v>
      </c>
      <c r="GL19"/>
      <c r="GM19"/>
      <c r="GN19"/>
      <c r="GO19"/>
    </row>
    <row r="20" spans="1:197">
      <c r="A20" s="96" t="s">
        <v>14</v>
      </c>
      <c r="B20" s="96">
        <v>1</v>
      </c>
      <c r="C20" s="97" t="s">
        <v>217</v>
      </c>
      <c r="D20" s="314">
        <v>8019252</v>
      </c>
      <c r="E20" s="314">
        <v>-1721901</v>
      </c>
      <c r="F20" s="314">
        <v>-9478</v>
      </c>
      <c r="G20" s="314">
        <v>6287873</v>
      </c>
      <c r="H20" s="314">
        <v>6287873</v>
      </c>
      <c r="I20" s="271"/>
      <c r="J20" s="314"/>
      <c r="K20" s="314"/>
      <c r="L20" s="314">
        <v>5255295</v>
      </c>
      <c r="M20" s="314"/>
      <c r="N20" s="314">
        <v>43315</v>
      </c>
      <c r="O20" s="314"/>
      <c r="P20" s="314"/>
      <c r="Q20" s="314"/>
      <c r="R20" s="314"/>
      <c r="S20" s="314">
        <v>-903697</v>
      </c>
      <c r="T20" s="314">
        <v>-866365</v>
      </c>
      <c r="U20" s="314"/>
      <c r="V20" s="314"/>
      <c r="W20" s="314"/>
      <c r="X20" s="314"/>
      <c r="Y20" s="314"/>
      <c r="Z20" s="314"/>
      <c r="AA20" s="314">
        <v>-1584</v>
      </c>
      <c r="AB20" s="314">
        <v>-35748</v>
      </c>
      <c r="AC20" s="314">
        <v>-9478</v>
      </c>
      <c r="AD20" s="314">
        <v>4342120</v>
      </c>
      <c r="AE20" s="314">
        <v>4342120</v>
      </c>
      <c r="AF20" s="271"/>
      <c r="AG20" s="314"/>
      <c r="AH20" s="314"/>
      <c r="AI20" s="314">
        <v>3645956</v>
      </c>
      <c r="AJ20" s="314">
        <v>231430</v>
      </c>
      <c r="AK20" s="314">
        <v>1322552</v>
      </c>
      <c r="AL20" s="314">
        <v>2071088</v>
      </c>
      <c r="AM20" s="314">
        <v>902059</v>
      </c>
      <c r="AN20" s="314"/>
      <c r="AO20" s="314"/>
      <c r="AP20" s="314"/>
      <c r="AQ20" s="314">
        <v>626633</v>
      </c>
      <c r="AR20" s="314">
        <v>-823050</v>
      </c>
      <c r="AS20" s="314"/>
      <c r="AT20" s="314"/>
      <c r="AU20" s="314">
        <v>-9478</v>
      </c>
      <c r="AV20" s="314">
        <v>540578</v>
      </c>
      <c r="AW20" s="314"/>
      <c r="AX20" s="314">
        <v>127638</v>
      </c>
      <c r="AY20" s="314"/>
      <c r="AZ20" s="314"/>
      <c r="BA20" s="314"/>
      <c r="BB20" s="314"/>
      <c r="BC20" s="314"/>
      <c r="BD20" s="314"/>
      <c r="BE20" s="314">
        <v>-335867</v>
      </c>
      <c r="BF20" s="314">
        <v>-320280</v>
      </c>
      <c r="BG20" s="314">
        <v>-320280</v>
      </c>
      <c r="BH20" s="314"/>
      <c r="BI20" s="314"/>
      <c r="BJ20" s="314"/>
      <c r="BK20" s="314"/>
      <c r="BL20" s="314">
        <v>-267</v>
      </c>
      <c r="BM20" s="314">
        <v>-15320</v>
      </c>
      <c r="BN20" s="314">
        <v>204711</v>
      </c>
      <c r="BO20" s="314">
        <v>385802</v>
      </c>
      <c r="BP20" s="314"/>
      <c r="BQ20" s="314"/>
      <c r="BR20" s="314"/>
      <c r="BS20" s="314">
        <v>11551</v>
      </c>
      <c r="BT20" s="314"/>
      <c r="BU20" s="314"/>
      <c r="BV20" s="314"/>
      <c r="BW20" s="314"/>
      <c r="BX20" s="314">
        <v>-192642</v>
      </c>
      <c r="BY20" s="314"/>
      <c r="BZ20" s="314"/>
      <c r="CA20" s="314"/>
      <c r="CB20" s="314"/>
      <c r="CC20" s="314"/>
      <c r="CD20" s="314"/>
      <c r="CE20" s="314"/>
      <c r="CF20" s="314"/>
      <c r="CG20" s="314"/>
      <c r="CH20" s="314"/>
      <c r="CI20" s="314">
        <v>844246</v>
      </c>
      <c r="CJ20" s="314">
        <v>456581</v>
      </c>
      <c r="CK20" s="314">
        <v>387665</v>
      </c>
      <c r="CL20" s="314">
        <v>47828</v>
      </c>
      <c r="CM20" s="314">
        <v>322671</v>
      </c>
      <c r="CN20" s="314">
        <v>17166</v>
      </c>
      <c r="CO20" s="314"/>
      <c r="CP20" s="314"/>
      <c r="CQ20" s="314">
        <v>17166</v>
      </c>
      <c r="CR20" s="314">
        <v>-477803</v>
      </c>
      <c r="CS20" s="314">
        <v>-69589</v>
      </c>
      <c r="CT20" s="314"/>
      <c r="CU20" s="314"/>
      <c r="CV20" s="314"/>
      <c r="CW20" s="314"/>
      <c r="CX20" s="314">
        <v>-364490</v>
      </c>
      <c r="CY20" s="314">
        <v>0</v>
      </c>
      <c r="CZ20" s="314">
        <v>0</v>
      </c>
      <c r="DA20" s="314">
        <v>-364490</v>
      </c>
      <c r="DB20" s="314">
        <v>-43724</v>
      </c>
      <c r="DC20" s="314">
        <v>0</v>
      </c>
      <c r="DD20" s="314">
        <v>366443</v>
      </c>
      <c r="DE20" s="314">
        <v>366443</v>
      </c>
      <c r="DF20" s="271"/>
      <c r="DG20" s="314"/>
      <c r="DH20" s="314"/>
      <c r="DI20" s="314">
        <v>1216804</v>
      </c>
      <c r="DJ20" s="314">
        <v>75529</v>
      </c>
      <c r="DK20" s="314">
        <v>16555</v>
      </c>
      <c r="DL20" s="314">
        <v>6377</v>
      </c>
      <c r="DM20" s="314">
        <v>686887</v>
      </c>
      <c r="DN20" s="314">
        <v>373494</v>
      </c>
      <c r="DO20" s="314"/>
      <c r="DP20" s="314"/>
      <c r="DQ20" s="314"/>
      <c r="DR20" s="314">
        <v>57962</v>
      </c>
      <c r="DS20" s="314">
        <v>-2152</v>
      </c>
      <c r="DT20" s="314">
        <v>-625</v>
      </c>
      <c r="DU20" s="314">
        <v>-27</v>
      </c>
      <c r="DV20" s="314">
        <v>0</v>
      </c>
      <c r="DW20" s="314">
        <v>-285</v>
      </c>
      <c r="DX20" s="314"/>
      <c r="DY20" s="314"/>
      <c r="DZ20" s="314"/>
      <c r="EA20" s="314">
        <v>-1</v>
      </c>
      <c r="EB20" s="314"/>
      <c r="EC20" s="314"/>
      <c r="ED20" s="314"/>
      <c r="EE20" s="314">
        <v>-1214</v>
      </c>
      <c r="EF20" s="314">
        <v>1214652</v>
      </c>
      <c r="EG20" s="314">
        <v>1214652</v>
      </c>
      <c r="EH20" s="271"/>
      <c r="EI20" s="314"/>
      <c r="EJ20" s="314"/>
      <c r="EK20" s="314">
        <v>74904</v>
      </c>
      <c r="EL20" s="314">
        <v>74904</v>
      </c>
      <c r="EM20" s="271"/>
      <c r="EN20" s="314"/>
      <c r="EO20" s="314"/>
      <c r="EP20" s="314">
        <v>16528</v>
      </c>
      <c r="EQ20" s="314">
        <v>16528</v>
      </c>
      <c r="ER20" s="271"/>
      <c r="ES20" s="314"/>
      <c r="ET20" s="314"/>
      <c r="EU20" s="314">
        <v>6377</v>
      </c>
      <c r="EV20" s="314">
        <v>6377</v>
      </c>
      <c r="EW20" s="271"/>
      <c r="EX20" s="314"/>
      <c r="EY20" s="314"/>
      <c r="EZ20" s="314">
        <v>686602</v>
      </c>
      <c r="FA20" s="314">
        <v>686602</v>
      </c>
      <c r="FB20" s="271"/>
      <c r="FC20" s="314"/>
      <c r="FD20" s="314"/>
      <c r="FE20" s="314">
        <v>373493</v>
      </c>
      <c r="FF20" s="314">
        <v>373493</v>
      </c>
      <c r="FG20" s="271"/>
      <c r="FH20" s="314"/>
      <c r="FI20" s="314"/>
      <c r="FJ20" s="314"/>
      <c r="FK20" s="314"/>
      <c r="FL20" s="271"/>
      <c r="FM20" s="314"/>
      <c r="FN20" s="314"/>
      <c r="FO20" s="314"/>
      <c r="FP20" s="314"/>
      <c r="FQ20" s="314">
        <v>56748</v>
      </c>
      <c r="FR20" s="314">
        <v>162329</v>
      </c>
      <c r="FS20" s="314">
        <v>-2382</v>
      </c>
      <c r="FT20" s="314">
        <v>159947</v>
      </c>
      <c r="FU20" s="314"/>
      <c r="FV20" s="314"/>
      <c r="FW20" s="314"/>
      <c r="FX20" s="314">
        <v>55041</v>
      </c>
      <c r="FY20" s="314"/>
      <c r="FZ20" s="314"/>
      <c r="GA20" s="314"/>
      <c r="GB20" s="314"/>
      <c r="GC20" s="314">
        <v>41788</v>
      </c>
      <c r="GD20" s="314"/>
      <c r="GE20" s="314"/>
      <c r="GF20" s="314"/>
      <c r="GG20" s="314">
        <v>63118</v>
      </c>
      <c r="GH20" s="314">
        <v>2236</v>
      </c>
      <c r="GI20" s="314">
        <v>31450</v>
      </c>
      <c r="GJ20" s="314">
        <v>29432</v>
      </c>
      <c r="GL20"/>
      <c r="GM20"/>
      <c r="GN20"/>
      <c r="GO20"/>
    </row>
    <row r="21" spans="1:197">
      <c r="A21" s="98" t="s">
        <v>14</v>
      </c>
      <c r="B21" s="98">
        <v>2</v>
      </c>
      <c r="C21" s="98" t="s">
        <v>218</v>
      </c>
      <c r="D21" s="315">
        <v>8737551</v>
      </c>
      <c r="E21" s="315">
        <v>-863318</v>
      </c>
      <c r="F21" s="315">
        <v>-9815</v>
      </c>
      <c r="G21" s="315">
        <v>7864418</v>
      </c>
      <c r="H21" s="315">
        <v>7864418</v>
      </c>
      <c r="I21" s="316"/>
      <c r="J21" s="315"/>
      <c r="K21" s="315"/>
      <c r="L21" s="315">
        <v>2344785</v>
      </c>
      <c r="M21" s="315"/>
      <c r="N21" s="315">
        <v>78212</v>
      </c>
      <c r="O21" s="315"/>
      <c r="P21" s="315"/>
      <c r="Q21" s="315"/>
      <c r="R21" s="315"/>
      <c r="S21" s="315">
        <v>-300484</v>
      </c>
      <c r="T21" s="315">
        <v>-204947</v>
      </c>
      <c r="U21" s="315"/>
      <c r="V21" s="315"/>
      <c r="W21" s="315"/>
      <c r="X21" s="315"/>
      <c r="Y21" s="315"/>
      <c r="Z21" s="315"/>
      <c r="AA21" s="315">
        <v>-2170</v>
      </c>
      <c r="AB21" s="315">
        <v>-93367</v>
      </c>
      <c r="AC21" s="315">
        <v>-9815</v>
      </c>
      <c r="AD21" s="315">
        <v>2034486</v>
      </c>
      <c r="AE21" s="315">
        <v>2034486</v>
      </c>
      <c r="AF21" s="316"/>
      <c r="AG21" s="315"/>
      <c r="AH21" s="315"/>
      <c r="AI21" s="315">
        <v>1737538</v>
      </c>
      <c r="AJ21" s="315">
        <v>772788</v>
      </c>
      <c r="AK21" s="315">
        <v>849380</v>
      </c>
      <c r="AL21" s="315">
        <v>53304</v>
      </c>
      <c r="AM21" s="315">
        <v>421045</v>
      </c>
      <c r="AN21" s="315"/>
      <c r="AO21" s="315"/>
      <c r="AP21" s="315"/>
      <c r="AQ21" s="315">
        <v>12453</v>
      </c>
      <c r="AR21" s="315">
        <v>-126735</v>
      </c>
      <c r="AS21" s="315"/>
      <c r="AT21" s="315"/>
      <c r="AU21" s="315">
        <v>-9815</v>
      </c>
      <c r="AV21" s="315">
        <v>318539</v>
      </c>
      <c r="AW21" s="315"/>
      <c r="AX21" s="315">
        <v>100304</v>
      </c>
      <c r="AY21" s="315"/>
      <c r="AZ21" s="315"/>
      <c r="BA21" s="315"/>
      <c r="BB21" s="315"/>
      <c r="BC21" s="315"/>
      <c r="BD21" s="315"/>
      <c r="BE21" s="315">
        <v>-232336</v>
      </c>
      <c r="BF21" s="315">
        <v>-192259</v>
      </c>
      <c r="BG21" s="315">
        <v>-192259</v>
      </c>
      <c r="BH21" s="315"/>
      <c r="BI21" s="315"/>
      <c r="BJ21" s="315"/>
      <c r="BK21" s="315"/>
      <c r="BL21" s="315">
        <v>-62</v>
      </c>
      <c r="BM21" s="315">
        <v>-40015</v>
      </c>
      <c r="BN21" s="315">
        <v>86203</v>
      </c>
      <c r="BO21" s="315">
        <v>173037</v>
      </c>
      <c r="BP21" s="315"/>
      <c r="BQ21" s="315"/>
      <c r="BR21" s="315"/>
      <c r="BS21" s="315">
        <v>5121</v>
      </c>
      <c r="BT21" s="315"/>
      <c r="BU21" s="315"/>
      <c r="BV21" s="315"/>
      <c r="BW21" s="315"/>
      <c r="BX21" s="315">
        <v>-91955</v>
      </c>
      <c r="BY21" s="315"/>
      <c r="BZ21" s="315"/>
      <c r="CA21" s="315"/>
      <c r="CB21" s="315"/>
      <c r="CC21" s="315"/>
      <c r="CD21" s="315"/>
      <c r="CE21" s="315"/>
      <c r="CF21" s="315"/>
      <c r="CG21" s="315"/>
      <c r="CH21" s="315"/>
      <c r="CI21" s="315">
        <v>5101338</v>
      </c>
      <c r="CJ21" s="315">
        <v>414766</v>
      </c>
      <c r="CK21" s="315">
        <v>4686572</v>
      </c>
      <c r="CL21" s="315">
        <v>1903081</v>
      </c>
      <c r="CM21" s="315">
        <v>2769590</v>
      </c>
      <c r="CN21" s="315">
        <v>13901</v>
      </c>
      <c r="CO21" s="315"/>
      <c r="CP21" s="315"/>
      <c r="CQ21" s="315">
        <v>13901</v>
      </c>
      <c r="CR21" s="315">
        <v>-323628</v>
      </c>
      <c r="CS21" s="315">
        <v>-43550</v>
      </c>
      <c r="CT21" s="315"/>
      <c r="CU21" s="315"/>
      <c r="CV21" s="315"/>
      <c r="CW21" s="315"/>
      <c r="CX21" s="315">
        <v>-280078</v>
      </c>
      <c r="CY21" s="315">
        <v>-138</v>
      </c>
      <c r="CZ21" s="315">
        <v>0</v>
      </c>
      <c r="DA21" s="315">
        <v>-279940</v>
      </c>
      <c r="DB21" s="315">
        <v>0</v>
      </c>
      <c r="DC21" s="315">
        <v>0</v>
      </c>
      <c r="DD21" s="315">
        <v>4777710</v>
      </c>
      <c r="DE21" s="315">
        <v>4777710</v>
      </c>
      <c r="DF21" s="316"/>
      <c r="DG21" s="315"/>
      <c r="DH21" s="315"/>
      <c r="DI21" s="315">
        <v>827838</v>
      </c>
      <c r="DJ21" s="315">
        <v>83581</v>
      </c>
      <c r="DK21" s="315">
        <v>12114</v>
      </c>
      <c r="DL21" s="315">
        <v>5061</v>
      </c>
      <c r="DM21" s="315">
        <v>608145</v>
      </c>
      <c r="DN21" s="315">
        <v>68533</v>
      </c>
      <c r="DO21" s="315"/>
      <c r="DP21" s="315"/>
      <c r="DQ21" s="315"/>
      <c r="DR21" s="315">
        <v>50404</v>
      </c>
      <c r="DS21" s="315">
        <v>-2865</v>
      </c>
      <c r="DT21" s="315">
        <v>-1278</v>
      </c>
      <c r="DU21" s="315">
        <v>-220</v>
      </c>
      <c r="DV21" s="315">
        <v>0</v>
      </c>
      <c r="DW21" s="315">
        <v>-522</v>
      </c>
      <c r="DX21" s="315"/>
      <c r="DY21" s="315"/>
      <c r="DZ21" s="315"/>
      <c r="EA21" s="315">
        <v>0</v>
      </c>
      <c r="EB21" s="315"/>
      <c r="EC21" s="315"/>
      <c r="ED21" s="315"/>
      <c r="EE21" s="315">
        <v>-845</v>
      </c>
      <c r="EF21" s="315">
        <v>824973</v>
      </c>
      <c r="EG21" s="315">
        <v>824973</v>
      </c>
      <c r="EH21" s="316"/>
      <c r="EI21" s="315"/>
      <c r="EJ21" s="315"/>
      <c r="EK21" s="315">
        <v>82303</v>
      </c>
      <c r="EL21" s="315">
        <v>82303</v>
      </c>
      <c r="EM21" s="316"/>
      <c r="EN21" s="315"/>
      <c r="EO21" s="315"/>
      <c r="EP21" s="315">
        <v>11894</v>
      </c>
      <c r="EQ21" s="315">
        <v>11894</v>
      </c>
      <c r="ER21" s="316"/>
      <c r="ES21" s="315"/>
      <c r="ET21" s="315"/>
      <c r="EU21" s="315">
        <v>5061</v>
      </c>
      <c r="EV21" s="315">
        <v>5061</v>
      </c>
      <c r="EW21" s="316"/>
      <c r="EX21" s="315"/>
      <c r="EY21" s="315"/>
      <c r="EZ21" s="315">
        <v>607623</v>
      </c>
      <c r="FA21" s="315">
        <v>607623</v>
      </c>
      <c r="FB21" s="316"/>
      <c r="FC21" s="315"/>
      <c r="FD21" s="315"/>
      <c r="FE21" s="315">
        <v>68533</v>
      </c>
      <c r="FF21" s="315">
        <v>68533</v>
      </c>
      <c r="FG21" s="316"/>
      <c r="FH21" s="315"/>
      <c r="FI21" s="315"/>
      <c r="FJ21" s="315"/>
      <c r="FK21" s="315"/>
      <c r="FL21" s="316"/>
      <c r="FM21" s="315"/>
      <c r="FN21" s="315"/>
      <c r="FO21" s="315"/>
      <c r="FP21" s="315"/>
      <c r="FQ21" s="315">
        <v>49559</v>
      </c>
      <c r="FR21" s="315">
        <v>145051</v>
      </c>
      <c r="FS21" s="315">
        <v>-4005</v>
      </c>
      <c r="FT21" s="315">
        <v>141046</v>
      </c>
      <c r="FU21" s="315"/>
      <c r="FV21" s="315"/>
      <c r="FW21" s="315"/>
      <c r="FX21" s="315">
        <v>52522</v>
      </c>
      <c r="FY21" s="315"/>
      <c r="FZ21" s="315"/>
      <c r="GA21" s="315"/>
      <c r="GB21" s="315"/>
      <c r="GC21" s="315">
        <v>17405</v>
      </c>
      <c r="GD21" s="315"/>
      <c r="GE21" s="315"/>
      <c r="GF21" s="315"/>
      <c r="GG21" s="315">
        <v>71119</v>
      </c>
      <c r="GH21" s="315">
        <v>1064</v>
      </c>
      <c r="GI21" s="315">
        <v>26415</v>
      </c>
      <c r="GJ21" s="315">
        <v>43640</v>
      </c>
      <c r="GL21"/>
      <c r="GM21"/>
      <c r="GN21"/>
      <c r="GO21"/>
    </row>
    <row r="22" spans="1:197">
      <c r="A22" s="98" t="s">
        <v>14</v>
      </c>
      <c r="B22" s="98">
        <v>3</v>
      </c>
      <c r="C22" s="98" t="s">
        <v>219</v>
      </c>
      <c r="D22" s="315">
        <v>4430522</v>
      </c>
      <c r="E22" s="315">
        <v>-931778</v>
      </c>
      <c r="F22" s="315">
        <v>-9814</v>
      </c>
      <c r="G22" s="315">
        <v>3488930</v>
      </c>
      <c r="H22" s="315">
        <v>3488930</v>
      </c>
      <c r="I22" s="316"/>
      <c r="J22" s="315"/>
      <c r="K22" s="315"/>
      <c r="L22" s="315">
        <v>1697469</v>
      </c>
      <c r="M22" s="315"/>
      <c r="N22" s="315">
        <v>53239</v>
      </c>
      <c r="O22" s="315"/>
      <c r="P22" s="315"/>
      <c r="Q22" s="315"/>
      <c r="R22" s="315"/>
      <c r="S22" s="315">
        <v>-262138</v>
      </c>
      <c r="T22" s="315">
        <v>-89979</v>
      </c>
      <c r="U22" s="315"/>
      <c r="V22" s="315"/>
      <c r="W22" s="315"/>
      <c r="X22" s="315"/>
      <c r="Y22" s="315"/>
      <c r="Z22" s="315"/>
      <c r="AA22" s="315">
        <v>-2247</v>
      </c>
      <c r="AB22" s="315">
        <v>-169912</v>
      </c>
      <c r="AC22" s="315">
        <v>-9814</v>
      </c>
      <c r="AD22" s="315">
        <v>1425517</v>
      </c>
      <c r="AE22" s="315">
        <v>1425517</v>
      </c>
      <c r="AF22" s="316"/>
      <c r="AG22" s="315"/>
      <c r="AH22" s="315"/>
      <c r="AI22" s="315">
        <v>1186746</v>
      </c>
      <c r="AJ22" s="315">
        <v>246504</v>
      </c>
      <c r="AK22" s="315">
        <v>878145</v>
      </c>
      <c r="AL22" s="315">
        <v>17177</v>
      </c>
      <c r="AM22" s="315">
        <v>277133</v>
      </c>
      <c r="AN22" s="315"/>
      <c r="AO22" s="315"/>
      <c r="AP22" s="315"/>
      <c r="AQ22" s="315">
        <v>8192</v>
      </c>
      <c r="AR22" s="315">
        <v>-36740</v>
      </c>
      <c r="AS22" s="315"/>
      <c r="AT22" s="315"/>
      <c r="AU22" s="315">
        <v>-9814</v>
      </c>
      <c r="AV22" s="315">
        <v>318989</v>
      </c>
      <c r="AW22" s="315"/>
      <c r="AX22" s="315">
        <v>111322</v>
      </c>
      <c r="AY22" s="315"/>
      <c r="AZ22" s="315"/>
      <c r="BA22" s="315"/>
      <c r="BB22" s="315"/>
      <c r="BC22" s="315"/>
      <c r="BD22" s="315"/>
      <c r="BE22" s="315">
        <v>-337362</v>
      </c>
      <c r="BF22" s="315">
        <v>-264304</v>
      </c>
      <c r="BG22" s="315">
        <v>-264304</v>
      </c>
      <c r="BH22" s="315"/>
      <c r="BI22" s="315"/>
      <c r="BJ22" s="315"/>
      <c r="BK22" s="315"/>
      <c r="BL22" s="315">
        <v>-239</v>
      </c>
      <c r="BM22" s="315">
        <v>-72819</v>
      </c>
      <c r="BN22" s="315">
        <v>-18373</v>
      </c>
      <c r="BO22" s="315">
        <v>114541</v>
      </c>
      <c r="BP22" s="315"/>
      <c r="BQ22" s="315"/>
      <c r="BR22" s="315"/>
      <c r="BS22" s="315">
        <v>20068</v>
      </c>
      <c r="BT22" s="315"/>
      <c r="BU22" s="315"/>
      <c r="BV22" s="315"/>
      <c r="BW22" s="315"/>
      <c r="BX22" s="315">
        <v>-152982</v>
      </c>
      <c r="BY22" s="315"/>
      <c r="BZ22" s="315"/>
      <c r="CA22" s="315"/>
      <c r="CB22" s="315"/>
      <c r="CC22" s="315"/>
      <c r="CD22" s="315"/>
      <c r="CE22" s="315"/>
      <c r="CF22" s="315"/>
      <c r="CG22" s="315"/>
      <c r="CH22" s="315"/>
      <c r="CI22" s="315">
        <v>1402721</v>
      </c>
      <c r="CJ22" s="315">
        <v>434400</v>
      </c>
      <c r="CK22" s="315">
        <v>968321</v>
      </c>
      <c r="CL22" s="315">
        <v>885675</v>
      </c>
      <c r="CM22" s="315">
        <v>68708</v>
      </c>
      <c r="CN22" s="315">
        <v>13938</v>
      </c>
      <c r="CO22" s="315"/>
      <c r="CP22" s="315"/>
      <c r="CQ22" s="315">
        <v>13938</v>
      </c>
      <c r="CR22" s="315">
        <v>-325635</v>
      </c>
      <c r="CS22" s="315">
        <v>-73667</v>
      </c>
      <c r="CT22" s="315"/>
      <c r="CU22" s="315"/>
      <c r="CV22" s="315"/>
      <c r="CW22" s="315"/>
      <c r="CX22" s="315">
        <v>-251968</v>
      </c>
      <c r="CY22" s="315">
        <v>-83523</v>
      </c>
      <c r="CZ22" s="315">
        <v>0</v>
      </c>
      <c r="DA22" s="315">
        <v>-168445</v>
      </c>
      <c r="DB22" s="315">
        <v>0</v>
      </c>
      <c r="DC22" s="315">
        <v>0</v>
      </c>
      <c r="DD22" s="315">
        <v>1077086</v>
      </c>
      <c r="DE22" s="315">
        <v>1077086</v>
      </c>
      <c r="DF22" s="316"/>
      <c r="DG22" s="315"/>
      <c r="DH22" s="315"/>
      <c r="DI22" s="315">
        <v>868601</v>
      </c>
      <c r="DJ22" s="315">
        <v>19204</v>
      </c>
      <c r="DK22" s="315">
        <v>16515</v>
      </c>
      <c r="DL22" s="315">
        <v>3229</v>
      </c>
      <c r="DM22" s="315">
        <v>650558</v>
      </c>
      <c r="DN22" s="315">
        <v>121657</v>
      </c>
      <c r="DO22" s="315"/>
      <c r="DP22" s="315"/>
      <c r="DQ22" s="315"/>
      <c r="DR22" s="315">
        <v>57438</v>
      </c>
      <c r="DS22" s="315">
        <v>-4057</v>
      </c>
      <c r="DT22" s="315">
        <v>-2418</v>
      </c>
      <c r="DU22" s="315">
        <v>-5</v>
      </c>
      <c r="DV22" s="315">
        <v>-2</v>
      </c>
      <c r="DW22" s="315">
        <v>-371</v>
      </c>
      <c r="DX22" s="315"/>
      <c r="DY22" s="315"/>
      <c r="DZ22" s="315"/>
      <c r="EA22" s="315">
        <v>0</v>
      </c>
      <c r="EB22" s="315"/>
      <c r="EC22" s="315"/>
      <c r="ED22" s="315"/>
      <c r="EE22" s="315">
        <v>-1261</v>
      </c>
      <c r="EF22" s="315">
        <v>864544</v>
      </c>
      <c r="EG22" s="315">
        <v>864544</v>
      </c>
      <c r="EH22" s="316"/>
      <c r="EI22" s="315"/>
      <c r="EJ22" s="315"/>
      <c r="EK22" s="315">
        <v>16786</v>
      </c>
      <c r="EL22" s="315">
        <v>16786</v>
      </c>
      <c r="EM22" s="316"/>
      <c r="EN22" s="315"/>
      <c r="EO22" s="315"/>
      <c r="EP22" s="315">
        <v>16510</v>
      </c>
      <c r="EQ22" s="315">
        <v>16510</v>
      </c>
      <c r="ER22" s="316"/>
      <c r="ES22" s="315"/>
      <c r="ET22" s="315"/>
      <c r="EU22" s="315">
        <v>3227</v>
      </c>
      <c r="EV22" s="315">
        <v>3227</v>
      </c>
      <c r="EW22" s="316"/>
      <c r="EX22" s="315"/>
      <c r="EY22" s="315"/>
      <c r="EZ22" s="315">
        <v>650187</v>
      </c>
      <c r="FA22" s="315">
        <v>650187</v>
      </c>
      <c r="FB22" s="316"/>
      <c r="FC22" s="315"/>
      <c r="FD22" s="315"/>
      <c r="FE22" s="315">
        <v>121657</v>
      </c>
      <c r="FF22" s="315">
        <v>121657</v>
      </c>
      <c r="FG22" s="316"/>
      <c r="FH22" s="315"/>
      <c r="FI22" s="315"/>
      <c r="FJ22" s="315"/>
      <c r="FK22" s="315"/>
      <c r="FL22" s="316"/>
      <c r="FM22" s="315"/>
      <c r="FN22" s="315"/>
      <c r="FO22" s="315"/>
      <c r="FP22" s="315"/>
      <c r="FQ22" s="315">
        <v>56177</v>
      </c>
      <c r="FR22" s="315">
        <v>142742</v>
      </c>
      <c r="FS22" s="315">
        <v>-2586</v>
      </c>
      <c r="FT22" s="315">
        <v>140156</v>
      </c>
      <c r="FU22" s="315"/>
      <c r="FV22" s="315"/>
      <c r="FW22" s="315"/>
      <c r="FX22" s="315">
        <v>54945</v>
      </c>
      <c r="FY22" s="315"/>
      <c r="FZ22" s="315"/>
      <c r="GA22" s="315"/>
      <c r="GB22" s="315"/>
      <c r="GC22" s="315">
        <v>19671</v>
      </c>
      <c r="GD22" s="315"/>
      <c r="GE22" s="315"/>
      <c r="GF22" s="315"/>
      <c r="GG22" s="315">
        <v>65540</v>
      </c>
      <c r="GH22" s="315">
        <v>799</v>
      </c>
      <c r="GI22" s="315">
        <v>24046</v>
      </c>
      <c r="GJ22" s="315">
        <v>40695</v>
      </c>
      <c r="GL22"/>
      <c r="GM22"/>
      <c r="GN22"/>
      <c r="GO22"/>
    </row>
    <row r="23" spans="1:197">
      <c r="A23" s="98" t="s">
        <v>14</v>
      </c>
      <c r="B23" s="98">
        <v>4</v>
      </c>
      <c r="C23" s="98" t="s">
        <v>220</v>
      </c>
      <c r="D23" s="315">
        <v>10769202</v>
      </c>
      <c r="E23" s="315">
        <v>-965510</v>
      </c>
      <c r="F23" s="315">
        <v>-9821</v>
      </c>
      <c r="G23" s="315">
        <v>9793871</v>
      </c>
      <c r="H23" s="315">
        <v>9793871</v>
      </c>
      <c r="I23" s="316"/>
      <c r="J23" s="315"/>
      <c r="K23" s="315"/>
      <c r="L23" s="315">
        <v>4402688</v>
      </c>
      <c r="M23" s="315"/>
      <c r="N23" s="315">
        <v>56663</v>
      </c>
      <c r="O23" s="315"/>
      <c r="P23" s="315"/>
      <c r="Q23" s="315"/>
      <c r="R23" s="315"/>
      <c r="S23" s="315">
        <v>-149908</v>
      </c>
      <c r="T23" s="315">
        <v>-39931</v>
      </c>
      <c r="U23" s="315"/>
      <c r="V23" s="315"/>
      <c r="W23" s="315"/>
      <c r="X23" s="315"/>
      <c r="Y23" s="315"/>
      <c r="Z23" s="315"/>
      <c r="AA23" s="315">
        <v>-2306</v>
      </c>
      <c r="AB23" s="315">
        <v>-107671</v>
      </c>
      <c r="AC23" s="315">
        <v>-9821</v>
      </c>
      <c r="AD23" s="315">
        <v>4242959</v>
      </c>
      <c r="AE23" s="315">
        <v>4242959</v>
      </c>
      <c r="AF23" s="316"/>
      <c r="AG23" s="315"/>
      <c r="AH23" s="315"/>
      <c r="AI23" s="315">
        <v>3123466</v>
      </c>
      <c r="AJ23" s="315">
        <v>337768</v>
      </c>
      <c r="AK23" s="315">
        <v>992464</v>
      </c>
      <c r="AL23" s="315">
        <v>1669822</v>
      </c>
      <c r="AM23" s="315">
        <v>510734</v>
      </c>
      <c r="AN23" s="315"/>
      <c r="AO23" s="315"/>
      <c r="AP23" s="315"/>
      <c r="AQ23" s="315">
        <v>601848</v>
      </c>
      <c r="AR23" s="315">
        <v>16732</v>
      </c>
      <c r="AS23" s="315"/>
      <c r="AT23" s="315"/>
      <c r="AU23" s="315">
        <v>-9821</v>
      </c>
      <c r="AV23" s="315">
        <v>1240187</v>
      </c>
      <c r="AW23" s="315"/>
      <c r="AX23" s="315">
        <v>197352</v>
      </c>
      <c r="AY23" s="315"/>
      <c r="AZ23" s="315"/>
      <c r="BA23" s="315"/>
      <c r="BB23" s="315"/>
      <c r="BC23" s="315"/>
      <c r="BD23" s="315"/>
      <c r="BE23" s="315">
        <v>-243348</v>
      </c>
      <c r="BF23" s="315">
        <v>-197093</v>
      </c>
      <c r="BG23" s="315">
        <v>-197093</v>
      </c>
      <c r="BH23" s="315"/>
      <c r="BI23" s="315"/>
      <c r="BJ23" s="315"/>
      <c r="BK23" s="315"/>
      <c r="BL23" s="315">
        <v>-109</v>
      </c>
      <c r="BM23" s="315">
        <v>-46146</v>
      </c>
      <c r="BN23" s="315">
        <v>996839</v>
      </c>
      <c r="BO23" s="315">
        <v>216418</v>
      </c>
      <c r="BP23" s="315"/>
      <c r="BQ23" s="315"/>
      <c r="BR23" s="315"/>
      <c r="BS23" s="315">
        <v>780162</v>
      </c>
      <c r="BT23" s="315"/>
      <c r="BU23" s="315"/>
      <c r="BV23" s="315"/>
      <c r="BW23" s="315"/>
      <c r="BX23" s="315">
        <v>259</v>
      </c>
      <c r="BY23" s="315"/>
      <c r="BZ23" s="315"/>
      <c r="CA23" s="315"/>
      <c r="CB23" s="315"/>
      <c r="CC23" s="315"/>
      <c r="CD23" s="315"/>
      <c r="CE23" s="315"/>
      <c r="CF23" s="315"/>
      <c r="CG23" s="315"/>
      <c r="CH23" s="315"/>
      <c r="CI23" s="315">
        <v>3968051</v>
      </c>
      <c r="CJ23" s="315">
        <v>439864</v>
      </c>
      <c r="CK23" s="315">
        <v>3528187</v>
      </c>
      <c r="CL23" s="315">
        <v>1040557</v>
      </c>
      <c r="CM23" s="315">
        <v>2473177</v>
      </c>
      <c r="CN23" s="315">
        <v>14453</v>
      </c>
      <c r="CO23" s="315"/>
      <c r="CP23" s="315"/>
      <c r="CQ23" s="315">
        <v>14453</v>
      </c>
      <c r="CR23" s="315">
        <v>-560499</v>
      </c>
      <c r="CS23" s="315">
        <v>-109878</v>
      </c>
      <c r="CT23" s="315"/>
      <c r="CU23" s="315"/>
      <c r="CV23" s="315"/>
      <c r="CW23" s="315"/>
      <c r="CX23" s="315">
        <v>-343755</v>
      </c>
      <c r="CY23" s="315">
        <v>-237556</v>
      </c>
      <c r="CZ23" s="315">
        <v>0</v>
      </c>
      <c r="DA23" s="315">
        <v>-106199</v>
      </c>
      <c r="DB23" s="315">
        <v>-106866</v>
      </c>
      <c r="DC23" s="315">
        <v>0</v>
      </c>
      <c r="DD23" s="315">
        <v>3407552</v>
      </c>
      <c r="DE23" s="315">
        <v>3407552</v>
      </c>
      <c r="DF23" s="316"/>
      <c r="DG23" s="315"/>
      <c r="DH23" s="315"/>
      <c r="DI23" s="315">
        <v>999103</v>
      </c>
      <c r="DJ23" s="315">
        <v>32425</v>
      </c>
      <c r="DK23" s="315">
        <v>17427</v>
      </c>
      <c r="DL23" s="315">
        <v>5021</v>
      </c>
      <c r="DM23" s="315">
        <v>709840</v>
      </c>
      <c r="DN23" s="315">
        <v>176990</v>
      </c>
      <c r="DO23" s="315"/>
      <c r="DP23" s="315"/>
      <c r="DQ23" s="315"/>
      <c r="DR23" s="315">
        <v>57400</v>
      </c>
      <c r="DS23" s="315">
        <v>-7704</v>
      </c>
      <c r="DT23" s="315">
        <v>-451</v>
      </c>
      <c r="DU23" s="315">
        <v>-166</v>
      </c>
      <c r="DV23" s="315">
        <v>-3</v>
      </c>
      <c r="DW23" s="315">
        <v>-2359</v>
      </c>
      <c r="DX23" s="315"/>
      <c r="DY23" s="315"/>
      <c r="DZ23" s="315"/>
      <c r="EA23" s="315">
        <v>-34</v>
      </c>
      <c r="EB23" s="315"/>
      <c r="EC23" s="315"/>
      <c r="ED23" s="315"/>
      <c r="EE23" s="315">
        <v>-4691</v>
      </c>
      <c r="EF23" s="315">
        <v>991399</v>
      </c>
      <c r="EG23" s="315">
        <v>991399</v>
      </c>
      <c r="EH23" s="316"/>
      <c r="EI23" s="315"/>
      <c r="EJ23" s="315"/>
      <c r="EK23" s="315">
        <v>31974</v>
      </c>
      <c r="EL23" s="315">
        <v>31974</v>
      </c>
      <c r="EM23" s="316"/>
      <c r="EN23" s="315"/>
      <c r="EO23" s="315"/>
      <c r="EP23" s="315">
        <v>17261</v>
      </c>
      <c r="EQ23" s="315">
        <v>17261</v>
      </c>
      <c r="ER23" s="316"/>
      <c r="ES23" s="315"/>
      <c r="ET23" s="315"/>
      <c r="EU23" s="315">
        <v>5018</v>
      </c>
      <c r="EV23" s="315">
        <v>5018</v>
      </c>
      <c r="EW23" s="316"/>
      <c r="EX23" s="315"/>
      <c r="EY23" s="315"/>
      <c r="EZ23" s="315">
        <v>707481</v>
      </c>
      <c r="FA23" s="315">
        <v>707481</v>
      </c>
      <c r="FB23" s="316"/>
      <c r="FC23" s="315"/>
      <c r="FD23" s="315"/>
      <c r="FE23" s="315">
        <v>176956</v>
      </c>
      <c r="FF23" s="315">
        <v>176956</v>
      </c>
      <c r="FG23" s="316"/>
      <c r="FH23" s="315"/>
      <c r="FI23" s="315"/>
      <c r="FJ23" s="315"/>
      <c r="FK23" s="315"/>
      <c r="FL23" s="316"/>
      <c r="FM23" s="315"/>
      <c r="FN23" s="315"/>
      <c r="FO23" s="315"/>
      <c r="FP23" s="315"/>
      <c r="FQ23" s="315">
        <v>52709</v>
      </c>
      <c r="FR23" s="315">
        <v>159173</v>
      </c>
      <c r="FS23" s="315">
        <v>-4051</v>
      </c>
      <c r="FT23" s="315">
        <v>155122</v>
      </c>
      <c r="FU23" s="315"/>
      <c r="FV23" s="315"/>
      <c r="FW23" s="315"/>
      <c r="FX23" s="315">
        <v>54325</v>
      </c>
      <c r="FY23" s="315"/>
      <c r="FZ23" s="315"/>
      <c r="GA23" s="315"/>
      <c r="GB23" s="315"/>
      <c r="GC23" s="315">
        <v>39757</v>
      </c>
      <c r="GD23" s="315"/>
      <c r="GE23" s="315"/>
      <c r="GF23" s="315"/>
      <c r="GG23" s="315">
        <v>61040</v>
      </c>
      <c r="GH23" s="315">
        <v>619</v>
      </c>
      <c r="GI23" s="315">
        <v>24937</v>
      </c>
      <c r="GJ23" s="315">
        <v>35484</v>
      </c>
      <c r="GL23"/>
      <c r="GM23"/>
      <c r="GN23"/>
      <c r="GO23"/>
    </row>
    <row r="24" spans="1:197">
      <c r="A24" s="98" t="s">
        <v>14</v>
      </c>
      <c r="B24" s="98">
        <v>5</v>
      </c>
      <c r="C24" s="98" t="s">
        <v>221</v>
      </c>
      <c r="D24" s="315">
        <v>4811741</v>
      </c>
      <c r="E24" s="315">
        <v>-889260</v>
      </c>
      <c r="F24" s="315">
        <v>-9814</v>
      </c>
      <c r="G24" s="315">
        <v>3912667</v>
      </c>
      <c r="H24" s="315">
        <v>3912667</v>
      </c>
      <c r="I24" s="316"/>
      <c r="J24" s="315"/>
      <c r="K24" s="315"/>
      <c r="L24" s="315">
        <v>1849267</v>
      </c>
      <c r="M24" s="315"/>
      <c r="N24" s="315">
        <v>104873</v>
      </c>
      <c r="O24" s="315"/>
      <c r="P24" s="315"/>
      <c r="Q24" s="315"/>
      <c r="R24" s="315"/>
      <c r="S24" s="315">
        <v>-102077</v>
      </c>
      <c r="T24" s="315">
        <v>-22667</v>
      </c>
      <c r="U24" s="315"/>
      <c r="V24" s="315"/>
      <c r="W24" s="315"/>
      <c r="X24" s="315"/>
      <c r="Y24" s="315"/>
      <c r="Z24" s="315"/>
      <c r="AA24" s="315">
        <v>-1753</v>
      </c>
      <c r="AB24" s="315">
        <v>-77657</v>
      </c>
      <c r="AC24" s="315">
        <v>-9814</v>
      </c>
      <c r="AD24" s="315">
        <v>1737376</v>
      </c>
      <c r="AE24" s="315">
        <v>1737376</v>
      </c>
      <c r="AF24" s="316"/>
      <c r="AG24" s="315"/>
      <c r="AH24" s="315"/>
      <c r="AI24" s="315">
        <v>1293685</v>
      </c>
      <c r="AJ24" s="315">
        <v>305663</v>
      </c>
      <c r="AK24" s="315">
        <v>850204</v>
      </c>
      <c r="AL24" s="315">
        <v>22971</v>
      </c>
      <c r="AM24" s="315">
        <v>362428</v>
      </c>
      <c r="AN24" s="315"/>
      <c r="AO24" s="315"/>
      <c r="AP24" s="315"/>
      <c r="AQ24" s="315">
        <v>8871</v>
      </c>
      <c r="AR24" s="315">
        <v>82206</v>
      </c>
      <c r="AS24" s="315"/>
      <c r="AT24" s="315"/>
      <c r="AU24" s="315">
        <v>-9814</v>
      </c>
      <c r="AV24" s="315">
        <v>322392</v>
      </c>
      <c r="AW24" s="315"/>
      <c r="AX24" s="315">
        <v>156794</v>
      </c>
      <c r="AY24" s="315"/>
      <c r="AZ24" s="315"/>
      <c r="BA24" s="315"/>
      <c r="BB24" s="315"/>
      <c r="BC24" s="315"/>
      <c r="BD24" s="315"/>
      <c r="BE24" s="315">
        <v>-185097</v>
      </c>
      <c r="BF24" s="315">
        <v>-151722</v>
      </c>
      <c r="BG24" s="315">
        <v>-151722</v>
      </c>
      <c r="BH24" s="315"/>
      <c r="BI24" s="315"/>
      <c r="BJ24" s="315"/>
      <c r="BK24" s="315"/>
      <c r="BL24" s="315">
        <v>-91</v>
      </c>
      <c r="BM24" s="315">
        <v>-33284</v>
      </c>
      <c r="BN24" s="315">
        <v>137295</v>
      </c>
      <c r="BO24" s="315">
        <v>122174</v>
      </c>
      <c r="BP24" s="315"/>
      <c r="BQ24" s="315"/>
      <c r="BR24" s="315"/>
      <c r="BS24" s="315">
        <v>10049</v>
      </c>
      <c r="BT24" s="315"/>
      <c r="BU24" s="315"/>
      <c r="BV24" s="315"/>
      <c r="BW24" s="315"/>
      <c r="BX24" s="315">
        <v>5072</v>
      </c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>
        <v>1532778</v>
      </c>
      <c r="CJ24" s="315">
        <v>487426</v>
      </c>
      <c r="CK24" s="315">
        <v>1045352</v>
      </c>
      <c r="CL24" s="315">
        <v>969408</v>
      </c>
      <c r="CM24" s="315">
        <v>65504</v>
      </c>
      <c r="CN24" s="315">
        <v>10440</v>
      </c>
      <c r="CO24" s="315"/>
      <c r="CP24" s="315"/>
      <c r="CQ24" s="315">
        <v>10440</v>
      </c>
      <c r="CR24" s="315">
        <v>-596161</v>
      </c>
      <c r="CS24" s="315">
        <v>-222560</v>
      </c>
      <c r="CT24" s="315"/>
      <c r="CU24" s="315"/>
      <c r="CV24" s="315"/>
      <c r="CW24" s="315"/>
      <c r="CX24" s="315">
        <v>-373601</v>
      </c>
      <c r="CY24" s="315">
        <v>-275810</v>
      </c>
      <c r="CZ24" s="315">
        <v>0</v>
      </c>
      <c r="DA24" s="315">
        <v>-97791</v>
      </c>
      <c r="DB24" s="315">
        <v>0</v>
      </c>
      <c r="DC24" s="315">
        <v>0</v>
      </c>
      <c r="DD24" s="315">
        <v>936617</v>
      </c>
      <c r="DE24" s="315">
        <v>936617</v>
      </c>
      <c r="DF24" s="316"/>
      <c r="DG24" s="315"/>
      <c r="DH24" s="315"/>
      <c r="DI24" s="315">
        <v>980145</v>
      </c>
      <c r="DJ24" s="315">
        <v>34388</v>
      </c>
      <c r="DK24" s="315">
        <v>13827</v>
      </c>
      <c r="DL24" s="315">
        <v>2028</v>
      </c>
      <c r="DM24" s="315">
        <v>682876</v>
      </c>
      <c r="DN24" s="315">
        <v>190452</v>
      </c>
      <c r="DO24" s="315"/>
      <c r="DP24" s="315"/>
      <c r="DQ24" s="315"/>
      <c r="DR24" s="315">
        <v>56574</v>
      </c>
      <c r="DS24" s="315">
        <v>-2833</v>
      </c>
      <c r="DT24" s="315">
        <v>-1362</v>
      </c>
      <c r="DU24" s="315">
        <v>-22</v>
      </c>
      <c r="DV24" s="315">
        <v>-63</v>
      </c>
      <c r="DW24" s="315">
        <v>-775</v>
      </c>
      <c r="DX24" s="315"/>
      <c r="DY24" s="315"/>
      <c r="DZ24" s="315"/>
      <c r="EA24" s="315">
        <v>-63</v>
      </c>
      <c r="EB24" s="315"/>
      <c r="EC24" s="315"/>
      <c r="ED24" s="315"/>
      <c r="EE24" s="315">
        <v>-548</v>
      </c>
      <c r="EF24" s="315">
        <v>977312</v>
      </c>
      <c r="EG24" s="315">
        <v>977312</v>
      </c>
      <c r="EH24" s="316"/>
      <c r="EI24" s="315"/>
      <c r="EJ24" s="315"/>
      <c r="EK24" s="315">
        <v>33026</v>
      </c>
      <c r="EL24" s="315">
        <v>33026</v>
      </c>
      <c r="EM24" s="316"/>
      <c r="EN24" s="315"/>
      <c r="EO24" s="315"/>
      <c r="EP24" s="315">
        <v>13805</v>
      </c>
      <c r="EQ24" s="315">
        <v>13805</v>
      </c>
      <c r="ER24" s="316"/>
      <c r="ES24" s="315"/>
      <c r="ET24" s="315"/>
      <c r="EU24" s="315">
        <v>1965</v>
      </c>
      <c r="EV24" s="315">
        <v>1965</v>
      </c>
      <c r="EW24" s="316"/>
      <c r="EX24" s="315"/>
      <c r="EY24" s="315"/>
      <c r="EZ24" s="315">
        <v>682101</v>
      </c>
      <c r="FA24" s="315">
        <v>682101</v>
      </c>
      <c r="FB24" s="316"/>
      <c r="FC24" s="315"/>
      <c r="FD24" s="315"/>
      <c r="FE24" s="315">
        <v>190389</v>
      </c>
      <c r="FF24" s="315">
        <v>190389</v>
      </c>
      <c r="FG24" s="316"/>
      <c r="FH24" s="315"/>
      <c r="FI24" s="315"/>
      <c r="FJ24" s="315"/>
      <c r="FK24" s="315"/>
      <c r="FL24" s="316"/>
      <c r="FM24" s="315"/>
      <c r="FN24" s="315"/>
      <c r="FO24" s="315"/>
      <c r="FP24" s="315"/>
      <c r="FQ24" s="315">
        <v>56026</v>
      </c>
      <c r="FR24" s="315">
        <v>127159</v>
      </c>
      <c r="FS24" s="315">
        <v>-3092</v>
      </c>
      <c r="FT24" s="315">
        <v>124067</v>
      </c>
      <c r="FU24" s="315"/>
      <c r="FV24" s="315"/>
      <c r="FW24" s="315"/>
      <c r="FX24" s="315">
        <v>45827</v>
      </c>
      <c r="FY24" s="315"/>
      <c r="FZ24" s="315"/>
      <c r="GA24" s="315"/>
      <c r="GB24" s="315"/>
      <c r="GC24" s="315">
        <v>23283</v>
      </c>
      <c r="GD24" s="315"/>
      <c r="GE24" s="315"/>
      <c r="GF24" s="315"/>
      <c r="GG24" s="315">
        <v>54957</v>
      </c>
      <c r="GH24" s="315">
        <v>1424</v>
      </c>
      <c r="GI24" s="315">
        <v>17009</v>
      </c>
      <c r="GJ24" s="315">
        <v>36524</v>
      </c>
      <c r="GL24"/>
      <c r="GM24"/>
      <c r="GN24"/>
      <c r="GO24"/>
    </row>
    <row r="25" spans="1:197">
      <c r="A25" s="98" t="s">
        <v>14</v>
      </c>
      <c r="B25" s="98">
        <v>6</v>
      </c>
      <c r="C25" s="98" t="s">
        <v>222</v>
      </c>
      <c r="D25" s="315">
        <v>7592590</v>
      </c>
      <c r="E25" s="315">
        <v>-1003689</v>
      </c>
      <c r="F25" s="315">
        <v>-9820</v>
      </c>
      <c r="G25" s="315">
        <v>6579081</v>
      </c>
      <c r="H25" s="315">
        <v>6579081</v>
      </c>
      <c r="I25" s="316"/>
      <c r="J25" s="315"/>
      <c r="K25" s="315"/>
      <c r="L25" s="315">
        <v>4375478</v>
      </c>
      <c r="M25" s="315"/>
      <c r="N25" s="315">
        <v>2739974</v>
      </c>
      <c r="O25" s="315"/>
      <c r="P25" s="315"/>
      <c r="Q25" s="315"/>
      <c r="R25" s="315"/>
      <c r="S25" s="315">
        <v>-61804</v>
      </c>
      <c r="T25" s="315">
        <v>-11842</v>
      </c>
      <c r="U25" s="315"/>
      <c r="V25" s="315"/>
      <c r="W25" s="315"/>
      <c r="X25" s="315"/>
      <c r="Y25" s="315"/>
      <c r="Z25" s="315"/>
      <c r="AA25" s="315">
        <v>-11641</v>
      </c>
      <c r="AB25" s="315">
        <v>-38321</v>
      </c>
      <c r="AC25" s="315">
        <v>-9820</v>
      </c>
      <c r="AD25" s="315">
        <v>4303854</v>
      </c>
      <c r="AE25" s="315">
        <v>4303854</v>
      </c>
      <c r="AF25" s="316"/>
      <c r="AG25" s="315"/>
      <c r="AH25" s="315"/>
      <c r="AI25" s="315">
        <v>1263273</v>
      </c>
      <c r="AJ25" s="315">
        <v>276628</v>
      </c>
      <c r="AK25" s="315">
        <v>832768</v>
      </c>
      <c r="AL25" s="315">
        <v>10103</v>
      </c>
      <c r="AM25" s="315">
        <v>313338</v>
      </c>
      <c r="AN25" s="315"/>
      <c r="AO25" s="315"/>
      <c r="AP25" s="315"/>
      <c r="AQ25" s="315">
        <v>8931</v>
      </c>
      <c r="AR25" s="315">
        <v>2728132</v>
      </c>
      <c r="AS25" s="315"/>
      <c r="AT25" s="315"/>
      <c r="AU25" s="315">
        <v>-9820</v>
      </c>
      <c r="AV25" s="315">
        <v>415914</v>
      </c>
      <c r="AW25" s="315"/>
      <c r="AX25" s="315">
        <v>262059</v>
      </c>
      <c r="AY25" s="315"/>
      <c r="AZ25" s="315"/>
      <c r="BA25" s="315"/>
      <c r="BB25" s="315"/>
      <c r="BC25" s="315"/>
      <c r="BD25" s="315"/>
      <c r="BE25" s="315">
        <v>-197116</v>
      </c>
      <c r="BF25" s="315">
        <v>-177455</v>
      </c>
      <c r="BG25" s="315">
        <v>-177455</v>
      </c>
      <c r="BH25" s="315"/>
      <c r="BI25" s="315"/>
      <c r="BJ25" s="315"/>
      <c r="BK25" s="315"/>
      <c r="BL25" s="315">
        <v>-3241</v>
      </c>
      <c r="BM25" s="315">
        <v>-16420</v>
      </c>
      <c r="BN25" s="315">
        <v>218798</v>
      </c>
      <c r="BO25" s="315">
        <v>122498</v>
      </c>
      <c r="BP25" s="315"/>
      <c r="BQ25" s="315"/>
      <c r="BR25" s="315"/>
      <c r="BS25" s="315">
        <v>11696</v>
      </c>
      <c r="BT25" s="315"/>
      <c r="BU25" s="315"/>
      <c r="BV25" s="315"/>
      <c r="BW25" s="315"/>
      <c r="BX25" s="315">
        <v>84604</v>
      </c>
      <c r="BY25" s="315"/>
      <c r="BZ25" s="315"/>
      <c r="CA25" s="315"/>
      <c r="CB25" s="315"/>
      <c r="CC25" s="315"/>
      <c r="CD25" s="315"/>
      <c r="CE25" s="315"/>
      <c r="CF25" s="315"/>
      <c r="CG25" s="315"/>
      <c r="CH25" s="315"/>
      <c r="CI25" s="315">
        <v>1483638</v>
      </c>
      <c r="CJ25" s="315">
        <v>434836</v>
      </c>
      <c r="CK25" s="315">
        <v>1048802</v>
      </c>
      <c r="CL25" s="315">
        <v>974457</v>
      </c>
      <c r="CM25" s="315">
        <v>56862</v>
      </c>
      <c r="CN25" s="315">
        <v>17483</v>
      </c>
      <c r="CO25" s="315"/>
      <c r="CP25" s="315"/>
      <c r="CQ25" s="315">
        <v>17483</v>
      </c>
      <c r="CR25" s="315">
        <v>-737031</v>
      </c>
      <c r="CS25" s="315">
        <v>-381298</v>
      </c>
      <c r="CT25" s="315"/>
      <c r="CU25" s="315"/>
      <c r="CV25" s="315"/>
      <c r="CW25" s="315"/>
      <c r="CX25" s="315">
        <v>-355733</v>
      </c>
      <c r="CY25" s="315">
        <v>-239347</v>
      </c>
      <c r="CZ25" s="315">
        <v>0</v>
      </c>
      <c r="DA25" s="315">
        <v>-116386</v>
      </c>
      <c r="DB25" s="315">
        <v>0</v>
      </c>
      <c r="DC25" s="315">
        <v>0</v>
      </c>
      <c r="DD25" s="315">
        <v>746607</v>
      </c>
      <c r="DE25" s="315">
        <v>746607</v>
      </c>
      <c r="DF25" s="316"/>
      <c r="DG25" s="315"/>
      <c r="DH25" s="315"/>
      <c r="DI25" s="315">
        <v>1018696</v>
      </c>
      <c r="DJ25" s="315">
        <v>39182</v>
      </c>
      <c r="DK25" s="315">
        <v>14894</v>
      </c>
      <c r="DL25" s="315">
        <v>1534</v>
      </c>
      <c r="DM25" s="315">
        <v>684530</v>
      </c>
      <c r="DN25" s="315">
        <v>214429</v>
      </c>
      <c r="DO25" s="315"/>
      <c r="DP25" s="315"/>
      <c r="DQ25" s="315"/>
      <c r="DR25" s="315">
        <v>64127</v>
      </c>
      <c r="DS25" s="315">
        <v>-3701</v>
      </c>
      <c r="DT25" s="315">
        <v>-711</v>
      </c>
      <c r="DU25" s="315">
        <v>-103</v>
      </c>
      <c r="DV25" s="315">
        <v>-224</v>
      </c>
      <c r="DW25" s="315">
        <v>-530</v>
      </c>
      <c r="DX25" s="315"/>
      <c r="DY25" s="315"/>
      <c r="DZ25" s="315"/>
      <c r="EA25" s="315">
        <v>0</v>
      </c>
      <c r="EB25" s="315"/>
      <c r="EC25" s="315"/>
      <c r="ED25" s="315"/>
      <c r="EE25" s="315">
        <v>-2133</v>
      </c>
      <c r="EF25" s="315">
        <v>1014995</v>
      </c>
      <c r="EG25" s="315">
        <v>1014995</v>
      </c>
      <c r="EH25" s="316"/>
      <c r="EI25" s="315"/>
      <c r="EJ25" s="315"/>
      <c r="EK25" s="315">
        <v>38471</v>
      </c>
      <c r="EL25" s="315">
        <v>38471</v>
      </c>
      <c r="EM25" s="316"/>
      <c r="EN25" s="315"/>
      <c r="EO25" s="315"/>
      <c r="EP25" s="315">
        <v>14791</v>
      </c>
      <c r="EQ25" s="315">
        <v>14791</v>
      </c>
      <c r="ER25" s="316"/>
      <c r="ES25" s="315"/>
      <c r="ET25" s="315"/>
      <c r="EU25" s="315">
        <v>1310</v>
      </c>
      <c r="EV25" s="315">
        <v>1310</v>
      </c>
      <c r="EW25" s="316"/>
      <c r="EX25" s="315"/>
      <c r="EY25" s="315"/>
      <c r="EZ25" s="315">
        <v>684000</v>
      </c>
      <c r="FA25" s="315">
        <v>684000</v>
      </c>
      <c r="FB25" s="316"/>
      <c r="FC25" s="315"/>
      <c r="FD25" s="315"/>
      <c r="FE25" s="315">
        <v>214429</v>
      </c>
      <c r="FF25" s="315">
        <v>214429</v>
      </c>
      <c r="FG25" s="316"/>
      <c r="FH25" s="315"/>
      <c r="FI25" s="315"/>
      <c r="FJ25" s="315"/>
      <c r="FK25" s="315"/>
      <c r="FL25" s="316"/>
      <c r="FM25" s="315"/>
      <c r="FN25" s="315"/>
      <c r="FO25" s="315"/>
      <c r="FP25" s="315"/>
      <c r="FQ25" s="315">
        <v>61994</v>
      </c>
      <c r="FR25" s="315">
        <v>298864</v>
      </c>
      <c r="FS25" s="315">
        <v>-4037</v>
      </c>
      <c r="FT25" s="315">
        <v>294827</v>
      </c>
      <c r="FU25" s="315"/>
      <c r="FV25" s="315"/>
      <c r="FW25" s="315"/>
      <c r="FX25" s="315">
        <v>42678</v>
      </c>
      <c r="FY25" s="315"/>
      <c r="FZ25" s="315"/>
      <c r="GA25" s="315"/>
      <c r="GB25" s="315"/>
      <c r="GC25" s="315">
        <v>15380</v>
      </c>
      <c r="GD25" s="315"/>
      <c r="GE25" s="315"/>
      <c r="GF25" s="315"/>
      <c r="GG25" s="315">
        <v>236769</v>
      </c>
      <c r="GH25" s="315">
        <v>147128</v>
      </c>
      <c r="GI25" s="315">
        <v>24726</v>
      </c>
      <c r="GJ25" s="315">
        <v>64915</v>
      </c>
      <c r="GL25"/>
      <c r="GM25"/>
      <c r="GN25"/>
      <c r="GO25"/>
    </row>
    <row r="26" spans="1:197">
      <c r="A26" s="98" t="s">
        <v>14</v>
      </c>
      <c r="B26" s="98">
        <v>7</v>
      </c>
      <c r="C26" s="98" t="s">
        <v>223</v>
      </c>
      <c r="D26" s="315">
        <v>12080435</v>
      </c>
      <c r="E26" s="315">
        <v>-1548881</v>
      </c>
      <c r="F26" s="315">
        <v>-9821</v>
      </c>
      <c r="G26" s="315">
        <v>10521733</v>
      </c>
      <c r="H26" s="315">
        <v>10521733</v>
      </c>
      <c r="I26" s="316"/>
      <c r="J26" s="315"/>
      <c r="K26" s="315"/>
      <c r="L26" s="315">
        <v>4659093</v>
      </c>
      <c r="M26" s="315"/>
      <c r="N26" s="315">
        <v>75136</v>
      </c>
      <c r="O26" s="315"/>
      <c r="P26" s="315"/>
      <c r="Q26" s="315"/>
      <c r="R26" s="315"/>
      <c r="S26" s="315">
        <v>-382537</v>
      </c>
      <c r="T26" s="315">
        <v>-297360</v>
      </c>
      <c r="U26" s="315"/>
      <c r="V26" s="315"/>
      <c r="W26" s="315"/>
      <c r="X26" s="315"/>
      <c r="Y26" s="315"/>
      <c r="Z26" s="315"/>
      <c r="AA26" s="315">
        <v>-1588</v>
      </c>
      <c r="AB26" s="315">
        <v>-83589</v>
      </c>
      <c r="AC26" s="315">
        <v>-9821</v>
      </c>
      <c r="AD26" s="315">
        <v>4266735</v>
      </c>
      <c r="AE26" s="315">
        <v>4266735</v>
      </c>
      <c r="AF26" s="316"/>
      <c r="AG26" s="315"/>
      <c r="AH26" s="315"/>
      <c r="AI26" s="315">
        <v>3410996</v>
      </c>
      <c r="AJ26" s="315">
        <v>348477</v>
      </c>
      <c r="AK26" s="315">
        <v>1104876</v>
      </c>
      <c r="AL26" s="315">
        <v>1813416</v>
      </c>
      <c r="AM26" s="315">
        <v>491502</v>
      </c>
      <c r="AN26" s="315"/>
      <c r="AO26" s="315"/>
      <c r="AP26" s="315"/>
      <c r="AQ26" s="315">
        <v>596282</v>
      </c>
      <c r="AR26" s="315">
        <v>-222224</v>
      </c>
      <c r="AS26" s="315"/>
      <c r="AT26" s="315"/>
      <c r="AU26" s="315">
        <v>-9821</v>
      </c>
      <c r="AV26" s="315">
        <v>2172238</v>
      </c>
      <c r="AW26" s="315"/>
      <c r="AX26" s="315">
        <v>1911341</v>
      </c>
      <c r="AY26" s="315"/>
      <c r="AZ26" s="315"/>
      <c r="BA26" s="315"/>
      <c r="BB26" s="315"/>
      <c r="BC26" s="315"/>
      <c r="BD26" s="315"/>
      <c r="BE26" s="315">
        <v>-216575</v>
      </c>
      <c r="BF26" s="315">
        <v>-180420</v>
      </c>
      <c r="BG26" s="315">
        <v>-180420</v>
      </c>
      <c r="BH26" s="315"/>
      <c r="BI26" s="315"/>
      <c r="BJ26" s="315"/>
      <c r="BK26" s="315"/>
      <c r="BL26" s="315">
        <v>-329</v>
      </c>
      <c r="BM26" s="315">
        <v>-35826</v>
      </c>
      <c r="BN26" s="315">
        <v>1955663</v>
      </c>
      <c r="BO26" s="315">
        <v>209170</v>
      </c>
      <c r="BP26" s="315"/>
      <c r="BQ26" s="315"/>
      <c r="BR26" s="315"/>
      <c r="BS26" s="315">
        <v>15572</v>
      </c>
      <c r="BT26" s="315"/>
      <c r="BU26" s="315"/>
      <c r="BV26" s="315"/>
      <c r="BW26" s="315"/>
      <c r="BX26" s="315">
        <v>1730921</v>
      </c>
      <c r="BY26" s="315"/>
      <c r="BZ26" s="315"/>
      <c r="CA26" s="315"/>
      <c r="CB26" s="315"/>
      <c r="CC26" s="315"/>
      <c r="CD26" s="315"/>
      <c r="CE26" s="315"/>
      <c r="CF26" s="315"/>
      <c r="CG26" s="315"/>
      <c r="CH26" s="315"/>
      <c r="CI26" s="315">
        <v>4072881</v>
      </c>
      <c r="CJ26" s="315">
        <v>463365</v>
      </c>
      <c r="CK26" s="315">
        <v>3609516</v>
      </c>
      <c r="CL26" s="315">
        <v>996225</v>
      </c>
      <c r="CM26" s="315">
        <v>2595861</v>
      </c>
      <c r="CN26" s="315">
        <v>17430</v>
      </c>
      <c r="CO26" s="315"/>
      <c r="CP26" s="315"/>
      <c r="CQ26" s="315">
        <v>17430</v>
      </c>
      <c r="CR26" s="315">
        <v>-940508</v>
      </c>
      <c r="CS26" s="315">
        <v>-447732</v>
      </c>
      <c r="CT26" s="315"/>
      <c r="CU26" s="315"/>
      <c r="CV26" s="315"/>
      <c r="CW26" s="315"/>
      <c r="CX26" s="315">
        <v>-347403</v>
      </c>
      <c r="CY26" s="315">
        <v>-311985</v>
      </c>
      <c r="CZ26" s="315">
        <v>0</v>
      </c>
      <c r="DA26" s="315">
        <v>-35418</v>
      </c>
      <c r="DB26" s="315">
        <v>-145373</v>
      </c>
      <c r="DC26" s="315">
        <v>0</v>
      </c>
      <c r="DD26" s="315">
        <v>3132373</v>
      </c>
      <c r="DE26" s="315">
        <v>3132373</v>
      </c>
      <c r="DF26" s="316"/>
      <c r="DG26" s="315"/>
      <c r="DH26" s="315"/>
      <c r="DI26" s="315">
        <v>1017273</v>
      </c>
      <c r="DJ26" s="315">
        <v>58573</v>
      </c>
      <c r="DK26" s="315">
        <v>18137</v>
      </c>
      <c r="DL26" s="315">
        <v>-5673</v>
      </c>
      <c r="DM26" s="315">
        <v>665125</v>
      </c>
      <c r="DN26" s="315">
        <v>205778</v>
      </c>
      <c r="DO26" s="315"/>
      <c r="DP26" s="315"/>
      <c r="DQ26" s="315"/>
      <c r="DR26" s="315">
        <v>75333</v>
      </c>
      <c r="DS26" s="315">
        <v>-7207</v>
      </c>
      <c r="DT26" s="315">
        <v>-936</v>
      </c>
      <c r="DU26" s="315">
        <v>-41</v>
      </c>
      <c r="DV26" s="315">
        <v>-1</v>
      </c>
      <c r="DW26" s="315">
        <v>-4715</v>
      </c>
      <c r="DX26" s="315"/>
      <c r="DY26" s="315"/>
      <c r="DZ26" s="315"/>
      <c r="EA26" s="315">
        <v>-3</v>
      </c>
      <c r="EB26" s="315"/>
      <c r="EC26" s="315"/>
      <c r="ED26" s="315"/>
      <c r="EE26" s="315">
        <v>-1511</v>
      </c>
      <c r="EF26" s="315">
        <v>1010066</v>
      </c>
      <c r="EG26" s="315">
        <v>1010066</v>
      </c>
      <c r="EH26" s="316"/>
      <c r="EI26" s="315"/>
      <c r="EJ26" s="315"/>
      <c r="EK26" s="315">
        <v>57637</v>
      </c>
      <c r="EL26" s="315">
        <v>57637</v>
      </c>
      <c r="EM26" s="316"/>
      <c r="EN26" s="315"/>
      <c r="EO26" s="315"/>
      <c r="EP26" s="315">
        <v>18096</v>
      </c>
      <c r="EQ26" s="315">
        <v>18096</v>
      </c>
      <c r="ER26" s="316"/>
      <c r="ES26" s="315"/>
      <c r="ET26" s="315"/>
      <c r="EU26" s="315">
        <v>-5674</v>
      </c>
      <c r="EV26" s="315">
        <v>-5674</v>
      </c>
      <c r="EW26" s="316"/>
      <c r="EX26" s="315"/>
      <c r="EY26" s="315"/>
      <c r="EZ26" s="315">
        <v>660410</v>
      </c>
      <c r="FA26" s="315">
        <v>660410</v>
      </c>
      <c r="FB26" s="316"/>
      <c r="FC26" s="315"/>
      <c r="FD26" s="315"/>
      <c r="FE26" s="315">
        <v>205775</v>
      </c>
      <c r="FF26" s="315">
        <v>205775</v>
      </c>
      <c r="FG26" s="316"/>
      <c r="FH26" s="315"/>
      <c r="FI26" s="315"/>
      <c r="FJ26" s="315"/>
      <c r="FK26" s="315"/>
      <c r="FL26" s="316"/>
      <c r="FM26" s="315"/>
      <c r="FN26" s="315"/>
      <c r="FO26" s="315"/>
      <c r="FP26" s="315"/>
      <c r="FQ26" s="315">
        <v>73822</v>
      </c>
      <c r="FR26" s="315">
        <v>158950</v>
      </c>
      <c r="FS26" s="315">
        <v>-2054</v>
      </c>
      <c r="FT26" s="315">
        <v>156896</v>
      </c>
      <c r="FU26" s="315"/>
      <c r="FV26" s="315"/>
      <c r="FW26" s="315"/>
      <c r="FX26" s="315">
        <v>52919</v>
      </c>
      <c r="FY26" s="315"/>
      <c r="FZ26" s="315"/>
      <c r="GA26" s="315"/>
      <c r="GB26" s="315"/>
      <c r="GC26" s="315">
        <v>41704</v>
      </c>
      <c r="GD26" s="315"/>
      <c r="GE26" s="315"/>
      <c r="GF26" s="315"/>
      <c r="GG26" s="315">
        <v>62273</v>
      </c>
      <c r="GH26" s="315">
        <v>11498</v>
      </c>
      <c r="GI26" s="315">
        <v>10170</v>
      </c>
      <c r="GJ26" s="315">
        <v>40605</v>
      </c>
      <c r="GL26"/>
      <c r="GM26"/>
      <c r="GN26"/>
      <c r="GO26"/>
    </row>
    <row r="27" spans="1:197">
      <c r="A27" s="98" t="s">
        <v>14</v>
      </c>
      <c r="B27" s="98">
        <v>8</v>
      </c>
      <c r="C27" s="98" t="s">
        <v>224</v>
      </c>
      <c r="D27" s="315">
        <v>5164062</v>
      </c>
      <c r="E27" s="315">
        <v>-1257490</v>
      </c>
      <c r="F27" s="315">
        <v>-9814</v>
      </c>
      <c r="G27" s="315">
        <v>3896758</v>
      </c>
      <c r="H27" s="315">
        <v>3896758</v>
      </c>
      <c r="I27" s="316"/>
      <c r="J27" s="315"/>
      <c r="K27" s="315"/>
      <c r="L27" s="315">
        <v>1252978</v>
      </c>
      <c r="M27" s="315"/>
      <c r="N27" s="315">
        <v>48666</v>
      </c>
      <c r="O27" s="315"/>
      <c r="P27" s="315"/>
      <c r="Q27" s="315"/>
      <c r="R27" s="315"/>
      <c r="S27" s="315">
        <v>-431473</v>
      </c>
      <c r="T27" s="315">
        <v>-329705</v>
      </c>
      <c r="U27" s="315"/>
      <c r="V27" s="315"/>
      <c r="W27" s="315"/>
      <c r="X27" s="315"/>
      <c r="Y27" s="315"/>
      <c r="Z27" s="315"/>
      <c r="AA27" s="315">
        <v>-4554</v>
      </c>
      <c r="AB27" s="315">
        <v>-97214</v>
      </c>
      <c r="AC27" s="315">
        <v>-9814</v>
      </c>
      <c r="AD27" s="315">
        <v>811691</v>
      </c>
      <c r="AE27" s="315">
        <v>811691</v>
      </c>
      <c r="AF27" s="316"/>
      <c r="AG27" s="315"/>
      <c r="AH27" s="315"/>
      <c r="AI27" s="315">
        <v>702499</v>
      </c>
      <c r="AJ27" s="315">
        <v>615562</v>
      </c>
      <c r="AK27" s="315">
        <v>56514</v>
      </c>
      <c r="AL27" s="315">
        <v>41091</v>
      </c>
      <c r="AM27" s="315">
        <v>393290</v>
      </c>
      <c r="AN27" s="315"/>
      <c r="AO27" s="315"/>
      <c r="AP27" s="315"/>
      <c r="AQ27" s="315">
        <v>6755</v>
      </c>
      <c r="AR27" s="315">
        <v>-281039</v>
      </c>
      <c r="AS27" s="315"/>
      <c r="AT27" s="315"/>
      <c r="AU27" s="315">
        <v>-9814</v>
      </c>
      <c r="AV27" s="315">
        <v>2251532</v>
      </c>
      <c r="AW27" s="315"/>
      <c r="AX27" s="315">
        <v>2076556</v>
      </c>
      <c r="AY27" s="315"/>
      <c r="AZ27" s="315"/>
      <c r="BA27" s="315"/>
      <c r="BB27" s="315"/>
      <c r="BC27" s="315"/>
      <c r="BD27" s="315"/>
      <c r="BE27" s="315">
        <v>-200061</v>
      </c>
      <c r="BF27" s="315">
        <v>-157134</v>
      </c>
      <c r="BG27" s="315">
        <v>-157134</v>
      </c>
      <c r="BH27" s="315"/>
      <c r="BI27" s="315"/>
      <c r="BJ27" s="315"/>
      <c r="BK27" s="315"/>
      <c r="BL27" s="315">
        <v>-1265</v>
      </c>
      <c r="BM27" s="315">
        <v>-41662</v>
      </c>
      <c r="BN27" s="315">
        <v>2051471</v>
      </c>
      <c r="BO27" s="315">
        <v>128160</v>
      </c>
      <c r="BP27" s="315"/>
      <c r="BQ27" s="315"/>
      <c r="BR27" s="315"/>
      <c r="BS27" s="315">
        <v>3889</v>
      </c>
      <c r="BT27" s="315"/>
      <c r="BU27" s="315"/>
      <c r="BV27" s="315"/>
      <c r="BW27" s="315"/>
      <c r="BX27" s="315">
        <v>1919422</v>
      </c>
      <c r="BY27" s="315"/>
      <c r="BZ27" s="315"/>
      <c r="CA27" s="315"/>
      <c r="CB27" s="315"/>
      <c r="CC27" s="315"/>
      <c r="CD27" s="315"/>
      <c r="CE27" s="315"/>
      <c r="CF27" s="315"/>
      <c r="CG27" s="315"/>
      <c r="CH27" s="315"/>
      <c r="CI27" s="315">
        <v>385596</v>
      </c>
      <c r="CJ27" s="315">
        <v>256144</v>
      </c>
      <c r="CK27" s="315">
        <v>129452</v>
      </c>
      <c r="CL27" s="315">
        <v>77651</v>
      </c>
      <c r="CM27" s="315">
        <v>42155</v>
      </c>
      <c r="CN27" s="315">
        <v>9646</v>
      </c>
      <c r="CO27" s="315"/>
      <c r="CP27" s="315"/>
      <c r="CQ27" s="315">
        <v>9646</v>
      </c>
      <c r="CR27" s="315">
        <v>-621229</v>
      </c>
      <c r="CS27" s="315">
        <v>-335923</v>
      </c>
      <c r="CT27" s="315"/>
      <c r="CU27" s="315"/>
      <c r="CV27" s="315"/>
      <c r="CW27" s="315"/>
      <c r="CX27" s="315">
        <v>-208539</v>
      </c>
      <c r="CY27" s="315">
        <v>-193622</v>
      </c>
      <c r="CZ27" s="315">
        <v>0</v>
      </c>
      <c r="DA27" s="315">
        <v>-14917</v>
      </c>
      <c r="DB27" s="315">
        <v>-18000</v>
      </c>
      <c r="DC27" s="315">
        <v>-58767</v>
      </c>
      <c r="DD27" s="315">
        <v>-235633</v>
      </c>
      <c r="DE27" s="315">
        <v>-235633</v>
      </c>
      <c r="DF27" s="316"/>
      <c r="DG27" s="315"/>
      <c r="DH27" s="315"/>
      <c r="DI27" s="315">
        <v>1160062</v>
      </c>
      <c r="DJ27" s="315">
        <v>41823</v>
      </c>
      <c r="DK27" s="315">
        <v>17230</v>
      </c>
      <c r="DL27" s="315">
        <v>1323</v>
      </c>
      <c r="DM27" s="315">
        <v>756673</v>
      </c>
      <c r="DN27" s="315">
        <v>292891</v>
      </c>
      <c r="DO27" s="315"/>
      <c r="DP27" s="315"/>
      <c r="DQ27" s="315"/>
      <c r="DR27" s="315">
        <v>50122</v>
      </c>
      <c r="DS27" s="315">
        <v>-2705</v>
      </c>
      <c r="DT27" s="315">
        <v>-1267</v>
      </c>
      <c r="DU27" s="315">
        <v>-77</v>
      </c>
      <c r="DV27" s="315">
        <v>-193</v>
      </c>
      <c r="DW27" s="315">
        <v>-389</v>
      </c>
      <c r="DX27" s="315"/>
      <c r="DY27" s="315"/>
      <c r="DZ27" s="315"/>
      <c r="EA27" s="315">
        <v>0</v>
      </c>
      <c r="EB27" s="315"/>
      <c r="EC27" s="315"/>
      <c r="ED27" s="315"/>
      <c r="EE27" s="315">
        <v>-779</v>
      </c>
      <c r="EF27" s="315">
        <v>1157357</v>
      </c>
      <c r="EG27" s="315">
        <v>1157357</v>
      </c>
      <c r="EH27" s="316"/>
      <c r="EI27" s="315"/>
      <c r="EJ27" s="315"/>
      <c r="EK27" s="315">
        <v>40556</v>
      </c>
      <c r="EL27" s="315">
        <v>40556</v>
      </c>
      <c r="EM27" s="316"/>
      <c r="EN27" s="315"/>
      <c r="EO27" s="315"/>
      <c r="EP27" s="315">
        <v>17153</v>
      </c>
      <c r="EQ27" s="315">
        <v>17153</v>
      </c>
      <c r="ER27" s="316"/>
      <c r="ES27" s="315"/>
      <c r="ET27" s="315"/>
      <c r="EU27" s="315">
        <v>1130</v>
      </c>
      <c r="EV27" s="315">
        <v>1130</v>
      </c>
      <c r="EW27" s="316"/>
      <c r="EX27" s="315"/>
      <c r="EY27" s="315"/>
      <c r="EZ27" s="315">
        <v>756284</v>
      </c>
      <c r="FA27" s="315">
        <v>756284</v>
      </c>
      <c r="FB27" s="316"/>
      <c r="FC27" s="315"/>
      <c r="FD27" s="315"/>
      <c r="FE27" s="315">
        <v>292891</v>
      </c>
      <c r="FF27" s="315">
        <v>292891</v>
      </c>
      <c r="FG27" s="316"/>
      <c r="FH27" s="315"/>
      <c r="FI27" s="315"/>
      <c r="FJ27" s="315"/>
      <c r="FK27" s="315"/>
      <c r="FL27" s="316"/>
      <c r="FM27" s="315"/>
      <c r="FN27" s="315"/>
      <c r="FO27" s="315"/>
      <c r="FP27" s="315"/>
      <c r="FQ27" s="315">
        <v>49343</v>
      </c>
      <c r="FR27" s="315">
        <v>113894</v>
      </c>
      <c r="FS27" s="315">
        <v>-2022</v>
      </c>
      <c r="FT27" s="315">
        <v>111872</v>
      </c>
      <c r="FU27" s="315"/>
      <c r="FV27" s="315"/>
      <c r="FW27" s="315"/>
      <c r="FX27" s="315">
        <v>48159</v>
      </c>
      <c r="FY27" s="315"/>
      <c r="FZ27" s="315"/>
      <c r="GA27" s="315"/>
      <c r="GB27" s="315"/>
      <c r="GC27" s="315">
        <v>16534</v>
      </c>
      <c r="GD27" s="315"/>
      <c r="GE27" s="315"/>
      <c r="GF27" s="315"/>
      <c r="GG27" s="315">
        <v>47179</v>
      </c>
      <c r="GH27" s="315">
        <v>1670</v>
      </c>
      <c r="GI27" s="315">
        <v>16258</v>
      </c>
      <c r="GJ27" s="315">
        <v>29251</v>
      </c>
      <c r="GL27"/>
      <c r="GM27"/>
      <c r="GN27"/>
      <c r="GO27"/>
    </row>
    <row r="28" spans="1:197">
      <c r="A28" s="98" t="s">
        <v>14</v>
      </c>
      <c r="B28" s="98">
        <v>9</v>
      </c>
      <c r="C28" s="98" t="s">
        <v>225</v>
      </c>
      <c r="D28" s="315">
        <v>6937240</v>
      </c>
      <c r="E28" s="315">
        <v>-1569275</v>
      </c>
      <c r="F28" s="315">
        <v>-9815</v>
      </c>
      <c r="G28" s="315">
        <v>5358150</v>
      </c>
      <c r="H28" s="315">
        <v>5358150</v>
      </c>
      <c r="I28" s="316"/>
      <c r="J28" s="315"/>
      <c r="K28" s="315"/>
      <c r="L28" s="315">
        <v>2734342</v>
      </c>
      <c r="M28" s="315"/>
      <c r="N28" s="315">
        <v>51152</v>
      </c>
      <c r="O28" s="315"/>
      <c r="P28" s="315"/>
      <c r="Q28" s="315"/>
      <c r="R28" s="315"/>
      <c r="S28" s="315">
        <v>-967180</v>
      </c>
      <c r="T28" s="315">
        <v>-755725</v>
      </c>
      <c r="U28" s="315"/>
      <c r="V28" s="315"/>
      <c r="W28" s="315"/>
      <c r="X28" s="315"/>
      <c r="Y28" s="315"/>
      <c r="Z28" s="315"/>
      <c r="AA28" s="315">
        <v>-872</v>
      </c>
      <c r="AB28" s="315">
        <v>-210583</v>
      </c>
      <c r="AC28" s="315">
        <v>-9815</v>
      </c>
      <c r="AD28" s="315">
        <v>1757347</v>
      </c>
      <c r="AE28" s="315">
        <v>1757347</v>
      </c>
      <c r="AF28" s="316"/>
      <c r="AG28" s="315"/>
      <c r="AH28" s="315"/>
      <c r="AI28" s="315">
        <v>2156101</v>
      </c>
      <c r="AJ28" s="315">
        <v>278738</v>
      </c>
      <c r="AK28" s="315">
        <v>1797813</v>
      </c>
      <c r="AL28" s="315">
        <v>4916</v>
      </c>
      <c r="AM28" s="315">
        <v>309744</v>
      </c>
      <c r="AN28" s="315"/>
      <c r="AO28" s="315"/>
      <c r="AP28" s="315"/>
      <c r="AQ28" s="315">
        <v>5890</v>
      </c>
      <c r="AR28" s="315">
        <v>-704573</v>
      </c>
      <c r="AS28" s="315"/>
      <c r="AT28" s="315"/>
      <c r="AU28" s="315">
        <v>-9815</v>
      </c>
      <c r="AV28" s="315">
        <v>362107</v>
      </c>
      <c r="AW28" s="315"/>
      <c r="AX28" s="315">
        <v>141631</v>
      </c>
      <c r="AY28" s="315"/>
      <c r="AZ28" s="315"/>
      <c r="BA28" s="315"/>
      <c r="BB28" s="315"/>
      <c r="BC28" s="315"/>
      <c r="BD28" s="315"/>
      <c r="BE28" s="315">
        <v>-139973</v>
      </c>
      <c r="BF28" s="315">
        <v>-49652</v>
      </c>
      <c r="BG28" s="315">
        <v>-49652</v>
      </c>
      <c r="BH28" s="315"/>
      <c r="BI28" s="315"/>
      <c r="BJ28" s="315"/>
      <c r="BK28" s="315"/>
      <c r="BL28" s="315">
        <v>-73</v>
      </c>
      <c r="BM28" s="315">
        <v>-90248</v>
      </c>
      <c r="BN28" s="315">
        <v>222134</v>
      </c>
      <c r="BO28" s="315">
        <v>127949</v>
      </c>
      <c r="BP28" s="315"/>
      <c r="BQ28" s="315"/>
      <c r="BR28" s="315"/>
      <c r="BS28" s="315">
        <v>2206</v>
      </c>
      <c r="BT28" s="315"/>
      <c r="BU28" s="315"/>
      <c r="BV28" s="315"/>
      <c r="BW28" s="315"/>
      <c r="BX28" s="315">
        <v>91979</v>
      </c>
      <c r="BY28" s="315"/>
      <c r="BZ28" s="315"/>
      <c r="CA28" s="315"/>
      <c r="CB28" s="315"/>
      <c r="CC28" s="315"/>
      <c r="CD28" s="315"/>
      <c r="CE28" s="315"/>
      <c r="CF28" s="315"/>
      <c r="CG28" s="315"/>
      <c r="CH28" s="315"/>
      <c r="CI28" s="315">
        <v>2564055</v>
      </c>
      <c r="CJ28" s="315">
        <v>653413</v>
      </c>
      <c r="CK28" s="315">
        <v>1910642</v>
      </c>
      <c r="CL28" s="315">
        <v>1845787</v>
      </c>
      <c r="CM28" s="315">
        <v>48255</v>
      </c>
      <c r="CN28" s="315">
        <v>16600</v>
      </c>
      <c r="CO28" s="315"/>
      <c r="CP28" s="315"/>
      <c r="CQ28" s="315">
        <v>16600</v>
      </c>
      <c r="CR28" s="315">
        <v>-455885</v>
      </c>
      <c r="CS28" s="315">
        <v>-235362</v>
      </c>
      <c r="CT28" s="315"/>
      <c r="CU28" s="315"/>
      <c r="CV28" s="315"/>
      <c r="CW28" s="315"/>
      <c r="CX28" s="315">
        <v>-220523</v>
      </c>
      <c r="CY28" s="315">
        <v>-185887</v>
      </c>
      <c r="CZ28" s="315">
        <v>0</v>
      </c>
      <c r="DA28" s="315">
        <v>-34636</v>
      </c>
      <c r="DB28" s="315">
        <v>0</v>
      </c>
      <c r="DC28" s="315">
        <v>0</v>
      </c>
      <c r="DD28" s="315">
        <v>2108170</v>
      </c>
      <c r="DE28" s="315">
        <v>2108170</v>
      </c>
      <c r="DF28" s="316"/>
      <c r="DG28" s="315"/>
      <c r="DH28" s="315"/>
      <c r="DI28" s="315">
        <v>1162098</v>
      </c>
      <c r="DJ28" s="315">
        <v>102013</v>
      </c>
      <c r="DK28" s="315">
        <v>21618</v>
      </c>
      <c r="DL28" s="315">
        <v>2310</v>
      </c>
      <c r="DM28" s="315">
        <v>719558</v>
      </c>
      <c r="DN28" s="315">
        <v>273611</v>
      </c>
      <c r="DO28" s="315"/>
      <c r="DP28" s="315"/>
      <c r="DQ28" s="315"/>
      <c r="DR28" s="315">
        <v>42988</v>
      </c>
      <c r="DS28" s="315">
        <v>-4789</v>
      </c>
      <c r="DT28" s="315">
        <v>-1890</v>
      </c>
      <c r="DU28" s="315">
        <v>-30</v>
      </c>
      <c r="DV28" s="315">
        <v>-2</v>
      </c>
      <c r="DW28" s="315">
        <v>-507</v>
      </c>
      <c r="DX28" s="315"/>
      <c r="DY28" s="315"/>
      <c r="DZ28" s="315"/>
      <c r="EA28" s="315">
        <v>0</v>
      </c>
      <c r="EB28" s="315"/>
      <c r="EC28" s="315"/>
      <c r="ED28" s="315"/>
      <c r="EE28" s="315">
        <v>-2360</v>
      </c>
      <c r="EF28" s="315">
        <v>1157309</v>
      </c>
      <c r="EG28" s="315">
        <v>1157309</v>
      </c>
      <c r="EH28" s="316"/>
      <c r="EI28" s="315"/>
      <c r="EJ28" s="315"/>
      <c r="EK28" s="315">
        <v>100123</v>
      </c>
      <c r="EL28" s="315">
        <v>100123</v>
      </c>
      <c r="EM28" s="316"/>
      <c r="EN28" s="315"/>
      <c r="EO28" s="315"/>
      <c r="EP28" s="315">
        <v>21588</v>
      </c>
      <c r="EQ28" s="315">
        <v>21588</v>
      </c>
      <c r="ER28" s="316"/>
      <c r="ES28" s="315"/>
      <c r="ET28" s="315"/>
      <c r="EU28" s="315">
        <v>2308</v>
      </c>
      <c r="EV28" s="315">
        <v>2308</v>
      </c>
      <c r="EW28" s="316"/>
      <c r="EX28" s="315"/>
      <c r="EY28" s="315"/>
      <c r="EZ28" s="315">
        <v>719051</v>
      </c>
      <c r="FA28" s="315">
        <v>719051</v>
      </c>
      <c r="FB28" s="316"/>
      <c r="FC28" s="315"/>
      <c r="FD28" s="315"/>
      <c r="FE28" s="315">
        <v>273611</v>
      </c>
      <c r="FF28" s="315">
        <v>273611</v>
      </c>
      <c r="FG28" s="316"/>
      <c r="FH28" s="315"/>
      <c r="FI28" s="315"/>
      <c r="FJ28" s="315"/>
      <c r="FK28" s="315"/>
      <c r="FL28" s="316"/>
      <c r="FM28" s="315"/>
      <c r="FN28" s="315"/>
      <c r="FO28" s="315"/>
      <c r="FP28" s="315"/>
      <c r="FQ28" s="315">
        <v>40628</v>
      </c>
      <c r="FR28" s="315">
        <v>114638</v>
      </c>
      <c r="FS28" s="315">
        <v>-1448</v>
      </c>
      <c r="FT28" s="315">
        <v>113190</v>
      </c>
      <c r="FU28" s="315"/>
      <c r="FV28" s="315"/>
      <c r="FW28" s="315"/>
      <c r="FX28" s="315">
        <v>43273</v>
      </c>
      <c r="FY28" s="315"/>
      <c r="FZ28" s="315"/>
      <c r="GA28" s="315"/>
      <c r="GB28" s="315"/>
      <c r="GC28" s="315">
        <v>17327</v>
      </c>
      <c r="GD28" s="315"/>
      <c r="GE28" s="315"/>
      <c r="GF28" s="315"/>
      <c r="GG28" s="315">
        <v>52590</v>
      </c>
      <c r="GH28" s="315">
        <v>866</v>
      </c>
      <c r="GI28" s="315">
        <v>13992</v>
      </c>
      <c r="GJ28" s="315">
        <v>37732</v>
      </c>
      <c r="GL28"/>
      <c r="GM28"/>
      <c r="GN28"/>
      <c r="GO28"/>
    </row>
    <row r="29" spans="1:197">
      <c r="A29" s="98" t="s">
        <v>14</v>
      </c>
      <c r="B29" s="98">
        <v>10</v>
      </c>
      <c r="C29" s="98" t="s">
        <v>226</v>
      </c>
      <c r="D29" s="315">
        <v>11052701</v>
      </c>
      <c r="E29" s="315">
        <v>-2555291</v>
      </c>
      <c r="F29" s="315">
        <v>-9815</v>
      </c>
      <c r="G29" s="315">
        <v>8487595</v>
      </c>
      <c r="H29" s="315">
        <v>8487595</v>
      </c>
      <c r="I29" s="316"/>
      <c r="J29" s="315"/>
      <c r="K29" s="315"/>
      <c r="L29" s="315">
        <v>4476708</v>
      </c>
      <c r="M29" s="315"/>
      <c r="N29" s="315">
        <v>65724</v>
      </c>
      <c r="O29" s="315"/>
      <c r="P29" s="315"/>
      <c r="Q29" s="315"/>
      <c r="R29" s="315"/>
      <c r="S29" s="315">
        <v>-1795731</v>
      </c>
      <c r="T29" s="315">
        <v>-1792630</v>
      </c>
      <c r="U29" s="315"/>
      <c r="V29" s="315"/>
      <c r="W29" s="315"/>
      <c r="X29" s="315"/>
      <c r="Y29" s="315"/>
      <c r="Z29" s="315"/>
      <c r="AA29" s="315">
        <v>-3101</v>
      </c>
      <c r="AB29" s="315">
        <v>0</v>
      </c>
      <c r="AC29" s="315">
        <v>-9815</v>
      </c>
      <c r="AD29" s="315">
        <v>2671162</v>
      </c>
      <c r="AE29" s="315">
        <v>2671162</v>
      </c>
      <c r="AF29" s="316"/>
      <c r="AG29" s="315"/>
      <c r="AH29" s="315"/>
      <c r="AI29" s="315">
        <v>3252786</v>
      </c>
      <c r="AJ29" s="315">
        <v>502572</v>
      </c>
      <c r="AK29" s="315">
        <v>891968</v>
      </c>
      <c r="AL29" s="315">
        <v>1791245</v>
      </c>
      <c r="AM29" s="315">
        <v>564633</v>
      </c>
      <c r="AN29" s="315"/>
      <c r="AO29" s="315"/>
      <c r="AP29" s="315"/>
      <c r="AQ29" s="315">
        <v>590464</v>
      </c>
      <c r="AR29" s="315">
        <v>-1726906</v>
      </c>
      <c r="AS29" s="315"/>
      <c r="AT29" s="315"/>
      <c r="AU29" s="315">
        <v>-9815</v>
      </c>
      <c r="AV29" s="315">
        <v>1279373</v>
      </c>
      <c r="AW29" s="315"/>
      <c r="AX29" s="315">
        <v>148938</v>
      </c>
      <c r="AY29" s="315"/>
      <c r="AZ29" s="315"/>
      <c r="BA29" s="315"/>
      <c r="BB29" s="315"/>
      <c r="BC29" s="315"/>
      <c r="BD29" s="315"/>
      <c r="BE29" s="315">
        <v>-58669</v>
      </c>
      <c r="BF29" s="315">
        <v>-58443</v>
      </c>
      <c r="BG29" s="315">
        <v>-58443</v>
      </c>
      <c r="BH29" s="315"/>
      <c r="BI29" s="315"/>
      <c r="BJ29" s="315"/>
      <c r="BK29" s="315"/>
      <c r="BL29" s="315">
        <v>-226</v>
      </c>
      <c r="BM29" s="315">
        <v>0</v>
      </c>
      <c r="BN29" s="315">
        <v>1220704</v>
      </c>
      <c r="BO29" s="315">
        <v>233631</v>
      </c>
      <c r="BP29" s="315"/>
      <c r="BQ29" s="315"/>
      <c r="BR29" s="315"/>
      <c r="BS29" s="315">
        <v>896578</v>
      </c>
      <c r="BT29" s="315"/>
      <c r="BU29" s="315"/>
      <c r="BV29" s="315"/>
      <c r="BW29" s="315"/>
      <c r="BX29" s="315">
        <v>90495</v>
      </c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>
        <v>4114594</v>
      </c>
      <c r="CJ29" s="315">
        <v>456894</v>
      </c>
      <c r="CK29" s="315">
        <v>3657700</v>
      </c>
      <c r="CL29" s="315">
        <v>986273</v>
      </c>
      <c r="CM29" s="315">
        <v>2661444</v>
      </c>
      <c r="CN29" s="315">
        <v>9983</v>
      </c>
      <c r="CO29" s="315"/>
      <c r="CP29" s="315"/>
      <c r="CQ29" s="315">
        <v>9983</v>
      </c>
      <c r="CR29" s="315">
        <v>-680898</v>
      </c>
      <c r="CS29" s="315">
        <v>-175711</v>
      </c>
      <c r="CT29" s="315"/>
      <c r="CU29" s="315"/>
      <c r="CV29" s="315"/>
      <c r="CW29" s="315"/>
      <c r="CX29" s="315">
        <v>-350084</v>
      </c>
      <c r="CY29" s="315">
        <v>-340738</v>
      </c>
      <c r="CZ29" s="315">
        <v>0</v>
      </c>
      <c r="DA29" s="315">
        <v>-9346</v>
      </c>
      <c r="DB29" s="315">
        <v>-121585</v>
      </c>
      <c r="DC29" s="315">
        <v>-33518</v>
      </c>
      <c r="DD29" s="315">
        <v>3433696</v>
      </c>
      <c r="DE29" s="315">
        <v>3433696</v>
      </c>
      <c r="DF29" s="316"/>
      <c r="DG29" s="315"/>
      <c r="DH29" s="315"/>
      <c r="DI29" s="315">
        <v>1020452</v>
      </c>
      <c r="DJ29" s="315">
        <v>43185</v>
      </c>
      <c r="DK29" s="315">
        <v>22277</v>
      </c>
      <c r="DL29" s="315">
        <v>2394</v>
      </c>
      <c r="DM29" s="315">
        <v>666067</v>
      </c>
      <c r="DN29" s="315">
        <v>230338</v>
      </c>
      <c r="DO29" s="315"/>
      <c r="DP29" s="315"/>
      <c r="DQ29" s="315"/>
      <c r="DR29" s="315">
        <v>56191</v>
      </c>
      <c r="DS29" s="315">
        <v>-3179</v>
      </c>
      <c r="DT29" s="315">
        <v>-802</v>
      </c>
      <c r="DU29" s="315">
        <v>-10</v>
      </c>
      <c r="DV29" s="315">
        <v>-8</v>
      </c>
      <c r="DW29" s="315">
        <v>-638</v>
      </c>
      <c r="DX29" s="315"/>
      <c r="DY29" s="315"/>
      <c r="DZ29" s="315"/>
      <c r="EA29" s="315">
        <v>-619</v>
      </c>
      <c r="EB29" s="315"/>
      <c r="EC29" s="315"/>
      <c r="ED29" s="315"/>
      <c r="EE29" s="315">
        <v>-1102</v>
      </c>
      <c r="EF29" s="315">
        <v>1017273</v>
      </c>
      <c r="EG29" s="315">
        <v>1017273</v>
      </c>
      <c r="EH29" s="316"/>
      <c r="EI29" s="315"/>
      <c r="EJ29" s="315"/>
      <c r="EK29" s="315">
        <v>42383</v>
      </c>
      <c r="EL29" s="315">
        <v>42383</v>
      </c>
      <c r="EM29" s="316"/>
      <c r="EN29" s="315"/>
      <c r="EO29" s="315"/>
      <c r="EP29" s="315">
        <v>22267</v>
      </c>
      <c r="EQ29" s="315">
        <v>22267</v>
      </c>
      <c r="ER29" s="316"/>
      <c r="ES29" s="315"/>
      <c r="ET29" s="315"/>
      <c r="EU29" s="315">
        <v>2386</v>
      </c>
      <c r="EV29" s="315">
        <v>2386</v>
      </c>
      <c r="EW29" s="316"/>
      <c r="EX29" s="315"/>
      <c r="EY29" s="315"/>
      <c r="EZ29" s="315">
        <v>665429</v>
      </c>
      <c r="FA29" s="315">
        <v>665429</v>
      </c>
      <c r="FB29" s="316"/>
      <c r="FC29" s="315"/>
      <c r="FD29" s="315"/>
      <c r="FE29" s="315">
        <v>229719</v>
      </c>
      <c r="FF29" s="315">
        <v>229719</v>
      </c>
      <c r="FG29" s="316"/>
      <c r="FH29" s="315"/>
      <c r="FI29" s="315"/>
      <c r="FJ29" s="315"/>
      <c r="FK29" s="315"/>
      <c r="FL29" s="316"/>
      <c r="FM29" s="315"/>
      <c r="FN29" s="315"/>
      <c r="FO29" s="315"/>
      <c r="FP29" s="315"/>
      <c r="FQ29" s="315">
        <v>55089</v>
      </c>
      <c r="FR29" s="315">
        <v>161574</v>
      </c>
      <c r="FS29" s="315">
        <v>-16814</v>
      </c>
      <c r="FT29" s="315">
        <v>144760</v>
      </c>
      <c r="FU29" s="315"/>
      <c r="FV29" s="315"/>
      <c r="FW29" s="315"/>
      <c r="FX29" s="315">
        <v>53863</v>
      </c>
      <c r="FY29" s="315"/>
      <c r="FZ29" s="315"/>
      <c r="GA29" s="315"/>
      <c r="GB29" s="315"/>
      <c r="GC29" s="315">
        <v>43676</v>
      </c>
      <c r="GD29" s="315"/>
      <c r="GE29" s="315"/>
      <c r="GF29" s="315"/>
      <c r="GG29" s="315">
        <v>47221</v>
      </c>
      <c r="GH29" s="315">
        <v>427</v>
      </c>
      <c r="GI29" s="315">
        <v>198</v>
      </c>
      <c r="GJ29" s="315">
        <v>46596</v>
      </c>
      <c r="GL29"/>
      <c r="GM29"/>
      <c r="GN29"/>
      <c r="GO29"/>
    </row>
    <row r="30" spans="1:197">
      <c r="A30" s="98" t="s">
        <v>14</v>
      </c>
      <c r="B30" s="98">
        <v>11</v>
      </c>
      <c r="C30" s="98" t="s">
        <v>227</v>
      </c>
      <c r="D30" s="315">
        <v>5876731</v>
      </c>
      <c r="E30" s="315">
        <v>-1490784</v>
      </c>
      <c r="F30" s="315">
        <v>-9815</v>
      </c>
      <c r="G30" s="315">
        <v>4376132</v>
      </c>
      <c r="H30" s="315">
        <v>4376132</v>
      </c>
      <c r="I30" s="316"/>
      <c r="J30" s="315"/>
      <c r="K30" s="315"/>
      <c r="L30" s="315">
        <v>2912762</v>
      </c>
      <c r="M30" s="315"/>
      <c r="N30" s="315">
        <v>1476579</v>
      </c>
      <c r="O30" s="315"/>
      <c r="P30" s="315"/>
      <c r="Q30" s="315"/>
      <c r="R30" s="315"/>
      <c r="S30" s="315">
        <v>-932992</v>
      </c>
      <c r="T30" s="315">
        <v>-797477</v>
      </c>
      <c r="U30" s="315"/>
      <c r="V30" s="315"/>
      <c r="W30" s="315"/>
      <c r="X30" s="315"/>
      <c r="Y30" s="315"/>
      <c r="Z30" s="315"/>
      <c r="AA30" s="315">
        <v>-3178</v>
      </c>
      <c r="AB30" s="315">
        <v>-132337</v>
      </c>
      <c r="AC30" s="315">
        <v>-9815</v>
      </c>
      <c r="AD30" s="315">
        <v>1969955</v>
      </c>
      <c r="AE30" s="315">
        <v>1969955</v>
      </c>
      <c r="AF30" s="316"/>
      <c r="AG30" s="315"/>
      <c r="AH30" s="315"/>
      <c r="AI30" s="315">
        <v>1152032</v>
      </c>
      <c r="AJ30" s="315">
        <v>220535</v>
      </c>
      <c r="AK30" s="315">
        <v>828681</v>
      </c>
      <c r="AL30" s="315">
        <v>17387</v>
      </c>
      <c r="AM30" s="315">
        <v>139224</v>
      </c>
      <c r="AN30" s="315"/>
      <c r="AO30" s="315"/>
      <c r="AP30" s="315"/>
      <c r="AQ30" s="315">
        <v>9412</v>
      </c>
      <c r="AR30" s="315">
        <v>679102</v>
      </c>
      <c r="AS30" s="315"/>
      <c r="AT30" s="315"/>
      <c r="AU30" s="315">
        <v>-9815</v>
      </c>
      <c r="AV30" s="315">
        <v>226185</v>
      </c>
      <c r="AW30" s="315"/>
      <c r="AX30" s="315">
        <v>101348</v>
      </c>
      <c r="AY30" s="315"/>
      <c r="AZ30" s="315"/>
      <c r="BA30" s="315"/>
      <c r="BB30" s="315"/>
      <c r="BC30" s="315"/>
      <c r="BD30" s="315"/>
      <c r="BE30" s="315">
        <v>-112498</v>
      </c>
      <c r="BF30" s="315">
        <v>-55137</v>
      </c>
      <c r="BG30" s="315">
        <v>-55137</v>
      </c>
      <c r="BH30" s="315"/>
      <c r="BI30" s="315"/>
      <c r="BJ30" s="315"/>
      <c r="BK30" s="315"/>
      <c r="BL30" s="315">
        <v>-643</v>
      </c>
      <c r="BM30" s="315">
        <v>-56718</v>
      </c>
      <c r="BN30" s="315">
        <v>113687</v>
      </c>
      <c r="BO30" s="315">
        <v>57439</v>
      </c>
      <c r="BP30" s="315"/>
      <c r="BQ30" s="315"/>
      <c r="BR30" s="315"/>
      <c r="BS30" s="315">
        <v>10037</v>
      </c>
      <c r="BT30" s="315"/>
      <c r="BU30" s="315"/>
      <c r="BV30" s="315"/>
      <c r="BW30" s="315"/>
      <c r="BX30" s="315">
        <v>46211</v>
      </c>
      <c r="BY30" s="315"/>
      <c r="BZ30" s="315"/>
      <c r="CA30" s="315"/>
      <c r="CB30" s="315"/>
      <c r="CC30" s="315"/>
      <c r="CD30" s="315"/>
      <c r="CE30" s="315"/>
      <c r="CF30" s="315"/>
      <c r="CG30" s="315"/>
      <c r="CH30" s="315"/>
      <c r="CI30" s="315">
        <v>1491542</v>
      </c>
      <c r="CJ30" s="315">
        <v>450475</v>
      </c>
      <c r="CK30" s="315">
        <v>1041067</v>
      </c>
      <c r="CL30" s="315">
        <v>963976</v>
      </c>
      <c r="CM30" s="315">
        <v>63485</v>
      </c>
      <c r="CN30" s="315">
        <v>13606</v>
      </c>
      <c r="CO30" s="315"/>
      <c r="CP30" s="315"/>
      <c r="CQ30" s="315">
        <v>13606</v>
      </c>
      <c r="CR30" s="315">
        <v>-438196</v>
      </c>
      <c r="CS30" s="315">
        <v>-91160</v>
      </c>
      <c r="CT30" s="315"/>
      <c r="CU30" s="315"/>
      <c r="CV30" s="315"/>
      <c r="CW30" s="315"/>
      <c r="CX30" s="315">
        <v>-347036</v>
      </c>
      <c r="CY30" s="315">
        <v>-335791</v>
      </c>
      <c r="CZ30" s="315">
        <v>0</v>
      </c>
      <c r="DA30" s="315">
        <v>-11245</v>
      </c>
      <c r="DB30" s="315">
        <v>0</v>
      </c>
      <c r="DC30" s="315">
        <v>0</v>
      </c>
      <c r="DD30" s="315">
        <v>1053346</v>
      </c>
      <c r="DE30" s="315">
        <v>1053346</v>
      </c>
      <c r="DF30" s="316"/>
      <c r="DG30" s="315"/>
      <c r="DH30" s="315"/>
      <c r="DI30" s="315">
        <v>1118909</v>
      </c>
      <c r="DJ30" s="315">
        <v>36299</v>
      </c>
      <c r="DK30" s="315">
        <v>14899</v>
      </c>
      <c r="DL30" s="315">
        <v>1713</v>
      </c>
      <c r="DM30" s="315">
        <v>725212</v>
      </c>
      <c r="DN30" s="315">
        <v>282603</v>
      </c>
      <c r="DO30" s="315"/>
      <c r="DP30" s="315"/>
      <c r="DQ30" s="315"/>
      <c r="DR30" s="315">
        <v>58183</v>
      </c>
      <c r="DS30" s="315">
        <v>-4169</v>
      </c>
      <c r="DT30" s="315">
        <v>-2083</v>
      </c>
      <c r="DU30" s="315">
        <v>-156</v>
      </c>
      <c r="DV30" s="315">
        <v>-6</v>
      </c>
      <c r="DW30" s="315">
        <v>-650</v>
      </c>
      <c r="DX30" s="315"/>
      <c r="DY30" s="315"/>
      <c r="DZ30" s="315"/>
      <c r="EA30" s="315">
        <v>-1</v>
      </c>
      <c r="EB30" s="315"/>
      <c r="EC30" s="315"/>
      <c r="ED30" s="315"/>
      <c r="EE30" s="315">
        <v>-1273</v>
      </c>
      <c r="EF30" s="315">
        <v>1114740</v>
      </c>
      <c r="EG30" s="315">
        <v>1114740</v>
      </c>
      <c r="EH30" s="316"/>
      <c r="EI30" s="315"/>
      <c r="EJ30" s="315"/>
      <c r="EK30" s="315">
        <v>34216</v>
      </c>
      <c r="EL30" s="315">
        <v>34216</v>
      </c>
      <c r="EM30" s="316"/>
      <c r="EN30" s="315"/>
      <c r="EO30" s="315"/>
      <c r="EP30" s="315">
        <v>14743</v>
      </c>
      <c r="EQ30" s="315">
        <v>14743</v>
      </c>
      <c r="ER30" s="316"/>
      <c r="ES30" s="315"/>
      <c r="ET30" s="315"/>
      <c r="EU30" s="315">
        <v>1707</v>
      </c>
      <c r="EV30" s="315">
        <v>1707</v>
      </c>
      <c r="EW30" s="316"/>
      <c r="EX30" s="315"/>
      <c r="EY30" s="315"/>
      <c r="EZ30" s="315">
        <v>724562</v>
      </c>
      <c r="FA30" s="315">
        <v>724562</v>
      </c>
      <c r="FB30" s="316"/>
      <c r="FC30" s="315"/>
      <c r="FD30" s="315"/>
      <c r="FE30" s="315">
        <v>282602</v>
      </c>
      <c r="FF30" s="315">
        <v>282602</v>
      </c>
      <c r="FG30" s="316"/>
      <c r="FH30" s="315"/>
      <c r="FI30" s="315"/>
      <c r="FJ30" s="315"/>
      <c r="FK30" s="315"/>
      <c r="FL30" s="316"/>
      <c r="FM30" s="315"/>
      <c r="FN30" s="315"/>
      <c r="FO30" s="315"/>
      <c r="FP30" s="315"/>
      <c r="FQ30" s="315">
        <v>56910</v>
      </c>
      <c r="FR30" s="315">
        <v>127333</v>
      </c>
      <c r="FS30" s="315">
        <v>-2929</v>
      </c>
      <c r="FT30" s="315">
        <v>124404</v>
      </c>
      <c r="FU30" s="315"/>
      <c r="FV30" s="315"/>
      <c r="FW30" s="315"/>
      <c r="FX30" s="315">
        <v>45545</v>
      </c>
      <c r="FY30" s="315"/>
      <c r="FZ30" s="315"/>
      <c r="GA30" s="315"/>
      <c r="GB30" s="315"/>
      <c r="GC30" s="315">
        <v>17574</v>
      </c>
      <c r="GD30" s="315"/>
      <c r="GE30" s="315"/>
      <c r="GF30" s="315"/>
      <c r="GG30" s="315">
        <v>61285</v>
      </c>
      <c r="GH30" s="315">
        <v>1263</v>
      </c>
      <c r="GI30" s="315">
        <v>18408</v>
      </c>
      <c r="GJ30" s="315">
        <v>41614</v>
      </c>
      <c r="GL30"/>
      <c r="GM30"/>
      <c r="GN30"/>
      <c r="GO30"/>
    </row>
    <row r="31" spans="1:197">
      <c r="A31" s="98" t="s">
        <v>14</v>
      </c>
      <c r="B31" s="98">
        <v>12</v>
      </c>
      <c r="C31" s="98" t="s">
        <v>228</v>
      </c>
      <c r="D31" s="315">
        <v>6789202</v>
      </c>
      <c r="E31" s="315">
        <v>-1231515</v>
      </c>
      <c r="F31" s="315">
        <v>-9820</v>
      </c>
      <c r="G31" s="315">
        <v>5547867</v>
      </c>
      <c r="H31" s="315">
        <v>5547867</v>
      </c>
      <c r="I31" s="316"/>
      <c r="J31" s="315"/>
      <c r="K31" s="315"/>
      <c r="L31" s="315">
        <v>2646501</v>
      </c>
      <c r="M31" s="315"/>
      <c r="N31" s="315">
        <v>94150</v>
      </c>
      <c r="O31" s="315"/>
      <c r="P31" s="315"/>
      <c r="Q31" s="315"/>
      <c r="R31" s="315"/>
      <c r="S31" s="315">
        <v>-526071</v>
      </c>
      <c r="T31" s="315">
        <v>-372328</v>
      </c>
      <c r="U31" s="315"/>
      <c r="V31" s="315"/>
      <c r="W31" s="315"/>
      <c r="X31" s="315"/>
      <c r="Y31" s="315"/>
      <c r="Z31" s="315"/>
      <c r="AA31" s="315">
        <v>-40639</v>
      </c>
      <c r="AB31" s="315">
        <v>-113104</v>
      </c>
      <c r="AC31" s="315">
        <v>-9820</v>
      </c>
      <c r="AD31" s="315">
        <v>2110610</v>
      </c>
      <c r="AE31" s="315">
        <v>2110610</v>
      </c>
      <c r="AF31" s="316"/>
      <c r="AG31" s="315"/>
      <c r="AH31" s="315"/>
      <c r="AI31" s="315">
        <v>1957742</v>
      </c>
      <c r="AJ31" s="315">
        <v>1034064</v>
      </c>
      <c r="AK31" s="315">
        <v>820166</v>
      </c>
      <c r="AL31" s="315">
        <v>5169</v>
      </c>
      <c r="AM31" s="315">
        <v>434429</v>
      </c>
      <c r="AN31" s="315"/>
      <c r="AO31" s="315"/>
      <c r="AP31" s="315"/>
      <c r="AQ31" s="315">
        <v>6437</v>
      </c>
      <c r="AR31" s="315">
        <v>-278178</v>
      </c>
      <c r="AS31" s="315"/>
      <c r="AT31" s="315"/>
      <c r="AU31" s="315">
        <v>-9820</v>
      </c>
      <c r="AV31" s="315">
        <v>1211481</v>
      </c>
      <c r="AW31" s="315"/>
      <c r="AX31" s="315">
        <v>148639</v>
      </c>
      <c r="AY31" s="315"/>
      <c r="AZ31" s="315"/>
      <c r="BA31" s="315"/>
      <c r="BB31" s="315"/>
      <c r="BC31" s="315"/>
      <c r="BD31" s="315"/>
      <c r="BE31" s="315">
        <v>-113203</v>
      </c>
      <c r="BF31" s="315">
        <v>-54430</v>
      </c>
      <c r="BG31" s="315">
        <v>-54430</v>
      </c>
      <c r="BH31" s="315"/>
      <c r="BI31" s="315"/>
      <c r="BJ31" s="315"/>
      <c r="BK31" s="315"/>
      <c r="BL31" s="315">
        <v>-10301</v>
      </c>
      <c r="BM31" s="315">
        <v>-48472</v>
      </c>
      <c r="BN31" s="315">
        <v>1098278</v>
      </c>
      <c r="BO31" s="315">
        <v>166596</v>
      </c>
      <c r="BP31" s="315"/>
      <c r="BQ31" s="315"/>
      <c r="BR31" s="315"/>
      <c r="BS31" s="315">
        <v>837473</v>
      </c>
      <c r="BT31" s="315"/>
      <c r="BU31" s="315"/>
      <c r="BV31" s="315"/>
      <c r="BW31" s="315"/>
      <c r="BX31" s="315">
        <v>94209</v>
      </c>
      <c r="BY31" s="315"/>
      <c r="BZ31" s="315"/>
      <c r="CA31" s="315"/>
      <c r="CB31" s="315"/>
      <c r="CC31" s="315"/>
      <c r="CD31" s="315"/>
      <c r="CE31" s="315"/>
      <c r="CF31" s="315"/>
      <c r="CG31" s="315"/>
      <c r="CH31" s="315"/>
      <c r="CI31" s="315">
        <v>1515024</v>
      </c>
      <c r="CJ31" s="315">
        <v>482575</v>
      </c>
      <c r="CK31" s="315">
        <v>1032449</v>
      </c>
      <c r="CL31" s="315">
        <v>975586</v>
      </c>
      <c r="CM31" s="315">
        <v>57661</v>
      </c>
      <c r="CN31" s="315">
        <v>-798</v>
      </c>
      <c r="CO31" s="315"/>
      <c r="CP31" s="315"/>
      <c r="CQ31" s="315">
        <v>-798</v>
      </c>
      <c r="CR31" s="315">
        <v>-534725</v>
      </c>
      <c r="CS31" s="315">
        <v>-124463</v>
      </c>
      <c r="CT31" s="315"/>
      <c r="CU31" s="315"/>
      <c r="CV31" s="315"/>
      <c r="CW31" s="315"/>
      <c r="CX31" s="315">
        <v>-274921</v>
      </c>
      <c r="CY31" s="315">
        <v>-259200</v>
      </c>
      <c r="CZ31" s="315">
        <v>0</v>
      </c>
      <c r="DA31" s="315">
        <v>-15721</v>
      </c>
      <c r="DB31" s="315">
        <v>-135341</v>
      </c>
      <c r="DC31" s="315">
        <v>0</v>
      </c>
      <c r="DD31" s="315">
        <v>980299</v>
      </c>
      <c r="DE31" s="315">
        <v>980299</v>
      </c>
      <c r="DF31" s="316"/>
      <c r="DG31" s="315"/>
      <c r="DH31" s="315"/>
      <c r="DI31" s="315">
        <v>1042182</v>
      </c>
      <c r="DJ31" s="315">
        <v>39721</v>
      </c>
      <c r="DK31" s="315">
        <v>13043</v>
      </c>
      <c r="DL31" s="315">
        <v>1722</v>
      </c>
      <c r="DM31" s="315">
        <v>657567</v>
      </c>
      <c r="DN31" s="315">
        <v>257688</v>
      </c>
      <c r="DO31" s="315"/>
      <c r="DP31" s="315"/>
      <c r="DQ31" s="315"/>
      <c r="DR31" s="315">
        <v>72441</v>
      </c>
      <c r="DS31" s="315">
        <v>-42807</v>
      </c>
      <c r="DT31" s="315">
        <v>-7730</v>
      </c>
      <c r="DU31" s="315">
        <v>-12717</v>
      </c>
      <c r="DV31" s="315">
        <v>-249</v>
      </c>
      <c r="DW31" s="315">
        <v>-17171</v>
      </c>
      <c r="DX31" s="315"/>
      <c r="DY31" s="315"/>
      <c r="DZ31" s="315"/>
      <c r="EA31" s="315">
        <v>1</v>
      </c>
      <c r="EB31" s="315"/>
      <c r="EC31" s="315"/>
      <c r="ED31" s="315"/>
      <c r="EE31" s="315">
        <v>-4941</v>
      </c>
      <c r="EF31" s="315">
        <v>999375</v>
      </c>
      <c r="EG31" s="315">
        <v>999375</v>
      </c>
      <c r="EH31" s="316"/>
      <c r="EI31" s="315"/>
      <c r="EJ31" s="315"/>
      <c r="EK31" s="315">
        <v>31991</v>
      </c>
      <c r="EL31" s="315">
        <v>31991</v>
      </c>
      <c r="EM31" s="316"/>
      <c r="EN31" s="315"/>
      <c r="EO31" s="315"/>
      <c r="EP31" s="315">
        <v>326</v>
      </c>
      <c r="EQ31" s="315">
        <v>326</v>
      </c>
      <c r="ER31" s="316"/>
      <c r="ES31" s="315"/>
      <c r="ET31" s="315"/>
      <c r="EU31" s="315">
        <v>1473</v>
      </c>
      <c r="EV31" s="315">
        <v>1473</v>
      </c>
      <c r="EW31" s="316"/>
      <c r="EX31" s="315"/>
      <c r="EY31" s="315"/>
      <c r="EZ31" s="315">
        <v>640396</v>
      </c>
      <c r="FA31" s="315">
        <v>640396</v>
      </c>
      <c r="FB31" s="316"/>
      <c r="FC31" s="315"/>
      <c r="FD31" s="315"/>
      <c r="FE31" s="315">
        <v>257689</v>
      </c>
      <c r="FF31" s="315">
        <v>257689</v>
      </c>
      <c r="FG31" s="316"/>
      <c r="FH31" s="315"/>
      <c r="FI31" s="315"/>
      <c r="FJ31" s="315"/>
      <c r="FK31" s="315"/>
      <c r="FL31" s="316"/>
      <c r="FM31" s="315"/>
      <c r="FN31" s="315"/>
      <c r="FO31" s="315"/>
      <c r="FP31" s="315"/>
      <c r="FQ31" s="315">
        <v>67500</v>
      </c>
      <c r="FR31" s="315">
        <v>374014</v>
      </c>
      <c r="FS31" s="315">
        <v>-14709</v>
      </c>
      <c r="FT31" s="315">
        <v>359305</v>
      </c>
      <c r="FU31" s="315"/>
      <c r="FV31" s="315"/>
      <c r="FW31" s="315"/>
      <c r="FX31" s="315">
        <v>47804</v>
      </c>
      <c r="FY31" s="315"/>
      <c r="FZ31" s="315"/>
      <c r="GA31" s="315"/>
      <c r="GB31" s="315"/>
      <c r="GC31" s="315">
        <v>163959</v>
      </c>
      <c r="GD31" s="315"/>
      <c r="GE31" s="315"/>
      <c r="GF31" s="315"/>
      <c r="GG31" s="315">
        <v>147542</v>
      </c>
      <c r="GH31" s="315">
        <v>469</v>
      </c>
      <c r="GI31" s="315">
        <v>41302</v>
      </c>
      <c r="GJ31" s="315">
        <v>105771</v>
      </c>
      <c r="GL31"/>
      <c r="GM31"/>
      <c r="GN31"/>
      <c r="GO31"/>
    </row>
    <row r="32" spans="1:197">
      <c r="A32" s="96" t="s">
        <v>15</v>
      </c>
      <c r="B32" s="96">
        <v>1</v>
      </c>
      <c r="C32" s="97" t="s">
        <v>217</v>
      </c>
      <c r="D32" s="314">
        <v>8668323</v>
      </c>
      <c r="E32" s="314">
        <v>-1865408</v>
      </c>
      <c r="F32" s="314">
        <v>-9814</v>
      </c>
      <c r="G32" s="314">
        <v>6793101</v>
      </c>
      <c r="H32" s="314">
        <v>6793101</v>
      </c>
      <c r="I32" s="271"/>
      <c r="J32" s="314"/>
      <c r="K32" s="314"/>
      <c r="L32" s="314">
        <v>6151929</v>
      </c>
      <c r="M32" s="314"/>
      <c r="N32" s="314">
        <v>37509</v>
      </c>
      <c r="O32" s="314"/>
      <c r="P32" s="314"/>
      <c r="Q32" s="314"/>
      <c r="R32" s="314"/>
      <c r="S32" s="314">
        <v>-807459</v>
      </c>
      <c r="T32" s="314">
        <v>-803499</v>
      </c>
      <c r="U32" s="314"/>
      <c r="V32" s="314"/>
      <c r="W32" s="314">
        <v>0</v>
      </c>
      <c r="X32" s="314"/>
      <c r="Y32" s="314">
        <v>-803499</v>
      </c>
      <c r="Z32" s="314"/>
      <c r="AA32" s="314">
        <v>-3960</v>
      </c>
      <c r="AB32" s="314">
        <v>0</v>
      </c>
      <c r="AC32" s="314">
        <v>-9814</v>
      </c>
      <c r="AD32" s="314">
        <v>5334656</v>
      </c>
      <c r="AE32" s="314">
        <v>5334656</v>
      </c>
      <c r="AF32" s="271"/>
      <c r="AG32" s="314"/>
      <c r="AH32" s="314"/>
      <c r="AI32" s="314">
        <v>4542317</v>
      </c>
      <c r="AJ32" s="314">
        <v>797790</v>
      </c>
      <c r="AK32" s="314">
        <v>1429886</v>
      </c>
      <c r="AL32" s="314">
        <v>2237977</v>
      </c>
      <c r="AM32" s="314">
        <v>951018</v>
      </c>
      <c r="AN32" s="314"/>
      <c r="AO32" s="314"/>
      <c r="AP32" s="314"/>
      <c r="AQ32" s="314">
        <v>617125</v>
      </c>
      <c r="AR32" s="314">
        <v>-765990</v>
      </c>
      <c r="AS32" s="314"/>
      <c r="AT32" s="314"/>
      <c r="AU32" s="314">
        <v>-9814</v>
      </c>
      <c r="AV32" s="314">
        <v>650482</v>
      </c>
      <c r="AW32" s="314"/>
      <c r="AX32" s="314">
        <v>221305</v>
      </c>
      <c r="AY32" s="314"/>
      <c r="AZ32" s="314"/>
      <c r="BA32" s="314"/>
      <c r="BB32" s="314"/>
      <c r="BC32" s="314"/>
      <c r="BD32" s="314"/>
      <c r="BE32" s="314">
        <v>-575692</v>
      </c>
      <c r="BF32" s="314">
        <v>-575084</v>
      </c>
      <c r="BG32" s="314">
        <v>-575084</v>
      </c>
      <c r="BH32" s="314"/>
      <c r="BI32" s="314">
        <v>0</v>
      </c>
      <c r="BJ32" s="314">
        <v>0</v>
      </c>
      <c r="BK32" s="314"/>
      <c r="BL32" s="314">
        <v>-608</v>
      </c>
      <c r="BM32" s="314">
        <v>0</v>
      </c>
      <c r="BN32" s="314">
        <v>74790</v>
      </c>
      <c r="BO32" s="314">
        <v>405827</v>
      </c>
      <c r="BP32" s="314"/>
      <c r="BQ32" s="314"/>
      <c r="BR32" s="314"/>
      <c r="BS32" s="314">
        <v>22742</v>
      </c>
      <c r="BT32" s="314"/>
      <c r="BU32" s="314"/>
      <c r="BV32" s="314"/>
      <c r="BW32" s="314"/>
      <c r="BX32" s="314">
        <v>-353779</v>
      </c>
      <c r="BY32" s="314"/>
      <c r="BZ32" s="314"/>
      <c r="CA32" s="314"/>
      <c r="CB32" s="314"/>
      <c r="CC32" s="314"/>
      <c r="CD32" s="314"/>
      <c r="CE32" s="314"/>
      <c r="CF32" s="314"/>
      <c r="CG32" s="314"/>
      <c r="CH32" s="314"/>
      <c r="CI32" s="314">
        <v>657838</v>
      </c>
      <c r="CJ32" s="314">
        <v>271826</v>
      </c>
      <c r="CK32" s="314">
        <v>386012</v>
      </c>
      <c r="CL32" s="314">
        <v>47066</v>
      </c>
      <c r="CM32" s="314">
        <v>315135</v>
      </c>
      <c r="CN32" s="314">
        <v>23811</v>
      </c>
      <c r="CO32" s="314"/>
      <c r="CP32" s="314"/>
      <c r="CQ32" s="314">
        <v>23811</v>
      </c>
      <c r="CR32" s="314">
        <v>-475317</v>
      </c>
      <c r="CS32" s="314">
        <v>-98789</v>
      </c>
      <c r="CT32" s="314">
        <v>0</v>
      </c>
      <c r="CU32" s="314"/>
      <c r="CV32" s="314">
        <v>-96</v>
      </c>
      <c r="CW32" s="314">
        <v>-98693</v>
      </c>
      <c r="CX32" s="314">
        <v>-376528</v>
      </c>
      <c r="CY32" s="314">
        <v>0</v>
      </c>
      <c r="CZ32" s="314">
        <v>-371143</v>
      </c>
      <c r="DA32" s="314">
        <v>-5385</v>
      </c>
      <c r="DB32" s="314">
        <v>0</v>
      </c>
      <c r="DC32" s="314">
        <v>0</v>
      </c>
      <c r="DD32" s="314">
        <v>182521</v>
      </c>
      <c r="DE32" s="314">
        <v>182521</v>
      </c>
      <c r="DF32" s="271"/>
      <c r="DG32" s="314"/>
      <c r="DH32" s="314"/>
      <c r="DI32" s="314">
        <v>1043265</v>
      </c>
      <c r="DJ32" s="314">
        <v>79504</v>
      </c>
      <c r="DK32" s="314">
        <v>14688</v>
      </c>
      <c r="DL32" s="314">
        <v>3927</v>
      </c>
      <c r="DM32" s="314">
        <v>693312</v>
      </c>
      <c r="DN32" s="314">
        <v>197566</v>
      </c>
      <c r="DO32" s="314"/>
      <c r="DP32" s="314"/>
      <c r="DQ32" s="314"/>
      <c r="DR32" s="314">
        <v>54268</v>
      </c>
      <c r="DS32" s="314">
        <v>-4023</v>
      </c>
      <c r="DT32" s="314">
        <v>-1264</v>
      </c>
      <c r="DU32" s="314">
        <v>-119</v>
      </c>
      <c r="DV32" s="314">
        <v>-2</v>
      </c>
      <c r="DW32" s="314">
        <v>-489</v>
      </c>
      <c r="DX32" s="314"/>
      <c r="DY32" s="314"/>
      <c r="DZ32" s="314"/>
      <c r="EA32" s="314">
        <v>-1</v>
      </c>
      <c r="EB32" s="314"/>
      <c r="EC32" s="314"/>
      <c r="ED32" s="314"/>
      <c r="EE32" s="314">
        <v>-2148</v>
      </c>
      <c r="EF32" s="314">
        <v>1039242</v>
      </c>
      <c r="EG32" s="314">
        <v>1039242</v>
      </c>
      <c r="EH32" s="271"/>
      <c r="EI32" s="314"/>
      <c r="EJ32" s="314"/>
      <c r="EK32" s="314">
        <v>78240</v>
      </c>
      <c r="EL32" s="314">
        <v>78240</v>
      </c>
      <c r="EM32" s="271"/>
      <c r="EN32" s="314"/>
      <c r="EO32" s="314"/>
      <c r="EP32" s="314">
        <v>14569</v>
      </c>
      <c r="EQ32" s="314">
        <v>14569</v>
      </c>
      <c r="ER32" s="271"/>
      <c r="ES32" s="314"/>
      <c r="ET32" s="314"/>
      <c r="EU32" s="314">
        <v>3925</v>
      </c>
      <c r="EV32" s="314">
        <v>3925</v>
      </c>
      <c r="EW32" s="271"/>
      <c r="EX32" s="314"/>
      <c r="EY32" s="314"/>
      <c r="EZ32" s="314">
        <v>692823</v>
      </c>
      <c r="FA32" s="314">
        <v>692823</v>
      </c>
      <c r="FB32" s="271"/>
      <c r="FC32" s="314"/>
      <c r="FD32" s="314"/>
      <c r="FE32" s="314">
        <v>197565</v>
      </c>
      <c r="FF32" s="314">
        <v>197565</v>
      </c>
      <c r="FG32" s="271"/>
      <c r="FH32" s="314"/>
      <c r="FI32" s="314"/>
      <c r="FJ32" s="314"/>
      <c r="FK32" s="314"/>
      <c r="FL32" s="271"/>
      <c r="FM32" s="314"/>
      <c r="FN32" s="314"/>
      <c r="FO32" s="314"/>
      <c r="FP32" s="314"/>
      <c r="FQ32" s="314">
        <v>52120</v>
      </c>
      <c r="FR32" s="314">
        <v>164809</v>
      </c>
      <c r="FS32" s="314">
        <v>-2917</v>
      </c>
      <c r="FT32" s="314">
        <v>161892</v>
      </c>
      <c r="FU32" s="314"/>
      <c r="FV32" s="314"/>
      <c r="FW32" s="314"/>
      <c r="FX32" s="314">
        <v>48868</v>
      </c>
      <c r="FY32" s="314"/>
      <c r="FZ32" s="314"/>
      <c r="GA32" s="314"/>
      <c r="GB32" s="314"/>
      <c r="GC32" s="314">
        <v>47420</v>
      </c>
      <c r="GD32" s="314"/>
      <c r="GE32" s="314"/>
      <c r="GF32" s="314"/>
      <c r="GG32" s="314">
        <v>65604</v>
      </c>
      <c r="GH32" s="314">
        <v>354</v>
      </c>
      <c r="GI32" s="314">
        <v>31900</v>
      </c>
      <c r="GJ32" s="314">
        <v>33350</v>
      </c>
      <c r="GL32"/>
      <c r="GM32"/>
      <c r="GN32"/>
      <c r="GO32"/>
    </row>
    <row r="33" spans="1:197">
      <c r="A33" s="98" t="s">
        <v>15</v>
      </c>
      <c r="B33" s="98">
        <v>2</v>
      </c>
      <c r="C33" s="98" t="s">
        <v>218</v>
      </c>
      <c r="D33" s="315">
        <v>9659489</v>
      </c>
      <c r="E33" s="315">
        <v>-1277113</v>
      </c>
      <c r="F33" s="315">
        <v>-10073</v>
      </c>
      <c r="G33" s="315">
        <v>8372303</v>
      </c>
      <c r="H33" s="315">
        <v>8372303</v>
      </c>
      <c r="I33" s="316"/>
      <c r="J33" s="315"/>
      <c r="K33" s="315"/>
      <c r="L33" s="315">
        <v>2231486</v>
      </c>
      <c r="M33" s="315"/>
      <c r="N33" s="315">
        <v>79646</v>
      </c>
      <c r="O33" s="315"/>
      <c r="P33" s="315"/>
      <c r="Q33" s="315"/>
      <c r="R33" s="315"/>
      <c r="S33" s="315">
        <v>-435151</v>
      </c>
      <c r="T33" s="315">
        <v>-196711</v>
      </c>
      <c r="U33" s="315"/>
      <c r="V33" s="315"/>
      <c r="W33" s="315">
        <v>0</v>
      </c>
      <c r="X33" s="315"/>
      <c r="Y33" s="315">
        <v>-196711</v>
      </c>
      <c r="Z33" s="315"/>
      <c r="AA33" s="315">
        <v>-4905</v>
      </c>
      <c r="AB33" s="315">
        <v>-233535</v>
      </c>
      <c r="AC33" s="315">
        <v>-10073</v>
      </c>
      <c r="AD33" s="315">
        <v>1786262</v>
      </c>
      <c r="AE33" s="315">
        <v>1786262</v>
      </c>
      <c r="AF33" s="316"/>
      <c r="AG33" s="315"/>
      <c r="AH33" s="315"/>
      <c r="AI33" s="315">
        <v>1366978</v>
      </c>
      <c r="AJ33" s="315">
        <v>300597</v>
      </c>
      <c r="AK33" s="315">
        <v>897330</v>
      </c>
      <c r="AL33" s="315">
        <v>39739</v>
      </c>
      <c r="AM33" s="315">
        <v>534606</v>
      </c>
      <c r="AN33" s="315"/>
      <c r="AO33" s="315"/>
      <c r="AP33" s="315"/>
      <c r="AQ33" s="315">
        <v>11816</v>
      </c>
      <c r="AR33" s="315">
        <v>-117065</v>
      </c>
      <c r="AS33" s="315"/>
      <c r="AT33" s="315"/>
      <c r="AU33" s="315">
        <v>-10073</v>
      </c>
      <c r="AV33" s="315">
        <v>431835</v>
      </c>
      <c r="AW33" s="315"/>
      <c r="AX33" s="315">
        <v>92565</v>
      </c>
      <c r="AY33" s="315"/>
      <c r="AZ33" s="315"/>
      <c r="BA33" s="315"/>
      <c r="BB33" s="315"/>
      <c r="BC33" s="315"/>
      <c r="BD33" s="315"/>
      <c r="BE33" s="315">
        <v>-566696</v>
      </c>
      <c r="BF33" s="315">
        <v>-466539</v>
      </c>
      <c r="BG33" s="315">
        <v>-466539</v>
      </c>
      <c r="BH33" s="315"/>
      <c r="BI33" s="315">
        <v>0</v>
      </c>
      <c r="BJ33" s="315">
        <v>0</v>
      </c>
      <c r="BK33" s="315"/>
      <c r="BL33" s="315">
        <v>-70</v>
      </c>
      <c r="BM33" s="315">
        <v>-100087</v>
      </c>
      <c r="BN33" s="315">
        <v>-134861</v>
      </c>
      <c r="BO33" s="315">
        <v>220866</v>
      </c>
      <c r="BP33" s="315"/>
      <c r="BQ33" s="315"/>
      <c r="BR33" s="315"/>
      <c r="BS33" s="315">
        <v>18247</v>
      </c>
      <c r="BT33" s="315"/>
      <c r="BU33" s="315"/>
      <c r="BV33" s="315"/>
      <c r="BW33" s="315"/>
      <c r="BX33" s="315">
        <v>-373974</v>
      </c>
      <c r="BY33" s="315"/>
      <c r="BZ33" s="315"/>
      <c r="CA33" s="315"/>
      <c r="CB33" s="315"/>
      <c r="CC33" s="315"/>
      <c r="CD33" s="315"/>
      <c r="CE33" s="315"/>
      <c r="CF33" s="315"/>
      <c r="CG33" s="315"/>
      <c r="CH33" s="315"/>
      <c r="CI33" s="315">
        <v>5806861</v>
      </c>
      <c r="CJ33" s="315">
        <v>661608</v>
      </c>
      <c r="CK33" s="315">
        <v>5145253</v>
      </c>
      <c r="CL33" s="315">
        <v>2117750</v>
      </c>
      <c r="CM33" s="315">
        <v>2992235</v>
      </c>
      <c r="CN33" s="315">
        <v>35268</v>
      </c>
      <c r="CO33" s="315"/>
      <c r="CP33" s="315"/>
      <c r="CQ33" s="315">
        <v>35268</v>
      </c>
      <c r="CR33" s="315">
        <v>-267609</v>
      </c>
      <c r="CS33" s="315">
        <v>-78140</v>
      </c>
      <c r="CT33" s="315">
        <v>0</v>
      </c>
      <c r="CU33" s="315"/>
      <c r="CV33" s="315">
        <v>-144</v>
      </c>
      <c r="CW33" s="315">
        <v>-77996</v>
      </c>
      <c r="CX33" s="315">
        <v>-189469</v>
      </c>
      <c r="CY33" s="315">
        <v>0</v>
      </c>
      <c r="CZ33" s="315">
        <v>-184865</v>
      </c>
      <c r="DA33" s="315">
        <v>-4604</v>
      </c>
      <c r="DB33" s="315">
        <v>0</v>
      </c>
      <c r="DC33" s="315">
        <v>0</v>
      </c>
      <c r="DD33" s="315">
        <v>5539252</v>
      </c>
      <c r="DE33" s="315">
        <v>5539252</v>
      </c>
      <c r="DF33" s="316"/>
      <c r="DG33" s="315"/>
      <c r="DH33" s="315"/>
      <c r="DI33" s="315">
        <v>1022261</v>
      </c>
      <c r="DJ33" s="315">
        <v>80155</v>
      </c>
      <c r="DK33" s="315">
        <v>13363</v>
      </c>
      <c r="DL33" s="315">
        <v>3096</v>
      </c>
      <c r="DM33" s="315">
        <v>663785</v>
      </c>
      <c r="DN33" s="315">
        <v>199452</v>
      </c>
      <c r="DO33" s="315"/>
      <c r="DP33" s="315"/>
      <c r="DQ33" s="315"/>
      <c r="DR33" s="315">
        <v>62410</v>
      </c>
      <c r="DS33" s="315">
        <v>-4778</v>
      </c>
      <c r="DT33" s="315">
        <v>-1693</v>
      </c>
      <c r="DU33" s="315">
        <v>-33</v>
      </c>
      <c r="DV33" s="315">
        <v>-1</v>
      </c>
      <c r="DW33" s="315">
        <v>-941</v>
      </c>
      <c r="DX33" s="315"/>
      <c r="DY33" s="315"/>
      <c r="DZ33" s="315"/>
      <c r="EA33" s="315">
        <v>0</v>
      </c>
      <c r="EB33" s="315"/>
      <c r="EC33" s="315"/>
      <c r="ED33" s="315"/>
      <c r="EE33" s="315">
        <v>-2110</v>
      </c>
      <c r="EF33" s="315">
        <v>1017483</v>
      </c>
      <c r="EG33" s="315">
        <v>1017483</v>
      </c>
      <c r="EH33" s="316"/>
      <c r="EI33" s="315"/>
      <c r="EJ33" s="315"/>
      <c r="EK33" s="315">
        <v>78462</v>
      </c>
      <c r="EL33" s="315">
        <v>78462</v>
      </c>
      <c r="EM33" s="316"/>
      <c r="EN33" s="315"/>
      <c r="EO33" s="315"/>
      <c r="EP33" s="315">
        <v>13330</v>
      </c>
      <c r="EQ33" s="315">
        <v>13330</v>
      </c>
      <c r="ER33" s="316"/>
      <c r="ES33" s="315"/>
      <c r="ET33" s="315"/>
      <c r="EU33" s="315">
        <v>3095</v>
      </c>
      <c r="EV33" s="315">
        <v>3095</v>
      </c>
      <c r="EW33" s="316"/>
      <c r="EX33" s="315"/>
      <c r="EY33" s="315"/>
      <c r="EZ33" s="315">
        <v>662844</v>
      </c>
      <c r="FA33" s="315">
        <v>662844</v>
      </c>
      <c r="FB33" s="316"/>
      <c r="FC33" s="315"/>
      <c r="FD33" s="315"/>
      <c r="FE33" s="315">
        <v>199452</v>
      </c>
      <c r="FF33" s="315">
        <v>199452</v>
      </c>
      <c r="FG33" s="316"/>
      <c r="FH33" s="315"/>
      <c r="FI33" s="315"/>
      <c r="FJ33" s="315"/>
      <c r="FK33" s="315"/>
      <c r="FL33" s="316"/>
      <c r="FM33" s="315"/>
      <c r="FN33" s="315"/>
      <c r="FO33" s="315"/>
      <c r="FP33" s="315"/>
      <c r="FQ33" s="315">
        <v>60300</v>
      </c>
      <c r="FR33" s="315">
        <v>167046</v>
      </c>
      <c r="FS33" s="315">
        <v>-2879</v>
      </c>
      <c r="FT33" s="315">
        <v>164167</v>
      </c>
      <c r="FU33" s="315"/>
      <c r="FV33" s="315"/>
      <c r="FW33" s="315"/>
      <c r="FX33" s="315">
        <v>47708</v>
      </c>
      <c r="FY33" s="315">
        <v>26270</v>
      </c>
      <c r="FZ33" s="315"/>
      <c r="GA33" s="315"/>
      <c r="GB33" s="315"/>
      <c r="GC33" s="315">
        <v>17526</v>
      </c>
      <c r="GD33" s="315"/>
      <c r="GE33" s="315"/>
      <c r="GF33" s="315"/>
      <c r="GG33" s="315">
        <v>72663</v>
      </c>
      <c r="GH33" s="315">
        <v>1280</v>
      </c>
      <c r="GI33" s="315">
        <v>26752</v>
      </c>
      <c r="GJ33" s="315">
        <v>44631</v>
      </c>
      <c r="GL33"/>
      <c r="GM33"/>
      <c r="GN33"/>
      <c r="GO33"/>
    </row>
    <row r="34" spans="1:197">
      <c r="A34" s="98" t="s">
        <v>15</v>
      </c>
      <c r="B34" s="98">
        <v>3</v>
      </c>
      <c r="C34" s="98" t="s">
        <v>219</v>
      </c>
      <c r="D34" s="315">
        <v>4840914</v>
      </c>
      <c r="E34" s="315">
        <v>-1179344</v>
      </c>
      <c r="F34" s="315">
        <v>-10079</v>
      </c>
      <c r="G34" s="315">
        <v>3651491</v>
      </c>
      <c r="H34" s="315">
        <v>3651491</v>
      </c>
      <c r="I34" s="316"/>
      <c r="J34" s="315"/>
      <c r="K34" s="315"/>
      <c r="L34" s="315">
        <v>1941450</v>
      </c>
      <c r="M34" s="315"/>
      <c r="N34" s="315">
        <v>50581</v>
      </c>
      <c r="O34" s="315"/>
      <c r="P34" s="315"/>
      <c r="Q34" s="315"/>
      <c r="R34" s="315"/>
      <c r="S34" s="315">
        <v>-333851</v>
      </c>
      <c r="T34" s="315">
        <v>-73498</v>
      </c>
      <c r="U34" s="315"/>
      <c r="V34" s="315"/>
      <c r="W34" s="315">
        <v>0</v>
      </c>
      <c r="X34" s="315"/>
      <c r="Y34" s="315">
        <v>-73498</v>
      </c>
      <c r="Z34" s="315"/>
      <c r="AA34" s="315">
        <v>-7772</v>
      </c>
      <c r="AB34" s="315">
        <v>-252581</v>
      </c>
      <c r="AC34" s="315">
        <v>-10079</v>
      </c>
      <c r="AD34" s="315">
        <v>1597520</v>
      </c>
      <c r="AE34" s="315">
        <v>1597520</v>
      </c>
      <c r="AF34" s="316"/>
      <c r="AG34" s="315"/>
      <c r="AH34" s="315"/>
      <c r="AI34" s="315">
        <v>1532016</v>
      </c>
      <c r="AJ34" s="315">
        <v>514291</v>
      </c>
      <c r="AK34" s="315">
        <v>950771</v>
      </c>
      <c r="AL34" s="315">
        <v>10506</v>
      </c>
      <c r="AM34" s="315">
        <v>91246</v>
      </c>
      <c r="AN34" s="315"/>
      <c r="AO34" s="315"/>
      <c r="AP34" s="315"/>
      <c r="AQ34" s="315">
        <v>7254</v>
      </c>
      <c r="AR34" s="315">
        <v>-22917</v>
      </c>
      <c r="AS34" s="315"/>
      <c r="AT34" s="315"/>
      <c r="AU34" s="315">
        <v>-10079</v>
      </c>
      <c r="AV34" s="315">
        <v>229205</v>
      </c>
      <c r="AW34" s="315"/>
      <c r="AX34" s="315">
        <v>76623</v>
      </c>
      <c r="AY34" s="315"/>
      <c r="AZ34" s="315"/>
      <c r="BA34" s="315"/>
      <c r="BB34" s="315"/>
      <c r="BC34" s="315"/>
      <c r="BD34" s="315"/>
      <c r="BE34" s="315">
        <v>-442985</v>
      </c>
      <c r="BF34" s="315">
        <v>-333586</v>
      </c>
      <c r="BG34" s="315">
        <v>-333586</v>
      </c>
      <c r="BH34" s="315"/>
      <c r="BI34" s="315">
        <v>0</v>
      </c>
      <c r="BJ34" s="315">
        <v>0</v>
      </c>
      <c r="BK34" s="315"/>
      <c r="BL34" s="315">
        <v>-1151</v>
      </c>
      <c r="BM34" s="315">
        <v>-108248</v>
      </c>
      <c r="BN34" s="315">
        <v>-213780</v>
      </c>
      <c r="BO34" s="315">
        <v>36079</v>
      </c>
      <c r="BP34" s="315"/>
      <c r="BQ34" s="315"/>
      <c r="BR34" s="315"/>
      <c r="BS34" s="315">
        <v>7104</v>
      </c>
      <c r="BT34" s="315"/>
      <c r="BU34" s="315"/>
      <c r="BV34" s="315"/>
      <c r="BW34" s="315"/>
      <c r="BX34" s="315">
        <v>-256963</v>
      </c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>
        <v>1508214</v>
      </c>
      <c r="CJ34" s="315">
        <v>464550</v>
      </c>
      <c r="CK34" s="315">
        <v>1043664</v>
      </c>
      <c r="CL34" s="315">
        <v>955988</v>
      </c>
      <c r="CM34" s="315">
        <v>75782</v>
      </c>
      <c r="CN34" s="315">
        <v>11894</v>
      </c>
      <c r="CO34" s="315"/>
      <c r="CP34" s="315"/>
      <c r="CQ34" s="315">
        <v>11894</v>
      </c>
      <c r="CR34" s="315">
        <v>-395464</v>
      </c>
      <c r="CS34" s="315">
        <v>-64228</v>
      </c>
      <c r="CT34" s="315">
        <v>-11263</v>
      </c>
      <c r="CU34" s="315"/>
      <c r="CV34" s="315">
        <v>-54</v>
      </c>
      <c r="CW34" s="315">
        <v>-52911</v>
      </c>
      <c r="CX34" s="315">
        <v>-331236</v>
      </c>
      <c r="CY34" s="315">
        <v>-120484</v>
      </c>
      <c r="CZ34" s="315">
        <v>-208822</v>
      </c>
      <c r="DA34" s="315">
        <v>-1930</v>
      </c>
      <c r="DB34" s="315">
        <v>0</v>
      </c>
      <c r="DC34" s="315">
        <v>0</v>
      </c>
      <c r="DD34" s="315">
        <v>1112750</v>
      </c>
      <c r="DE34" s="315">
        <v>1112750</v>
      </c>
      <c r="DF34" s="316"/>
      <c r="DG34" s="315"/>
      <c r="DH34" s="315"/>
      <c r="DI34" s="315">
        <v>1045811</v>
      </c>
      <c r="DJ34" s="315">
        <v>35427</v>
      </c>
      <c r="DK34" s="315">
        <v>10740</v>
      </c>
      <c r="DL34" s="315">
        <v>67</v>
      </c>
      <c r="DM34" s="315">
        <v>633074</v>
      </c>
      <c r="DN34" s="315">
        <v>300272</v>
      </c>
      <c r="DO34" s="315"/>
      <c r="DP34" s="315"/>
      <c r="DQ34" s="315"/>
      <c r="DR34" s="315">
        <v>66231</v>
      </c>
      <c r="DS34" s="315">
        <v>-4280</v>
      </c>
      <c r="DT34" s="315">
        <v>-1951</v>
      </c>
      <c r="DU34" s="315">
        <v>0</v>
      </c>
      <c r="DV34" s="315">
        <v>-277</v>
      </c>
      <c r="DW34" s="315">
        <v>-268</v>
      </c>
      <c r="DX34" s="315"/>
      <c r="DY34" s="315"/>
      <c r="DZ34" s="315"/>
      <c r="EA34" s="315">
        <v>0</v>
      </c>
      <c r="EB34" s="315"/>
      <c r="EC34" s="315"/>
      <c r="ED34" s="315"/>
      <c r="EE34" s="315">
        <v>-1784</v>
      </c>
      <c r="EF34" s="315">
        <v>1041531</v>
      </c>
      <c r="EG34" s="315">
        <v>1041531</v>
      </c>
      <c r="EH34" s="316"/>
      <c r="EI34" s="315"/>
      <c r="EJ34" s="315"/>
      <c r="EK34" s="315">
        <v>33476</v>
      </c>
      <c r="EL34" s="315">
        <v>33476</v>
      </c>
      <c r="EM34" s="316"/>
      <c r="EN34" s="315"/>
      <c r="EO34" s="315"/>
      <c r="EP34" s="315">
        <v>10740</v>
      </c>
      <c r="EQ34" s="315">
        <v>10740</v>
      </c>
      <c r="ER34" s="316"/>
      <c r="ES34" s="315"/>
      <c r="ET34" s="315"/>
      <c r="EU34" s="315">
        <v>-210</v>
      </c>
      <c r="EV34" s="315">
        <v>-210</v>
      </c>
      <c r="EW34" s="316"/>
      <c r="EX34" s="315"/>
      <c r="EY34" s="315"/>
      <c r="EZ34" s="315">
        <v>632806</v>
      </c>
      <c r="FA34" s="315">
        <v>632806</v>
      </c>
      <c r="FB34" s="316"/>
      <c r="FC34" s="315"/>
      <c r="FD34" s="315"/>
      <c r="FE34" s="315">
        <v>300272</v>
      </c>
      <c r="FF34" s="315">
        <v>300272</v>
      </c>
      <c r="FG34" s="316"/>
      <c r="FH34" s="315"/>
      <c r="FI34" s="315"/>
      <c r="FJ34" s="315"/>
      <c r="FK34" s="315"/>
      <c r="FL34" s="316"/>
      <c r="FM34" s="315"/>
      <c r="FN34" s="315"/>
      <c r="FO34" s="315"/>
      <c r="FP34" s="315"/>
      <c r="FQ34" s="315">
        <v>64447</v>
      </c>
      <c r="FR34" s="315">
        <v>116234</v>
      </c>
      <c r="FS34" s="315">
        <v>-2764</v>
      </c>
      <c r="FT34" s="315">
        <v>113470</v>
      </c>
      <c r="FU34" s="315"/>
      <c r="FV34" s="315"/>
      <c r="FW34" s="315"/>
      <c r="FX34" s="315">
        <v>46729</v>
      </c>
      <c r="FY34" s="315">
        <v>28626</v>
      </c>
      <c r="FZ34" s="315"/>
      <c r="GA34" s="315"/>
      <c r="GB34" s="315"/>
      <c r="GC34" s="315">
        <v>17760</v>
      </c>
      <c r="GD34" s="315"/>
      <c r="GE34" s="315"/>
      <c r="GF34" s="315"/>
      <c r="GG34" s="315">
        <v>20355</v>
      </c>
      <c r="GH34" s="315">
        <v>1298</v>
      </c>
      <c r="GI34" s="315">
        <v>-28862</v>
      </c>
      <c r="GJ34" s="315">
        <v>47919</v>
      </c>
      <c r="GL34"/>
      <c r="GM34"/>
      <c r="GN34"/>
      <c r="GO34"/>
    </row>
    <row r="35" spans="1:197">
      <c r="A35" s="98" t="s">
        <v>15</v>
      </c>
      <c r="B35" s="98">
        <v>4</v>
      </c>
      <c r="C35" s="98" t="s">
        <v>220</v>
      </c>
      <c r="D35" s="315">
        <v>12657541</v>
      </c>
      <c r="E35" s="315">
        <v>-1042597</v>
      </c>
      <c r="F35" s="315">
        <v>-10073</v>
      </c>
      <c r="G35" s="315">
        <v>11604871</v>
      </c>
      <c r="H35" s="315">
        <v>11604871</v>
      </c>
      <c r="I35" s="316"/>
      <c r="J35" s="315"/>
      <c r="K35" s="315"/>
      <c r="L35" s="315">
        <v>4707122</v>
      </c>
      <c r="M35" s="315"/>
      <c r="N35" s="315">
        <v>60949</v>
      </c>
      <c r="O35" s="315"/>
      <c r="P35" s="315"/>
      <c r="Q35" s="315"/>
      <c r="R35" s="315"/>
      <c r="S35" s="315">
        <v>-139382</v>
      </c>
      <c r="T35" s="315">
        <v>-39986</v>
      </c>
      <c r="U35" s="315"/>
      <c r="V35" s="315"/>
      <c r="W35" s="315">
        <v>0</v>
      </c>
      <c r="X35" s="315"/>
      <c r="Y35" s="315">
        <v>-39986</v>
      </c>
      <c r="Z35" s="315"/>
      <c r="AA35" s="315">
        <v>-6059</v>
      </c>
      <c r="AB35" s="315">
        <v>-93337</v>
      </c>
      <c r="AC35" s="315">
        <v>-10073</v>
      </c>
      <c r="AD35" s="315">
        <v>4557667</v>
      </c>
      <c r="AE35" s="315">
        <v>4557667</v>
      </c>
      <c r="AF35" s="316"/>
      <c r="AG35" s="315"/>
      <c r="AH35" s="315"/>
      <c r="AI35" s="315">
        <v>3475100</v>
      </c>
      <c r="AJ35" s="315">
        <v>575323</v>
      </c>
      <c r="AK35" s="315">
        <v>1023806</v>
      </c>
      <c r="AL35" s="315">
        <v>1788925</v>
      </c>
      <c r="AM35" s="315">
        <v>490312</v>
      </c>
      <c r="AN35" s="315"/>
      <c r="AO35" s="315"/>
      <c r="AP35" s="315"/>
      <c r="AQ35" s="315">
        <v>581365</v>
      </c>
      <c r="AR35" s="315">
        <v>20963</v>
      </c>
      <c r="AS35" s="315"/>
      <c r="AT35" s="315"/>
      <c r="AU35" s="315">
        <v>-10073</v>
      </c>
      <c r="AV35" s="315">
        <v>2553057</v>
      </c>
      <c r="AW35" s="315"/>
      <c r="AX35" s="315">
        <v>159653</v>
      </c>
      <c r="AY35" s="315"/>
      <c r="AZ35" s="315"/>
      <c r="BA35" s="315"/>
      <c r="BB35" s="315"/>
      <c r="BC35" s="315"/>
      <c r="BD35" s="315"/>
      <c r="BE35" s="315">
        <v>-199055</v>
      </c>
      <c r="BF35" s="315">
        <v>-158770</v>
      </c>
      <c r="BG35" s="315">
        <v>-158770</v>
      </c>
      <c r="BH35" s="315"/>
      <c r="BI35" s="315">
        <v>0</v>
      </c>
      <c r="BJ35" s="315">
        <v>0</v>
      </c>
      <c r="BK35" s="315"/>
      <c r="BL35" s="315">
        <v>-282</v>
      </c>
      <c r="BM35" s="315">
        <v>-40003</v>
      </c>
      <c r="BN35" s="315">
        <v>2354002</v>
      </c>
      <c r="BO35" s="315">
        <v>196579</v>
      </c>
      <c r="BP35" s="315"/>
      <c r="BQ35" s="315"/>
      <c r="BR35" s="315"/>
      <c r="BS35" s="315">
        <v>2156540</v>
      </c>
      <c r="BT35" s="315"/>
      <c r="BU35" s="315"/>
      <c r="BV35" s="315"/>
      <c r="BW35" s="315"/>
      <c r="BX35" s="315">
        <v>883</v>
      </c>
      <c r="BY35" s="315"/>
      <c r="BZ35" s="315"/>
      <c r="CA35" s="315"/>
      <c r="CB35" s="315"/>
      <c r="CC35" s="315"/>
      <c r="CD35" s="315"/>
      <c r="CE35" s="315"/>
      <c r="CF35" s="315"/>
      <c r="CG35" s="315"/>
      <c r="CH35" s="315"/>
      <c r="CI35" s="315">
        <v>4236703</v>
      </c>
      <c r="CJ35" s="315">
        <v>537179</v>
      </c>
      <c r="CK35" s="315">
        <v>3699524</v>
      </c>
      <c r="CL35" s="315">
        <v>1060276</v>
      </c>
      <c r="CM35" s="315">
        <v>2632439</v>
      </c>
      <c r="CN35" s="315">
        <v>6809</v>
      </c>
      <c r="CO35" s="315"/>
      <c r="CP35" s="315"/>
      <c r="CQ35" s="315">
        <v>6809</v>
      </c>
      <c r="CR35" s="315">
        <v>-697727</v>
      </c>
      <c r="CS35" s="315">
        <v>-190215</v>
      </c>
      <c r="CT35" s="315">
        <v>-161083</v>
      </c>
      <c r="CU35" s="315"/>
      <c r="CV35" s="315">
        <v>-96</v>
      </c>
      <c r="CW35" s="315">
        <v>-29036</v>
      </c>
      <c r="CX35" s="315">
        <v>-366677</v>
      </c>
      <c r="CY35" s="315">
        <v>-186981</v>
      </c>
      <c r="CZ35" s="315">
        <v>-178276</v>
      </c>
      <c r="DA35" s="315">
        <v>-1420</v>
      </c>
      <c r="DB35" s="315">
        <v>-140835</v>
      </c>
      <c r="DC35" s="315">
        <v>0</v>
      </c>
      <c r="DD35" s="315">
        <v>3538976</v>
      </c>
      <c r="DE35" s="315">
        <v>3538976</v>
      </c>
      <c r="DF35" s="316"/>
      <c r="DG35" s="315"/>
      <c r="DH35" s="315"/>
      <c r="DI35" s="315">
        <v>962689</v>
      </c>
      <c r="DJ35" s="315">
        <v>8362</v>
      </c>
      <c r="DK35" s="315">
        <v>4061</v>
      </c>
      <c r="DL35" s="315">
        <v>454</v>
      </c>
      <c r="DM35" s="315">
        <v>714754</v>
      </c>
      <c r="DN35" s="315">
        <v>170243</v>
      </c>
      <c r="DO35" s="315"/>
      <c r="DP35" s="315"/>
      <c r="DQ35" s="315"/>
      <c r="DR35" s="315">
        <v>64815</v>
      </c>
      <c r="DS35" s="315">
        <v>-3094</v>
      </c>
      <c r="DT35" s="315">
        <v>-849</v>
      </c>
      <c r="DU35" s="315">
        <v>-88</v>
      </c>
      <c r="DV35" s="315">
        <v>-15</v>
      </c>
      <c r="DW35" s="315">
        <v>-800</v>
      </c>
      <c r="DX35" s="315"/>
      <c r="DY35" s="315"/>
      <c r="DZ35" s="315"/>
      <c r="EA35" s="315">
        <v>0</v>
      </c>
      <c r="EB35" s="315"/>
      <c r="EC35" s="315"/>
      <c r="ED35" s="315"/>
      <c r="EE35" s="315">
        <v>-1342</v>
      </c>
      <c r="EF35" s="315">
        <v>959595</v>
      </c>
      <c r="EG35" s="315">
        <v>959595</v>
      </c>
      <c r="EH35" s="316"/>
      <c r="EI35" s="315"/>
      <c r="EJ35" s="315"/>
      <c r="EK35" s="315">
        <v>7513</v>
      </c>
      <c r="EL35" s="315">
        <v>7513</v>
      </c>
      <c r="EM35" s="316"/>
      <c r="EN35" s="315"/>
      <c r="EO35" s="315"/>
      <c r="EP35" s="315">
        <v>3973</v>
      </c>
      <c r="EQ35" s="315">
        <v>3973</v>
      </c>
      <c r="ER35" s="316"/>
      <c r="ES35" s="315"/>
      <c r="ET35" s="315"/>
      <c r="EU35" s="315">
        <v>439</v>
      </c>
      <c r="EV35" s="315">
        <v>439</v>
      </c>
      <c r="EW35" s="316"/>
      <c r="EX35" s="315"/>
      <c r="EY35" s="315"/>
      <c r="EZ35" s="315">
        <v>713954</v>
      </c>
      <c r="FA35" s="315">
        <v>713954</v>
      </c>
      <c r="FB35" s="316"/>
      <c r="FC35" s="315"/>
      <c r="FD35" s="315"/>
      <c r="FE35" s="315">
        <v>170243</v>
      </c>
      <c r="FF35" s="315">
        <v>170243</v>
      </c>
      <c r="FG35" s="316"/>
      <c r="FH35" s="315"/>
      <c r="FI35" s="315"/>
      <c r="FJ35" s="315"/>
      <c r="FK35" s="315"/>
      <c r="FL35" s="316"/>
      <c r="FM35" s="315"/>
      <c r="FN35" s="315"/>
      <c r="FO35" s="315"/>
      <c r="FP35" s="315"/>
      <c r="FQ35" s="315">
        <v>63473</v>
      </c>
      <c r="FR35" s="315">
        <v>197970</v>
      </c>
      <c r="FS35" s="315">
        <v>-3339</v>
      </c>
      <c r="FT35" s="315">
        <v>194631</v>
      </c>
      <c r="FU35" s="315"/>
      <c r="FV35" s="315"/>
      <c r="FW35" s="315"/>
      <c r="FX35" s="315">
        <v>55359</v>
      </c>
      <c r="FY35" s="315">
        <v>35466</v>
      </c>
      <c r="FZ35" s="315"/>
      <c r="GA35" s="315"/>
      <c r="GB35" s="315"/>
      <c r="GC35" s="315">
        <v>46224</v>
      </c>
      <c r="GD35" s="315"/>
      <c r="GE35" s="315"/>
      <c r="GF35" s="315"/>
      <c r="GG35" s="315">
        <v>57582</v>
      </c>
      <c r="GH35" s="315">
        <v>3805</v>
      </c>
      <c r="GI35" s="315">
        <v>12115</v>
      </c>
      <c r="GJ35" s="315">
        <v>41662</v>
      </c>
      <c r="GL35"/>
      <c r="GM35"/>
      <c r="GN35"/>
      <c r="GO35"/>
    </row>
    <row r="36" spans="1:197">
      <c r="A36" s="98" t="s">
        <v>15</v>
      </c>
      <c r="B36" s="98">
        <v>5</v>
      </c>
      <c r="C36" s="98" t="s">
        <v>221</v>
      </c>
      <c r="D36" s="315">
        <v>5370787</v>
      </c>
      <c r="E36" s="315">
        <v>-1069391</v>
      </c>
      <c r="F36" s="315">
        <v>-10067</v>
      </c>
      <c r="G36" s="315">
        <v>4291329</v>
      </c>
      <c r="H36" s="315">
        <v>4291329</v>
      </c>
      <c r="I36" s="316"/>
      <c r="J36" s="315"/>
      <c r="K36" s="315"/>
      <c r="L36" s="315">
        <v>2165805</v>
      </c>
      <c r="M36" s="315"/>
      <c r="N36" s="315">
        <v>112696</v>
      </c>
      <c r="O36" s="315"/>
      <c r="P36" s="315"/>
      <c r="Q36" s="315"/>
      <c r="R36" s="315"/>
      <c r="S36" s="315">
        <v>-229891</v>
      </c>
      <c r="T36" s="315">
        <v>-29065</v>
      </c>
      <c r="U36" s="315"/>
      <c r="V36" s="315"/>
      <c r="W36" s="315">
        <v>0</v>
      </c>
      <c r="X36" s="315"/>
      <c r="Y36" s="315">
        <v>-29065</v>
      </c>
      <c r="Z36" s="315"/>
      <c r="AA36" s="315">
        <v>-5990</v>
      </c>
      <c r="AB36" s="315">
        <v>-194836</v>
      </c>
      <c r="AC36" s="315">
        <v>-10067</v>
      </c>
      <c r="AD36" s="315">
        <v>1925847</v>
      </c>
      <c r="AE36" s="315">
        <v>1925847</v>
      </c>
      <c r="AF36" s="316"/>
      <c r="AG36" s="315"/>
      <c r="AH36" s="315"/>
      <c r="AI36" s="315">
        <v>1716731</v>
      </c>
      <c r="AJ36" s="315">
        <v>706742</v>
      </c>
      <c r="AK36" s="315">
        <v>938462</v>
      </c>
      <c r="AL36" s="315">
        <v>18890</v>
      </c>
      <c r="AM36" s="315">
        <v>127096</v>
      </c>
      <c r="AN36" s="315"/>
      <c r="AO36" s="315"/>
      <c r="AP36" s="315"/>
      <c r="AQ36" s="315">
        <v>8456</v>
      </c>
      <c r="AR36" s="315">
        <v>83631</v>
      </c>
      <c r="AS36" s="315"/>
      <c r="AT36" s="315"/>
      <c r="AU36" s="315">
        <v>-10067</v>
      </c>
      <c r="AV36" s="315">
        <v>258576</v>
      </c>
      <c r="AW36" s="315"/>
      <c r="AX36" s="315">
        <v>105381</v>
      </c>
      <c r="AY36" s="315"/>
      <c r="AZ36" s="315"/>
      <c r="BA36" s="315"/>
      <c r="BB36" s="315"/>
      <c r="BC36" s="315"/>
      <c r="BD36" s="315"/>
      <c r="BE36" s="315">
        <v>-198481</v>
      </c>
      <c r="BF36" s="315">
        <v>-114835</v>
      </c>
      <c r="BG36" s="315">
        <v>-114835</v>
      </c>
      <c r="BH36" s="315"/>
      <c r="BI36" s="315">
        <v>0</v>
      </c>
      <c r="BJ36" s="315">
        <v>0</v>
      </c>
      <c r="BK36" s="315"/>
      <c r="BL36" s="315">
        <v>-147</v>
      </c>
      <c r="BM36" s="315">
        <v>-83499</v>
      </c>
      <c r="BN36" s="315">
        <v>60095</v>
      </c>
      <c r="BO36" s="315">
        <v>52156</v>
      </c>
      <c r="BP36" s="315"/>
      <c r="BQ36" s="315"/>
      <c r="BR36" s="315"/>
      <c r="BS36" s="315">
        <v>17393</v>
      </c>
      <c r="BT36" s="315"/>
      <c r="BU36" s="315"/>
      <c r="BV36" s="315"/>
      <c r="BW36" s="315"/>
      <c r="BX36" s="315">
        <v>-9454</v>
      </c>
      <c r="BY36" s="315"/>
      <c r="BZ36" s="315"/>
      <c r="CA36" s="315"/>
      <c r="CB36" s="315"/>
      <c r="CC36" s="315"/>
      <c r="CD36" s="315"/>
      <c r="CE36" s="315"/>
      <c r="CF36" s="315"/>
      <c r="CG36" s="315"/>
      <c r="CH36" s="315"/>
      <c r="CI36" s="315">
        <v>1707919</v>
      </c>
      <c r="CJ36" s="315">
        <v>541138</v>
      </c>
      <c r="CK36" s="315">
        <v>1166781</v>
      </c>
      <c r="CL36" s="315">
        <v>1075511</v>
      </c>
      <c r="CM36" s="315">
        <v>61556</v>
      </c>
      <c r="CN36" s="315">
        <v>29714</v>
      </c>
      <c r="CO36" s="315"/>
      <c r="CP36" s="315"/>
      <c r="CQ36" s="315">
        <v>29714</v>
      </c>
      <c r="CR36" s="315">
        <v>-632985</v>
      </c>
      <c r="CS36" s="315">
        <v>-244888</v>
      </c>
      <c r="CT36" s="315">
        <v>-206309</v>
      </c>
      <c r="CU36" s="315"/>
      <c r="CV36" s="315">
        <v>-36</v>
      </c>
      <c r="CW36" s="315">
        <v>-38543</v>
      </c>
      <c r="CX36" s="315">
        <v>-357650</v>
      </c>
      <c r="CY36" s="315">
        <v>-270834</v>
      </c>
      <c r="CZ36" s="315">
        <v>-86000</v>
      </c>
      <c r="DA36" s="315">
        <v>-816</v>
      </c>
      <c r="DB36" s="315">
        <v>0</v>
      </c>
      <c r="DC36" s="315">
        <v>-30447</v>
      </c>
      <c r="DD36" s="315">
        <v>1074934</v>
      </c>
      <c r="DE36" s="315">
        <v>1074934</v>
      </c>
      <c r="DF36" s="316"/>
      <c r="DG36" s="315"/>
      <c r="DH36" s="315"/>
      <c r="DI36" s="315">
        <v>1069895</v>
      </c>
      <c r="DJ36" s="315">
        <v>40573</v>
      </c>
      <c r="DK36" s="315">
        <v>8489</v>
      </c>
      <c r="DL36" s="315">
        <v>1296</v>
      </c>
      <c r="DM36" s="315">
        <v>704532</v>
      </c>
      <c r="DN36" s="315">
        <v>255857</v>
      </c>
      <c r="DO36" s="315"/>
      <c r="DP36" s="315"/>
      <c r="DQ36" s="315"/>
      <c r="DR36" s="315">
        <v>59148</v>
      </c>
      <c r="DS36" s="315">
        <v>-3387</v>
      </c>
      <c r="DT36" s="315">
        <v>-2078</v>
      </c>
      <c r="DU36" s="315">
        <v>-15</v>
      </c>
      <c r="DV36" s="315">
        <v>-4</v>
      </c>
      <c r="DW36" s="315">
        <v>-512</v>
      </c>
      <c r="DX36" s="315"/>
      <c r="DY36" s="315"/>
      <c r="DZ36" s="315"/>
      <c r="EA36" s="315">
        <v>0</v>
      </c>
      <c r="EB36" s="315"/>
      <c r="EC36" s="315"/>
      <c r="ED36" s="315"/>
      <c r="EE36" s="315">
        <v>-778</v>
      </c>
      <c r="EF36" s="315">
        <v>1066508</v>
      </c>
      <c r="EG36" s="315">
        <v>1066508</v>
      </c>
      <c r="EH36" s="316"/>
      <c r="EI36" s="315"/>
      <c r="EJ36" s="315"/>
      <c r="EK36" s="315">
        <v>38495</v>
      </c>
      <c r="EL36" s="315">
        <v>38495</v>
      </c>
      <c r="EM36" s="316"/>
      <c r="EN36" s="315"/>
      <c r="EO36" s="315"/>
      <c r="EP36" s="315">
        <v>8474</v>
      </c>
      <c r="EQ36" s="315">
        <v>8474</v>
      </c>
      <c r="ER36" s="316"/>
      <c r="ES36" s="315"/>
      <c r="ET36" s="315"/>
      <c r="EU36" s="315">
        <v>1292</v>
      </c>
      <c r="EV36" s="315">
        <v>1292</v>
      </c>
      <c r="EW36" s="316"/>
      <c r="EX36" s="315"/>
      <c r="EY36" s="315"/>
      <c r="EZ36" s="315">
        <v>704020</v>
      </c>
      <c r="FA36" s="315">
        <v>704020</v>
      </c>
      <c r="FB36" s="316"/>
      <c r="FC36" s="315"/>
      <c r="FD36" s="315"/>
      <c r="FE36" s="315">
        <v>255857</v>
      </c>
      <c r="FF36" s="315">
        <v>255857</v>
      </c>
      <c r="FG36" s="316"/>
      <c r="FH36" s="315"/>
      <c r="FI36" s="315"/>
      <c r="FJ36" s="315"/>
      <c r="FK36" s="315"/>
      <c r="FL36" s="316"/>
      <c r="FM36" s="315"/>
      <c r="FN36" s="315"/>
      <c r="FO36" s="315"/>
      <c r="FP36" s="315"/>
      <c r="FQ36" s="315">
        <v>58370</v>
      </c>
      <c r="FR36" s="315">
        <v>168592</v>
      </c>
      <c r="FS36" s="315">
        <v>-4647</v>
      </c>
      <c r="FT36" s="315">
        <v>163945</v>
      </c>
      <c r="FU36" s="315"/>
      <c r="FV36" s="315"/>
      <c r="FW36" s="315"/>
      <c r="FX36" s="315">
        <v>55684</v>
      </c>
      <c r="FY36" s="315">
        <v>39907</v>
      </c>
      <c r="FZ36" s="315"/>
      <c r="GA36" s="315"/>
      <c r="GB36" s="315"/>
      <c r="GC36" s="315">
        <v>17712</v>
      </c>
      <c r="GD36" s="315"/>
      <c r="GE36" s="315"/>
      <c r="GF36" s="315"/>
      <c r="GG36" s="315">
        <v>50642</v>
      </c>
      <c r="GH36" s="315">
        <v>8198</v>
      </c>
      <c r="GI36" s="315">
        <v>7507</v>
      </c>
      <c r="GJ36" s="315">
        <v>34937</v>
      </c>
      <c r="GL36"/>
      <c r="GM36"/>
      <c r="GN36"/>
      <c r="GO36"/>
    </row>
    <row r="37" spans="1:197">
      <c r="A37" s="98" t="s">
        <v>15</v>
      </c>
      <c r="B37" s="98">
        <v>6</v>
      </c>
      <c r="C37" s="98" t="s">
        <v>222</v>
      </c>
      <c r="D37" s="315">
        <v>7655715</v>
      </c>
      <c r="E37" s="315">
        <v>-1214043</v>
      </c>
      <c r="F37" s="315">
        <v>-10073</v>
      </c>
      <c r="G37" s="315">
        <v>6431599</v>
      </c>
      <c r="H37" s="315">
        <v>6431599</v>
      </c>
      <c r="I37" s="316"/>
      <c r="J37" s="315"/>
      <c r="K37" s="315"/>
      <c r="L37" s="315">
        <v>4288724</v>
      </c>
      <c r="M37" s="315"/>
      <c r="N37" s="315">
        <v>2719820</v>
      </c>
      <c r="O37" s="315"/>
      <c r="P37" s="315"/>
      <c r="Q37" s="315"/>
      <c r="R37" s="315"/>
      <c r="S37" s="315">
        <v>-66043</v>
      </c>
      <c r="T37" s="315">
        <v>-21889</v>
      </c>
      <c r="U37" s="315"/>
      <c r="V37" s="315"/>
      <c r="W37" s="315">
        <v>0</v>
      </c>
      <c r="X37" s="315"/>
      <c r="Y37" s="315">
        <v>-21889</v>
      </c>
      <c r="Z37" s="315"/>
      <c r="AA37" s="315">
        <v>-5016</v>
      </c>
      <c r="AB37" s="315">
        <v>-39138</v>
      </c>
      <c r="AC37" s="315">
        <v>-10073</v>
      </c>
      <c r="AD37" s="315">
        <v>4212608</v>
      </c>
      <c r="AE37" s="315">
        <v>4212608</v>
      </c>
      <c r="AF37" s="316"/>
      <c r="AG37" s="315"/>
      <c r="AH37" s="315"/>
      <c r="AI37" s="315">
        <v>1275318</v>
      </c>
      <c r="AJ37" s="315">
        <v>318926</v>
      </c>
      <c r="AK37" s="315">
        <v>886343</v>
      </c>
      <c r="AL37" s="315">
        <v>9165</v>
      </c>
      <c r="AM37" s="315">
        <v>239996</v>
      </c>
      <c r="AN37" s="315"/>
      <c r="AO37" s="315"/>
      <c r="AP37" s="315"/>
      <c r="AQ37" s="315">
        <v>9436</v>
      </c>
      <c r="AR37" s="315">
        <v>2697931</v>
      </c>
      <c r="AS37" s="315"/>
      <c r="AT37" s="315"/>
      <c r="AU37" s="315">
        <v>-10073</v>
      </c>
      <c r="AV37" s="315">
        <v>272546</v>
      </c>
      <c r="AW37" s="315"/>
      <c r="AX37" s="315">
        <v>147494</v>
      </c>
      <c r="AY37" s="315"/>
      <c r="AZ37" s="315"/>
      <c r="BA37" s="315"/>
      <c r="BB37" s="315"/>
      <c r="BC37" s="315"/>
      <c r="BD37" s="315"/>
      <c r="BE37" s="315">
        <v>-105549</v>
      </c>
      <c r="BF37" s="315">
        <v>-88685</v>
      </c>
      <c r="BG37" s="315">
        <v>-88685</v>
      </c>
      <c r="BH37" s="315"/>
      <c r="BI37" s="315">
        <v>0</v>
      </c>
      <c r="BJ37" s="315">
        <v>0</v>
      </c>
      <c r="BK37" s="315"/>
      <c r="BL37" s="315">
        <v>-90</v>
      </c>
      <c r="BM37" s="315">
        <v>-16774</v>
      </c>
      <c r="BN37" s="315">
        <v>166997</v>
      </c>
      <c r="BO37" s="315">
        <v>101397</v>
      </c>
      <c r="BP37" s="315"/>
      <c r="BQ37" s="315"/>
      <c r="BR37" s="315"/>
      <c r="BS37" s="315">
        <v>6791</v>
      </c>
      <c r="BT37" s="315"/>
      <c r="BU37" s="315"/>
      <c r="BV37" s="315"/>
      <c r="BW37" s="315"/>
      <c r="BX37" s="315">
        <v>58809</v>
      </c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>
        <v>1620869</v>
      </c>
      <c r="CJ37" s="315">
        <v>514225</v>
      </c>
      <c r="CK37" s="315">
        <v>1106644</v>
      </c>
      <c r="CL37" s="315">
        <v>994765</v>
      </c>
      <c r="CM37" s="315">
        <v>91017</v>
      </c>
      <c r="CN37" s="315">
        <v>20862</v>
      </c>
      <c r="CO37" s="315"/>
      <c r="CP37" s="315"/>
      <c r="CQ37" s="315">
        <v>20862</v>
      </c>
      <c r="CR37" s="315">
        <v>-897641</v>
      </c>
      <c r="CS37" s="315">
        <v>-409655</v>
      </c>
      <c r="CT37" s="315">
        <v>-387629</v>
      </c>
      <c r="CU37" s="315"/>
      <c r="CV37" s="315">
        <v>-36</v>
      </c>
      <c r="CW37" s="315">
        <v>-21990</v>
      </c>
      <c r="CX37" s="315">
        <v>-372087</v>
      </c>
      <c r="CY37" s="315">
        <v>-312106</v>
      </c>
      <c r="CZ37" s="315">
        <v>-59000</v>
      </c>
      <c r="DA37" s="315">
        <v>-981</v>
      </c>
      <c r="DB37" s="315">
        <v>-78258</v>
      </c>
      <c r="DC37" s="315">
        <v>-37641</v>
      </c>
      <c r="DD37" s="315">
        <v>723228</v>
      </c>
      <c r="DE37" s="315">
        <v>723228</v>
      </c>
      <c r="DF37" s="316"/>
      <c r="DG37" s="315"/>
      <c r="DH37" s="315"/>
      <c r="DI37" s="315">
        <v>1107368</v>
      </c>
      <c r="DJ37" s="315">
        <v>40252</v>
      </c>
      <c r="DK37" s="315">
        <v>13704</v>
      </c>
      <c r="DL37" s="315">
        <v>2840</v>
      </c>
      <c r="DM37" s="315">
        <v>711951</v>
      </c>
      <c r="DN37" s="315">
        <v>266063</v>
      </c>
      <c r="DO37" s="315"/>
      <c r="DP37" s="315"/>
      <c r="DQ37" s="315"/>
      <c r="DR37" s="315">
        <v>72558</v>
      </c>
      <c r="DS37" s="315">
        <v>-126306</v>
      </c>
      <c r="DT37" s="315">
        <v>-15328</v>
      </c>
      <c r="DU37" s="315">
        <v>-2207</v>
      </c>
      <c r="DV37" s="315">
        <v>-9</v>
      </c>
      <c r="DW37" s="315">
        <v>-90288</v>
      </c>
      <c r="DX37" s="315"/>
      <c r="DY37" s="315"/>
      <c r="DZ37" s="315"/>
      <c r="EA37" s="315">
        <v>-17965</v>
      </c>
      <c r="EB37" s="315"/>
      <c r="EC37" s="315"/>
      <c r="ED37" s="315"/>
      <c r="EE37" s="315">
        <v>-509</v>
      </c>
      <c r="EF37" s="315">
        <v>981062</v>
      </c>
      <c r="EG37" s="315">
        <v>981062</v>
      </c>
      <c r="EH37" s="316"/>
      <c r="EI37" s="315"/>
      <c r="EJ37" s="315"/>
      <c r="EK37" s="315">
        <v>24924</v>
      </c>
      <c r="EL37" s="315">
        <v>24924</v>
      </c>
      <c r="EM37" s="316"/>
      <c r="EN37" s="315"/>
      <c r="EO37" s="315"/>
      <c r="EP37" s="315">
        <v>11497</v>
      </c>
      <c r="EQ37" s="315">
        <v>11497</v>
      </c>
      <c r="ER37" s="316"/>
      <c r="ES37" s="315"/>
      <c r="ET37" s="315"/>
      <c r="EU37" s="315">
        <v>2831</v>
      </c>
      <c r="EV37" s="315">
        <v>2831</v>
      </c>
      <c r="EW37" s="316"/>
      <c r="EX37" s="315"/>
      <c r="EY37" s="315"/>
      <c r="EZ37" s="315">
        <v>621663</v>
      </c>
      <c r="FA37" s="315">
        <v>621663</v>
      </c>
      <c r="FB37" s="316"/>
      <c r="FC37" s="315"/>
      <c r="FD37" s="315"/>
      <c r="FE37" s="315">
        <v>248098</v>
      </c>
      <c r="FF37" s="315">
        <v>248098</v>
      </c>
      <c r="FG37" s="316"/>
      <c r="FH37" s="315"/>
      <c r="FI37" s="315"/>
      <c r="FJ37" s="315"/>
      <c r="FK37" s="315"/>
      <c r="FL37" s="316"/>
      <c r="FM37" s="315"/>
      <c r="FN37" s="315"/>
      <c r="FO37" s="315"/>
      <c r="FP37" s="315"/>
      <c r="FQ37" s="315">
        <v>72049</v>
      </c>
      <c r="FR37" s="315">
        <v>366208</v>
      </c>
      <c r="FS37" s="315">
        <v>-18504</v>
      </c>
      <c r="FT37" s="315">
        <v>347704</v>
      </c>
      <c r="FU37" s="315"/>
      <c r="FV37" s="315"/>
      <c r="FW37" s="315"/>
      <c r="FX37" s="315">
        <v>56020</v>
      </c>
      <c r="FY37" s="315">
        <v>38934</v>
      </c>
      <c r="FZ37" s="315"/>
      <c r="GA37" s="315"/>
      <c r="GB37" s="315"/>
      <c r="GC37" s="315">
        <v>16684</v>
      </c>
      <c r="GD37" s="315"/>
      <c r="GE37" s="315"/>
      <c r="GF37" s="315"/>
      <c r="GG37" s="315">
        <v>236066</v>
      </c>
      <c r="GH37" s="315">
        <v>185076</v>
      </c>
      <c r="GI37" s="315">
        <v>6094</v>
      </c>
      <c r="GJ37" s="315">
        <v>44896</v>
      </c>
      <c r="GL37"/>
      <c r="GM37"/>
      <c r="GN37"/>
      <c r="GO37"/>
    </row>
    <row r="38" spans="1:197">
      <c r="A38" s="98" t="s">
        <v>15</v>
      </c>
      <c r="B38" s="98">
        <v>7</v>
      </c>
      <c r="C38" s="98" t="s">
        <v>223</v>
      </c>
      <c r="D38" s="315">
        <v>11650264</v>
      </c>
      <c r="E38" s="315">
        <v>-1750147</v>
      </c>
      <c r="F38" s="315">
        <v>-10067</v>
      </c>
      <c r="G38" s="315">
        <v>9890050</v>
      </c>
      <c r="H38" s="315">
        <v>9890050</v>
      </c>
      <c r="I38" s="316"/>
      <c r="J38" s="315"/>
      <c r="K38" s="315"/>
      <c r="L38" s="315">
        <v>4889162</v>
      </c>
      <c r="M38" s="315"/>
      <c r="N38" s="315">
        <v>95585</v>
      </c>
      <c r="O38" s="315"/>
      <c r="P38" s="315"/>
      <c r="Q38" s="315"/>
      <c r="R38" s="315"/>
      <c r="S38" s="315">
        <v>-455021</v>
      </c>
      <c r="T38" s="315">
        <v>-372616</v>
      </c>
      <c r="U38" s="315"/>
      <c r="V38" s="315"/>
      <c r="W38" s="315">
        <v>-356815</v>
      </c>
      <c r="X38" s="315"/>
      <c r="Y38" s="315">
        <v>-15801</v>
      </c>
      <c r="Z38" s="315"/>
      <c r="AA38" s="315">
        <v>-4929</v>
      </c>
      <c r="AB38" s="315">
        <v>-77476</v>
      </c>
      <c r="AC38" s="315">
        <v>-10067</v>
      </c>
      <c r="AD38" s="315">
        <v>4424074</v>
      </c>
      <c r="AE38" s="315">
        <v>4424074</v>
      </c>
      <c r="AF38" s="316"/>
      <c r="AG38" s="315"/>
      <c r="AH38" s="315"/>
      <c r="AI38" s="315">
        <v>3665381</v>
      </c>
      <c r="AJ38" s="315">
        <v>402938</v>
      </c>
      <c r="AK38" s="315">
        <v>1159809</v>
      </c>
      <c r="AL38" s="315">
        <v>2019870</v>
      </c>
      <c r="AM38" s="315">
        <v>443126</v>
      </c>
      <c r="AN38" s="315"/>
      <c r="AO38" s="315"/>
      <c r="AP38" s="315"/>
      <c r="AQ38" s="315">
        <v>602665</v>
      </c>
      <c r="AR38" s="315">
        <v>-277031</v>
      </c>
      <c r="AS38" s="315"/>
      <c r="AT38" s="315"/>
      <c r="AU38" s="315">
        <v>-10067</v>
      </c>
      <c r="AV38" s="315">
        <v>743038</v>
      </c>
      <c r="AW38" s="315"/>
      <c r="AX38" s="315">
        <v>518421</v>
      </c>
      <c r="AY38" s="315"/>
      <c r="AZ38" s="315"/>
      <c r="BA38" s="315"/>
      <c r="BB38" s="315"/>
      <c r="BC38" s="315"/>
      <c r="BD38" s="315"/>
      <c r="BE38" s="315">
        <v>-86829</v>
      </c>
      <c r="BF38" s="315">
        <v>-52974</v>
      </c>
      <c r="BG38" s="315">
        <v>-52974</v>
      </c>
      <c r="BH38" s="315"/>
      <c r="BI38" s="315">
        <v>0</v>
      </c>
      <c r="BJ38" s="315">
        <v>0</v>
      </c>
      <c r="BK38" s="315"/>
      <c r="BL38" s="315">
        <v>-649</v>
      </c>
      <c r="BM38" s="315">
        <v>-33206</v>
      </c>
      <c r="BN38" s="315">
        <v>656209</v>
      </c>
      <c r="BO38" s="315">
        <v>180262</v>
      </c>
      <c r="BP38" s="315"/>
      <c r="BQ38" s="315"/>
      <c r="BR38" s="315"/>
      <c r="BS38" s="315">
        <v>10500</v>
      </c>
      <c r="BT38" s="315"/>
      <c r="BU38" s="315"/>
      <c r="BV38" s="315"/>
      <c r="BW38" s="315"/>
      <c r="BX38" s="315">
        <v>465447</v>
      </c>
      <c r="BY38" s="315"/>
      <c r="BZ38" s="315"/>
      <c r="CA38" s="315"/>
      <c r="CB38" s="315"/>
      <c r="CC38" s="315"/>
      <c r="CD38" s="315"/>
      <c r="CE38" s="315"/>
      <c r="CF38" s="315"/>
      <c r="CG38" s="315"/>
      <c r="CH38" s="315"/>
      <c r="CI38" s="315">
        <v>4527429</v>
      </c>
      <c r="CJ38" s="315">
        <v>545087</v>
      </c>
      <c r="CK38" s="315">
        <v>3982342</v>
      </c>
      <c r="CL38" s="315">
        <v>1096986</v>
      </c>
      <c r="CM38" s="315">
        <v>2875530</v>
      </c>
      <c r="CN38" s="315">
        <v>9826</v>
      </c>
      <c r="CO38" s="315"/>
      <c r="CP38" s="315"/>
      <c r="CQ38" s="315">
        <v>9826</v>
      </c>
      <c r="CR38" s="315">
        <v>-1022921</v>
      </c>
      <c r="CS38" s="315">
        <v>-375030</v>
      </c>
      <c r="CT38" s="315">
        <v>-326722</v>
      </c>
      <c r="CU38" s="315"/>
      <c r="CV38" s="315">
        <v>-42</v>
      </c>
      <c r="CW38" s="315">
        <v>-48266</v>
      </c>
      <c r="CX38" s="315">
        <v>-499435</v>
      </c>
      <c r="CY38" s="315">
        <v>-394468</v>
      </c>
      <c r="CZ38" s="315">
        <v>-104000</v>
      </c>
      <c r="DA38" s="315">
        <v>-967</v>
      </c>
      <c r="DB38" s="315">
        <v>-148456</v>
      </c>
      <c r="DC38" s="315">
        <v>0</v>
      </c>
      <c r="DD38" s="315">
        <v>3504508</v>
      </c>
      <c r="DE38" s="315">
        <v>3504508</v>
      </c>
      <c r="DF38" s="316"/>
      <c r="DG38" s="315"/>
      <c r="DH38" s="315"/>
      <c r="DI38" s="315">
        <v>1112230</v>
      </c>
      <c r="DJ38" s="315">
        <v>52002</v>
      </c>
      <c r="DK38" s="315">
        <v>16727</v>
      </c>
      <c r="DL38" s="315">
        <v>1687</v>
      </c>
      <c r="DM38" s="315">
        <v>690641</v>
      </c>
      <c r="DN38" s="315">
        <v>273018</v>
      </c>
      <c r="DO38" s="315"/>
      <c r="DP38" s="315"/>
      <c r="DQ38" s="315"/>
      <c r="DR38" s="315">
        <v>78155</v>
      </c>
      <c r="DS38" s="315">
        <v>-179202</v>
      </c>
      <c r="DT38" s="315">
        <v>-9054</v>
      </c>
      <c r="DU38" s="315">
        <v>-1924</v>
      </c>
      <c r="DV38" s="315">
        <v>-215</v>
      </c>
      <c r="DW38" s="315">
        <v>-134813</v>
      </c>
      <c r="DX38" s="315"/>
      <c r="DY38" s="315"/>
      <c r="DZ38" s="315"/>
      <c r="EA38" s="315">
        <v>-32914</v>
      </c>
      <c r="EB38" s="315"/>
      <c r="EC38" s="315"/>
      <c r="ED38" s="315"/>
      <c r="EE38" s="315">
        <v>-282</v>
      </c>
      <c r="EF38" s="315">
        <v>933028</v>
      </c>
      <c r="EG38" s="315">
        <v>933028</v>
      </c>
      <c r="EH38" s="316"/>
      <c r="EI38" s="315"/>
      <c r="EJ38" s="315"/>
      <c r="EK38" s="315">
        <v>42948</v>
      </c>
      <c r="EL38" s="315">
        <v>42948</v>
      </c>
      <c r="EM38" s="316"/>
      <c r="EN38" s="315"/>
      <c r="EO38" s="315"/>
      <c r="EP38" s="315">
        <v>14803</v>
      </c>
      <c r="EQ38" s="315">
        <v>14803</v>
      </c>
      <c r="ER38" s="316"/>
      <c r="ES38" s="315"/>
      <c r="ET38" s="315"/>
      <c r="EU38" s="315">
        <v>1472</v>
      </c>
      <c r="EV38" s="315">
        <v>1472</v>
      </c>
      <c r="EW38" s="316"/>
      <c r="EX38" s="315"/>
      <c r="EY38" s="315"/>
      <c r="EZ38" s="315">
        <v>555828</v>
      </c>
      <c r="FA38" s="315">
        <v>555828</v>
      </c>
      <c r="FB38" s="316"/>
      <c r="FC38" s="315"/>
      <c r="FD38" s="315"/>
      <c r="FE38" s="315">
        <v>240104</v>
      </c>
      <c r="FF38" s="315">
        <v>240104</v>
      </c>
      <c r="FG38" s="316"/>
      <c r="FH38" s="315"/>
      <c r="FI38" s="315"/>
      <c r="FJ38" s="315"/>
      <c r="FK38" s="315"/>
      <c r="FL38" s="316"/>
      <c r="FM38" s="315"/>
      <c r="FN38" s="315"/>
      <c r="FO38" s="315"/>
      <c r="FP38" s="315"/>
      <c r="FQ38" s="315">
        <v>77873</v>
      </c>
      <c r="FR38" s="315">
        <v>378405</v>
      </c>
      <c r="FS38" s="315">
        <v>-6174</v>
      </c>
      <c r="FT38" s="315">
        <v>372231</v>
      </c>
      <c r="FU38" s="315"/>
      <c r="FV38" s="315"/>
      <c r="FW38" s="315"/>
      <c r="FX38" s="315">
        <v>60083</v>
      </c>
      <c r="FY38" s="315">
        <v>40262</v>
      </c>
      <c r="FZ38" s="315"/>
      <c r="GA38" s="315"/>
      <c r="GB38" s="315"/>
      <c r="GC38" s="315">
        <v>44848</v>
      </c>
      <c r="GD38" s="315"/>
      <c r="GE38" s="315"/>
      <c r="GF38" s="315"/>
      <c r="GG38" s="315">
        <v>227038</v>
      </c>
      <c r="GH38" s="315">
        <v>178212</v>
      </c>
      <c r="GI38" s="315">
        <v>325</v>
      </c>
      <c r="GJ38" s="315">
        <v>48501</v>
      </c>
      <c r="GL38"/>
      <c r="GM38"/>
      <c r="GN38"/>
      <c r="GO38"/>
    </row>
    <row r="39" spans="1:197">
      <c r="A39" s="98" t="s">
        <v>15</v>
      </c>
      <c r="B39" s="98">
        <v>8</v>
      </c>
      <c r="C39" s="98" t="s">
        <v>224</v>
      </c>
      <c r="D39" s="315">
        <v>7476800</v>
      </c>
      <c r="E39" s="315">
        <v>-1101962</v>
      </c>
      <c r="F39" s="315">
        <v>-10072</v>
      </c>
      <c r="G39" s="315">
        <v>6364766</v>
      </c>
      <c r="H39" s="315">
        <v>6364766</v>
      </c>
      <c r="I39" s="316"/>
      <c r="J39" s="315"/>
      <c r="K39" s="315"/>
      <c r="L39" s="315">
        <v>926768</v>
      </c>
      <c r="M39" s="315"/>
      <c r="N39" s="315">
        <v>45076</v>
      </c>
      <c r="O39" s="315"/>
      <c r="P39" s="315"/>
      <c r="Q39" s="315"/>
      <c r="R39" s="315"/>
      <c r="S39" s="315">
        <v>-399128</v>
      </c>
      <c r="T39" s="315">
        <v>-344140</v>
      </c>
      <c r="U39" s="315"/>
      <c r="V39" s="315"/>
      <c r="W39" s="315">
        <v>-332444</v>
      </c>
      <c r="X39" s="315"/>
      <c r="Y39" s="315">
        <v>-11696</v>
      </c>
      <c r="Z39" s="315"/>
      <c r="AA39" s="315">
        <v>-3091</v>
      </c>
      <c r="AB39" s="315">
        <v>-51897</v>
      </c>
      <c r="AC39" s="315">
        <v>-10072</v>
      </c>
      <c r="AD39" s="315">
        <v>517568</v>
      </c>
      <c r="AE39" s="315">
        <v>517568</v>
      </c>
      <c r="AF39" s="316"/>
      <c r="AG39" s="315"/>
      <c r="AH39" s="315"/>
      <c r="AI39" s="315">
        <v>861779</v>
      </c>
      <c r="AJ39" s="315">
        <v>741144</v>
      </c>
      <c r="AK39" s="315">
        <v>55401</v>
      </c>
      <c r="AL39" s="315">
        <v>51609</v>
      </c>
      <c r="AM39" s="315">
        <v>-41704</v>
      </c>
      <c r="AN39" s="315"/>
      <c r="AO39" s="315"/>
      <c r="AP39" s="315"/>
      <c r="AQ39" s="315">
        <v>6629</v>
      </c>
      <c r="AR39" s="315">
        <v>-299064</v>
      </c>
      <c r="AS39" s="315"/>
      <c r="AT39" s="315"/>
      <c r="AU39" s="315">
        <v>-10072</v>
      </c>
      <c r="AV39" s="315">
        <v>4317489</v>
      </c>
      <c r="AW39" s="315"/>
      <c r="AX39" s="315">
        <v>4313241</v>
      </c>
      <c r="AY39" s="315"/>
      <c r="AZ39" s="315"/>
      <c r="BA39" s="315"/>
      <c r="BB39" s="315"/>
      <c r="BC39" s="315"/>
      <c r="BD39" s="315"/>
      <c r="BE39" s="315">
        <v>-75101</v>
      </c>
      <c r="BF39" s="315">
        <v>-52438</v>
      </c>
      <c r="BG39" s="315">
        <v>-52438</v>
      </c>
      <c r="BH39" s="315"/>
      <c r="BI39" s="315">
        <v>0</v>
      </c>
      <c r="BJ39" s="315">
        <v>0</v>
      </c>
      <c r="BK39" s="315"/>
      <c r="BL39" s="315">
        <v>-426</v>
      </c>
      <c r="BM39" s="315">
        <v>-22237</v>
      </c>
      <c r="BN39" s="315">
        <v>4242388</v>
      </c>
      <c r="BO39" s="315">
        <v>-19827</v>
      </c>
      <c r="BP39" s="315"/>
      <c r="BQ39" s="315"/>
      <c r="BR39" s="315"/>
      <c r="BS39" s="315">
        <v>1412</v>
      </c>
      <c r="BT39" s="315"/>
      <c r="BU39" s="315"/>
      <c r="BV39" s="315"/>
      <c r="BW39" s="315"/>
      <c r="BX39" s="315">
        <v>4260803</v>
      </c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>
        <v>433312</v>
      </c>
      <c r="CJ39" s="315">
        <v>319685</v>
      </c>
      <c r="CK39" s="315">
        <v>113627</v>
      </c>
      <c r="CL39" s="315">
        <v>56056</v>
      </c>
      <c r="CM39" s="315">
        <v>44998</v>
      </c>
      <c r="CN39" s="315">
        <v>12573</v>
      </c>
      <c r="CO39" s="315"/>
      <c r="CP39" s="315"/>
      <c r="CQ39" s="315">
        <v>12573</v>
      </c>
      <c r="CR39" s="315">
        <v>-624284</v>
      </c>
      <c r="CS39" s="315">
        <v>-390556</v>
      </c>
      <c r="CT39" s="315">
        <v>-363023</v>
      </c>
      <c r="CU39" s="315"/>
      <c r="CV39" s="315">
        <v>-240</v>
      </c>
      <c r="CW39" s="315">
        <v>-27293</v>
      </c>
      <c r="CX39" s="315">
        <v>-233728</v>
      </c>
      <c r="CY39" s="315">
        <v>-212933</v>
      </c>
      <c r="CZ39" s="315">
        <v>-20000</v>
      </c>
      <c r="DA39" s="315">
        <v>-795</v>
      </c>
      <c r="DB39" s="315">
        <v>0</v>
      </c>
      <c r="DC39" s="315">
        <v>0</v>
      </c>
      <c r="DD39" s="315">
        <v>-190972</v>
      </c>
      <c r="DE39" s="315">
        <v>-190972</v>
      </c>
      <c r="DF39" s="316"/>
      <c r="DG39" s="315"/>
      <c r="DH39" s="315"/>
      <c r="DI39" s="315">
        <v>1259987</v>
      </c>
      <c r="DJ39" s="315">
        <v>68933</v>
      </c>
      <c r="DK39" s="315">
        <v>17343</v>
      </c>
      <c r="DL39" s="315">
        <v>3484</v>
      </c>
      <c r="DM39" s="315">
        <v>786516</v>
      </c>
      <c r="DN39" s="315">
        <v>323543</v>
      </c>
      <c r="DO39" s="315"/>
      <c r="DP39" s="315"/>
      <c r="DQ39" s="315"/>
      <c r="DR39" s="315">
        <v>60168</v>
      </c>
      <c r="DS39" s="315">
        <v>-2273</v>
      </c>
      <c r="DT39" s="315">
        <v>-568</v>
      </c>
      <c r="DU39" s="315">
        <v>-4</v>
      </c>
      <c r="DV39" s="315">
        <v>-10</v>
      </c>
      <c r="DW39" s="315">
        <v>-753</v>
      </c>
      <c r="DX39" s="315"/>
      <c r="DY39" s="315"/>
      <c r="DZ39" s="315"/>
      <c r="EA39" s="315">
        <v>0</v>
      </c>
      <c r="EB39" s="315"/>
      <c r="EC39" s="315"/>
      <c r="ED39" s="315"/>
      <c r="EE39" s="315">
        <v>-938</v>
      </c>
      <c r="EF39" s="315">
        <v>1257714</v>
      </c>
      <c r="EG39" s="315">
        <v>1257714</v>
      </c>
      <c r="EH39" s="316"/>
      <c r="EI39" s="315"/>
      <c r="EJ39" s="315"/>
      <c r="EK39" s="315">
        <v>68365</v>
      </c>
      <c r="EL39" s="315">
        <v>68365</v>
      </c>
      <c r="EM39" s="316"/>
      <c r="EN39" s="315"/>
      <c r="EO39" s="315"/>
      <c r="EP39" s="315">
        <v>17339</v>
      </c>
      <c r="EQ39" s="315">
        <v>17339</v>
      </c>
      <c r="ER39" s="316"/>
      <c r="ES39" s="315"/>
      <c r="ET39" s="315"/>
      <c r="EU39" s="315">
        <v>3474</v>
      </c>
      <c r="EV39" s="315">
        <v>3474</v>
      </c>
      <c r="EW39" s="316"/>
      <c r="EX39" s="315"/>
      <c r="EY39" s="315"/>
      <c r="EZ39" s="315">
        <v>785763</v>
      </c>
      <c r="FA39" s="315">
        <v>785763</v>
      </c>
      <c r="FB39" s="316"/>
      <c r="FC39" s="315"/>
      <c r="FD39" s="315"/>
      <c r="FE39" s="315">
        <v>323543</v>
      </c>
      <c r="FF39" s="315">
        <v>323543</v>
      </c>
      <c r="FG39" s="316"/>
      <c r="FH39" s="315"/>
      <c r="FI39" s="315"/>
      <c r="FJ39" s="315"/>
      <c r="FK39" s="315"/>
      <c r="FL39" s="316"/>
      <c r="FM39" s="315"/>
      <c r="FN39" s="315"/>
      <c r="FO39" s="315"/>
      <c r="FP39" s="315"/>
      <c r="FQ39" s="315">
        <v>59230</v>
      </c>
      <c r="FR39" s="315">
        <v>539244</v>
      </c>
      <c r="FS39" s="315">
        <v>-1176</v>
      </c>
      <c r="FT39" s="315">
        <v>538068</v>
      </c>
      <c r="FU39" s="315"/>
      <c r="FV39" s="315"/>
      <c r="FW39" s="315"/>
      <c r="FX39" s="315">
        <v>59783</v>
      </c>
      <c r="FY39" s="315">
        <v>3288</v>
      </c>
      <c r="FZ39" s="315"/>
      <c r="GA39" s="315"/>
      <c r="GB39" s="315"/>
      <c r="GC39" s="315">
        <v>15614</v>
      </c>
      <c r="GD39" s="315"/>
      <c r="GE39" s="315"/>
      <c r="GF39" s="315"/>
      <c r="GG39" s="315">
        <v>459383</v>
      </c>
      <c r="GH39" s="315">
        <v>423581</v>
      </c>
      <c r="GI39" s="315">
        <v>3768</v>
      </c>
      <c r="GJ39" s="315">
        <v>32034</v>
      </c>
      <c r="GL39"/>
      <c r="GM39"/>
      <c r="GN39"/>
      <c r="GO39"/>
    </row>
    <row r="40" spans="1:197">
      <c r="A40" s="98" t="s">
        <v>15</v>
      </c>
      <c r="B40" s="98">
        <v>9</v>
      </c>
      <c r="C40" s="98" t="s">
        <v>225</v>
      </c>
      <c r="D40" s="315">
        <v>7471274</v>
      </c>
      <c r="E40" s="315">
        <v>-1315619</v>
      </c>
      <c r="F40" s="315">
        <v>-10084</v>
      </c>
      <c r="G40" s="315">
        <v>6145571</v>
      </c>
      <c r="H40" s="315">
        <v>6145571</v>
      </c>
      <c r="I40" s="316"/>
      <c r="J40" s="315"/>
      <c r="K40" s="315"/>
      <c r="L40" s="315">
        <v>2951820</v>
      </c>
      <c r="M40" s="315"/>
      <c r="N40" s="315">
        <v>48814</v>
      </c>
      <c r="O40" s="315"/>
      <c r="P40" s="315"/>
      <c r="Q40" s="315"/>
      <c r="R40" s="315"/>
      <c r="S40" s="315">
        <v>-815283</v>
      </c>
      <c r="T40" s="315">
        <v>-811192</v>
      </c>
      <c r="U40" s="315"/>
      <c r="V40" s="315"/>
      <c r="W40" s="315">
        <v>-797279</v>
      </c>
      <c r="X40" s="315"/>
      <c r="Y40" s="315">
        <v>-13913</v>
      </c>
      <c r="Z40" s="315"/>
      <c r="AA40" s="315">
        <v>-4085</v>
      </c>
      <c r="AB40" s="315">
        <v>-6</v>
      </c>
      <c r="AC40" s="315">
        <v>-10084</v>
      </c>
      <c r="AD40" s="315">
        <v>2126453</v>
      </c>
      <c r="AE40" s="315">
        <v>2126453</v>
      </c>
      <c r="AF40" s="316"/>
      <c r="AG40" s="315"/>
      <c r="AH40" s="315"/>
      <c r="AI40" s="315">
        <v>2239533</v>
      </c>
      <c r="AJ40" s="315">
        <v>243927</v>
      </c>
      <c r="AK40" s="315">
        <v>1927452</v>
      </c>
      <c r="AL40" s="315">
        <v>6809</v>
      </c>
      <c r="AM40" s="315">
        <v>653168</v>
      </c>
      <c r="AN40" s="315"/>
      <c r="AO40" s="315"/>
      <c r="AP40" s="315"/>
      <c r="AQ40" s="315">
        <v>6214</v>
      </c>
      <c r="AR40" s="315">
        <v>-762378</v>
      </c>
      <c r="AS40" s="315"/>
      <c r="AT40" s="315"/>
      <c r="AU40" s="315">
        <v>-10084</v>
      </c>
      <c r="AV40" s="315">
        <v>439611</v>
      </c>
      <c r="AW40" s="315"/>
      <c r="AX40" s="315">
        <v>160344</v>
      </c>
      <c r="AY40" s="315"/>
      <c r="AZ40" s="315"/>
      <c r="BA40" s="315"/>
      <c r="BB40" s="315"/>
      <c r="BC40" s="315"/>
      <c r="BD40" s="315"/>
      <c r="BE40" s="315">
        <v>-31355</v>
      </c>
      <c r="BF40" s="315">
        <v>-31336</v>
      </c>
      <c r="BG40" s="315">
        <v>-31336</v>
      </c>
      <c r="BH40" s="315"/>
      <c r="BI40" s="315">
        <v>0</v>
      </c>
      <c r="BJ40" s="315">
        <v>0</v>
      </c>
      <c r="BK40" s="315"/>
      <c r="BL40" s="315">
        <v>-13</v>
      </c>
      <c r="BM40" s="315">
        <v>-6</v>
      </c>
      <c r="BN40" s="315">
        <v>408256</v>
      </c>
      <c r="BO40" s="315">
        <v>278443</v>
      </c>
      <c r="BP40" s="315"/>
      <c r="BQ40" s="315"/>
      <c r="BR40" s="315"/>
      <c r="BS40" s="315">
        <v>805</v>
      </c>
      <c r="BT40" s="315"/>
      <c r="BU40" s="315"/>
      <c r="BV40" s="315"/>
      <c r="BW40" s="315"/>
      <c r="BX40" s="315">
        <v>129008</v>
      </c>
      <c r="BY40" s="315"/>
      <c r="BZ40" s="315"/>
      <c r="CA40" s="315"/>
      <c r="CB40" s="315"/>
      <c r="CC40" s="315"/>
      <c r="CD40" s="315"/>
      <c r="CE40" s="315"/>
      <c r="CF40" s="315"/>
      <c r="CG40" s="315"/>
      <c r="CH40" s="315"/>
      <c r="CI40" s="315">
        <v>2782783</v>
      </c>
      <c r="CJ40" s="315">
        <v>709904</v>
      </c>
      <c r="CK40" s="315">
        <v>2072879</v>
      </c>
      <c r="CL40" s="315">
        <v>2005698</v>
      </c>
      <c r="CM40" s="315">
        <v>46548</v>
      </c>
      <c r="CN40" s="315">
        <v>20633</v>
      </c>
      <c r="CO40" s="315"/>
      <c r="CP40" s="315"/>
      <c r="CQ40" s="315">
        <v>20633</v>
      </c>
      <c r="CR40" s="315">
        <v>-462299</v>
      </c>
      <c r="CS40" s="315">
        <v>-213767</v>
      </c>
      <c r="CT40" s="315">
        <v>-167809</v>
      </c>
      <c r="CU40" s="315"/>
      <c r="CV40" s="315">
        <v>-6</v>
      </c>
      <c r="CW40" s="315">
        <v>-45952</v>
      </c>
      <c r="CX40" s="315">
        <v>-213546</v>
      </c>
      <c r="CY40" s="315">
        <v>-207139</v>
      </c>
      <c r="CZ40" s="315">
        <v>-6000</v>
      </c>
      <c r="DA40" s="315">
        <v>-407</v>
      </c>
      <c r="DB40" s="315">
        <v>0</v>
      </c>
      <c r="DC40" s="315">
        <v>-34986</v>
      </c>
      <c r="DD40" s="315">
        <v>2320484</v>
      </c>
      <c r="DE40" s="315">
        <v>2320484</v>
      </c>
      <c r="DF40" s="316"/>
      <c r="DG40" s="315"/>
      <c r="DH40" s="315"/>
      <c r="DI40" s="315">
        <v>1088247</v>
      </c>
      <c r="DJ40" s="315">
        <v>55511</v>
      </c>
      <c r="DK40" s="315">
        <v>16265</v>
      </c>
      <c r="DL40" s="315">
        <v>837</v>
      </c>
      <c r="DM40" s="315">
        <v>678945</v>
      </c>
      <c r="DN40" s="315">
        <v>290415</v>
      </c>
      <c r="DO40" s="315"/>
      <c r="DP40" s="315"/>
      <c r="DQ40" s="315"/>
      <c r="DR40" s="315">
        <v>46274</v>
      </c>
      <c r="DS40" s="315">
        <v>-4443</v>
      </c>
      <c r="DT40" s="315">
        <v>-3169</v>
      </c>
      <c r="DU40" s="315">
        <v>-134</v>
      </c>
      <c r="DV40" s="315">
        <v>-44</v>
      </c>
      <c r="DW40" s="315">
        <v>-523</v>
      </c>
      <c r="DX40" s="315"/>
      <c r="DY40" s="315"/>
      <c r="DZ40" s="315"/>
      <c r="EA40" s="315">
        <v>0</v>
      </c>
      <c r="EB40" s="315"/>
      <c r="EC40" s="315"/>
      <c r="ED40" s="315"/>
      <c r="EE40" s="315">
        <v>-573</v>
      </c>
      <c r="EF40" s="315">
        <v>1083804</v>
      </c>
      <c r="EG40" s="315">
        <v>1083804</v>
      </c>
      <c r="EH40" s="316"/>
      <c r="EI40" s="315"/>
      <c r="EJ40" s="315"/>
      <c r="EK40" s="315">
        <v>52342</v>
      </c>
      <c r="EL40" s="315">
        <v>52342</v>
      </c>
      <c r="EM40" s="316"/>
      <c r="EN40" s="315"/>
      <c r="EO40" s="315"/>
      <c r="EP40" s="315">
        <v>16131</v>
      </c>
      <c r="EQ40" s="315">
        <v>16131</v>
      </c>
      <c r="ER40" s="316"/>
      <c r="ES40" s="315"/>
      <c r="ET40" s="315"/>
      <c r="EU40" s="315">
        <v>793</v>
      </c>
      <c r="EV40" s="315">
        <v>793</v>
      </c>
      <c r="EW40" s="316"/>
      <c r="EX40" s="315"/>
      <c r="EY40" s="315"/>
      <c r="EZ40" s="315">
        <v>678422</v>
      </c>
      <c r="FA40" s="315">
        <v>678422</v>
      </c>
      <c r="FB40" s="316"/>
      <c r="FC40" s="315"/>
      <c r="FD40" s="315"/>
      <c r="FE40" s="315">
        <v>290415</v>
      </c>
      <c r="FF40" s="315">
        <v>290415</v>
      </c>
      <c r="FG40" s="316"/>
      <c r="FH40" s="315"/>
      <c r="FI40" s="315"/>
      <c r="FJ40" s="315"/>
      <c r="FK40" s="315"/>
      <c r="FL40" s="316"/>
      <c r="FM40" s="315"/>
      <c r="FN40" s="315"/>
      <c r="FO40" s="315"/>
      <c r="FP40" s="315"/>
      <c r="FQ40" s="315">
        <v>45701</v>
      </c>
      <c r="FR40" s="315">
        <v>208813</v>
      </c>
      <c r="FS40" s="315">
        <v>-2239</v>
      </c>
      <c r="FT40" s="315">
        <v>206574</v>
      </c>
      <c r="FU40" s="315"/>
      <c r="FV40" s="315"/>
      <c r="FW40" s="315"/>
      <c r="FX40" s="315">
        <v>59687</v>
      </c>
      <c r="FY40" s="315">
        <v>72728</v>
      </c>
      <c r="FZ40" s="315"/>
      <c r="GA40" s="315"/>
      <c r="GB40" s="315"/>
      <c r="GC40" s="315">
        <v>17099</v>
      </c>
      <c r="GD40" s="315"/>
      <c r="GE40" s="315"/>
      <c r="GF40" s="315"/>
      <c r="GG40" s="315">
        <v>57060</v>
      </c>
      <c r="GH40" s="315">
        <v>14165</v>
      </c>
      <c r="GI40" s="315">
        <v>3078</v>
      </c>
      <c r="GJ40" s="315">
        <v>39817</v>
      </c>
      <c r="GL40"/>
      <c r="GM40"/>
      <c r="GN40"/>
      <c r="GO40"/>
    </row>
    <row r="41" spans="1:197">
      <c r="A41" s="98" t="s">
        <v>15</v>
      </c>
      <c r="B41" s="98">
        <v>10</v>
      </c>
      <c r="C41" s="98" t="s">
        <v>226</v>
      </c>
      <c r="D41" s="315">
        <v>13753456</v>
      </c>
      <c r="E41" s="315">
        <v>-2883051</v>
      </c>
      <c r="F41" s="315">
        <v>-10067</v>
      </c>
      <c r="G41" s="315">
        <v>10860338</v>
      </c>
      <c r="H41" s="315">
        <v>10860338</v>
      </c>
      <c r="I41" s="316"/>
      <c r="J41" s="315"/>
      <c r="K41" s="315"/>
      <c r="L41" s="315">
        <v>4600427</v>
      </c>
      <c r="M41" s="315"/>
      <c r="N41" s="315">
        <v>48496</v>
      </c>
      <c r="O41" s="315"/>
      <c r="P41" s="315"/>
      <c r="Q41" s="315"/>
      <c r="R41" s="315"/>
      <c r="S41" s="315">
        <v>-1992353</v>
      </c>
      <c r="T41" s="315">
        <v>-1838863</v>
      </c>
      <c r="U41" s="315"/>
      <c r="V41" s="315"/>
      <c r="W41" s="315">
        <v>-1830340</v>
      </c>
      <c r="X41" s="315"/>
      <c r="Y41" s="315">
        <v>-8523</v>
      </c>
      <c r="Z41" s="315"/>
      <c r="AA41" s="315">
        <v>-731</v>
      </c>
      <c r="AB41" s="315">
        <v>-152759</v>
      </c>
      <c r="AC41" s="315">
        <v>-10067</v>
      </c>
      <c r="AD41" s="315">
        <v>2598007</v>
      </c>
      <c r="AE41" s="315">
        <v>2598007</v>
      </c>
      <c r="AF41" s="316"/>
      <c r="AG41" s="315"/>
      <c r="AH41" s="315"/>
      <c r="AI41" s="315">
        <v>3436371</v>
      </c>
      <c r="AJ41" s="315">
        <v>471488</v>
      </c>
      <c r="AK41" s="315">
        <v>953200</v>
      </c>
      <c r="AL41" s="315">
        <v>1953644</v>
      </c>
      <c r="AM41" s="315">
        <v>361034</v>
      </c>
      <c r="AN41" s="315"/>
      <c r="AO41" s="315"/>
      <c r="AP41" s="315"/>
      <c r="AQ41" s="315">
        <v>601036</v>
      </c>
      <c r="AR41" s="315">
        <v>-1790367</v>
      </c>
      <c r="AS41" s="315"/>
      <c r="AT41" s="315"/>
      <c r="AU41" s="315">
        <v>-10067</v>
      </c>
      <c r="AV41" s="315">
        <v>3209678</v>
      </c>
      <c r="AW41" s="315"/>
      <c r="AX41" s="315">
        <v>126158</v>
      </c>
      <c r="AY41" s="315"/>
      <c r="AZ41" s="315"/>
      <c r="BA41" s="315"/>
      <c r="BB41" s="315"/>
      <c r="BC41" s="315"/>
      <c r="BD41" s="315"/>
      <c r="BE41" s="315">
        <v>-92234</v>
      </c>
      <c r="BF41" s="315">
        <v>-26751</v>
      </c>
      <c r="BG41" s="315">
        <v>-26751</v>
      </c>
      <c r="BH41" s="315"/>
      <c r="BI41" s="315">
        <v>0</v>
      </c>
      <c r="BJ41" s="315">
        <v>0</v>
      </c>
      <c r="BK41" s="315"/>
      <c r="BL41" s="315">
        <v>-15</v>
      </c>
      <c r="BM41" s="315">
        <v>-65468</v>
      </c>
      <c r="BN41" s="315">
        <v>3117444</v>
      </c>
      <c r="BO41" s="315">
        <v>152495</v>
      </c>
      <c r="BP41" s="315"/>
      <c r="BQ41" s="315"/>
      <c r="BR41" s="315"/>
      <c r="BS41" s="315">
        <v>2865542</v>
      </c>
      <c r="BT41" s="315"/>
      <c r="BU41" s="315"/>
      <c r="BV41" s="315"/>
      <c r="BW41" s="315"/>
      <c r="BX41" s="315">
        <v>99407</v>
      </c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>
        <v>4620514</v>
      </c>
      <c r="CJ41" s="315">
        <v>580973</v>
      </c>
      <c r="CK41" s="315">
        <v>4039541</v>
      </c>
      <c r="CL41" s="315">
        <v>1089659</v>
      </c>
      <c r="CM41" s="315">
        <v>2938949</v>
      </c>
      <c r="CN41" s="315">
        <v>10933</v>
      </c>
      <c r="CO41" s="315"/>
      <c r="CP41" s="315"/>
      <c r="CQ41" s="315">
        <v>10933</v>
      </c>
      <c r="CR41" s="315">
        <v>-580228</v>
      </c>
      <c r="CS41" s="315">
        <v>-175801</v>
      </c>
      <c r="CT41" s="315">
        <v>-145601</v>
      </c>
      <c r="CU41" s="315"/>
      <c r="CV41" s="315">
        <v>-6</v>
      </c>
      <c r="CW41" s="315">
        <v>-30194</v>
      </c>
      <c r="CX41" s="315">
        <v>-272367</v>
      </c>
      <c r="CY41" s="315">
        <v>-262131</v>
      </c>
      <c r="CZ41" s="315">
        <v>-9443</v>
      </c>
      <c r="DA41" s="315">
        <v>-793</v>
      </c>
      <c r="DB41" s="315">
        <v>-132060</v>
      </c>
      <c r="DC41" s="315">
        <v>0</v>
      </c>
      <c r="DD41" s="315">
        <v>4040286</v>
      </c>
      <c r="DE41" s="315">
        <v>4040286</v>
      </c>
      <c r="DF41" s="316"/>
      <c r="DG41" s="315"/>
      <c r="DH41" s="315"/>
      <c r="DI41" s="315">
        <v>1132290</v>
      </c>
      <c r="DJ41" s="315">
        <v>66002</v>
      </c>
      <c r="DK41" s="315">
        <v>19999</v>
      </c>
      <c r="DL41" s="315">
        <v>1929</v>
      </c>
      <c r="DM41" s="315">
        <v>650926</v>
      </c>
      <c r="DN41" s="315">
        <v>332531</v>
      </c>
      <c r="DO41" s="315"/>
      <c r="DP41" s="315"/>
      <c r="DQ41" s="315"/>
      <c r="DR41" s="315">
        <v>60903</v>
      </c>
      <c r="DS41" s="315">
        <v>-195468</v>
      </c>
      <c r="DT41" s="315">
        <v>-13197</v>
      </c>
      <c r="DU41" s="315">
        <v>-3483</v>
      </c>
      <c r="DV41" s="315">
        <v>0</v>
      </c>
      <c r="DW41" s="315">
        <v>-142368</v>
      </c>
      <c r="DX41" s="315"/>
      <c r="DY41" s="315"/>
      <c r="DZ41" s="315"/>
      <c r="EA41" s="315">
        <v>-35853</v>
      </c>
      <c r="EB41" s="315"/>
      <c r="EC41" s="315"/>
      <c r="ED41" s="315"/>
      <c r="EE41" s="315">
        <v>-567</v>
      </c>
      <c r="EF41" s="315">
        <v>936822</v>
      </c>
      <c r="EG41" s="315">
        <v>936822</v>
      </c>
      <c r="EH41" s="316"/>
      <c r="EI41" s="315"/>
      <c r="EJ41" s="315"/>
      <c r="EK41" s="315">
        <v>52805</v>
      </c>
      <c r="EL41" s="315">
        <v>52805</v>
      </c>
      <c r="EM41" s="316"/>
      <c r="EN41" s="315"/>
      <c r="EO41" s="315"/>
      <c r="EP41" s="315">
        <v>16516</v>
      </c>
      <c r="EQ41" s="315">
        <v>16516</v>
      </c>
      <c r="ER41" s="316"/>
      <c r="ES41" s="315"/>
      <c r="ET41" s="315"/>
      <c r="EU41" s="315">
        <v>1929</v>
      </c>
      <c r="EV41" s="315">
        <v>1929</v>
      </c>
      <c r="EW41" s="316"/>
      <c r="EX41" s="315"/>
      <c r="EY41" s="315"/>
      <c r="EZ41" s="315">
        <v>508558</v>
      </c>
      <c r="FA41" s="315">
        <v>508558</v>
      </c>
      <c r="FB41" s="316"/>
      <c r="FC41" s="315"/>
      <c r="FD41" s="315"/>
      <c r="FE41" s="315">
        <v>296678</v>
      </c>
      <c r="FF41" s="315">
        <v>296678</v>
      </c>
      <c r="FG41" s="316"/>
      <c r="FH41" s="315"/>
      <c r="FI41" s="315"/>
      <c r="FJ41" s="315"/>
      <c r="FK41" s="315"/>
      <c r="FL41" s="316"/>
      <c r="FM41" s="315"/>
      <c r="FN41" s="315"/>
      <c r="FO41" s="315"/>
      <c r="FP41" s="315"/>
      <c r="FQ41" s="315">
        <v>60336</v>
      </c>
      <c r="FR41" s="315">
        <v>190547</v>
      </c>
      <c r="FS41" s="315">
        <v>-22768</v>
      </c>
      <c r="FT41" s="315">
        <v>167779</v>
      </c>
      <c r="FU41" s="315"/>
      <c r="FV41" s="315"/>
      <c r="FW41" s="315"/>
      <c r="FX41" s="315">
        <v>65534</v>
      </c>
      <c r="FY41" s="315">
        <v>34192</v>
      </c>
      <c r="FZ41" s="315"/>
      <c r="GA41" s="315"/>
      <c r="GB41" s="315"/>
      <c r="GC41" s="315">
        <v>47895</v>
      </c>
      <c r="GD41" s="315"/>
      <c r="GE41" s="315"/>
      <c r="GF41" s="315"/>
      <c r="GG41" s="315">
        <v>20158</v>
      </c>
      <c r="GH41" s="315">
        <v>1725</v>
      </c>
      <c r="GI41" s="315">
        <v>3636</v>
      </c>
      <c r="GJ41" s="315">
        <v>14797</v>
      </c>
      <c r="GL41"/>
      <c r="GM41"/>
      <c r="GN41"/>
      <c r="GO41"/>
    </row>
    <row r="42" spans="1:197">
      <c r="A42" s="98" t="s">
        <v>15</v>
      </c>
      <c r="B42" s="98">
        <v>11</v>
      </c>
      <c r="C42" s="98" t="s">
        <v>227</v>
      </c>
      <c r="D42" s="315">
        <v>6733662</v>
      </c>
      <c r="E42" s="315">
        <v>-1901957</v>
      </c>
      <c r="F42" s="315">
        <v>-10068</v>
      </c>
      <c r="G42" s="315">
        <v>4821637</v>
      </c>
      <c r="H42" s="315">
        <v>4821637</v>
      </c>
      <c r="I42" s="316"/>
      <c r="J42" s="315"/>
      <c r="K42" s="315"/>
      <c r="L42" s="315">
        <v>3500006</v>
      </c>
      <c r="M42" s="315"/>
      <c r="N42" s="315">
        <v>1506978</v>
      </c>
      <c r="O42" s="315"/>
      <c r="P42" s="315"/>
      <c r="Q42" s="315"/>
      <c r="R42" s="315"/>
      <c r="S42" s="315">
        <v>-1194541</v>
      </c>
      <c r="T42" s="315">
        <v>-1024167</v>
      </c>
      <c r="U42" s="315"/>
      <c r="V42" s="315"/>
      <c r="W42" s="315">
        <v>-998407</v>
      </c>
      <c r="X42" s="315"/>
      <c r="Y42" s="315">
        <v>-25760</v>
      </c>
      <c r="Z42" s="315"/>
      <c r="AA42" s="315">
        <v>-6310</v>
      </c>
      <c r="AB42" s="315">
        <v>-164064</v>
      </c>
      <c r="AC42" s="315">
        <v>-10068</v>
      </c>
      <c r="AD42" s="315">
        <v>2295397</v>
      </c>
      <c r="AE42" s="315">
        <v>2295397</v>
      </c>
      <c r="AF42" s="316"/>
      <c r="AG42" s="315"/>
      <c r="AH42" s="315"/>
      <c r="AI42" s="315">
        <v>1754757</v>
      </c>
      <c r="AJ42" s="315">
        <v>761410</v>
      </c>
      <c r="AK42" s="315">
        <v>904181</v>
      </c>
      <c r="AL42" s="315">
        <v>27430</v>
      </c>
      <c r="AM42" s="315">
        <v>58034</v>
      </c>
      <c r="AN42" s="315"/>
      <c r="AO42" s="315"/>
      <c r="AP42" s="315"/>
      <c r="AQ42" s="315">
        <v>9863</v>
      </c>
      <c r="AR42" s="315">
        <v>482811</v>
      </c>
      <c r="AS42" s="315"/>
      <c r="AT42" s="315"/>
      <c r="AU42" s="315">
        <v>-10068</v>
      </c>
      <c r="AV42" s="315">
        <v>210394</v>
      </c>
      <c r="AW42" s="315"/>
      <c r="AX42" s="315">
        <v>101102</v>
      </c>
      <c r="AY42" s="315"/>
      <c r="AZ42" s="315"/>
      <c r="BA42" s="315"/>
      <c r="BB42" s="315"/>
      <c r="BC42" s="315"/>
      <c r="BD42" s="315"/>
      <c r="BE42" s="315">
        <v>-119208</v>
      </c>
      <c r="BF42" s="315">
        <v>-48615</v>
      </c>
      <c r="BG42" s="315">
        <v>-48615</v>
      </c>
      <c r="BH42" s="315"/>
      <c r="BI42" s="315">
        <v>-2650</v>
      </c>
      <c r="BJ42" s="315">
        <v>0</v>
      </c>
      <c r="BK42" s="315">
        <v>-45965</v>
      </c>
      <c r="BL42" s="315">
        <v>-281</v>
      </c>
      <c r="BM42" s="315">
        <v>-70312</v>
      </c>
      <c r="BN42" s="315">
        <v>91186</v>
      </c>
      <c r="BO42" s="315">
        <v>18241</v>
      </c>
      <c r="BP42" s="315"/>
      <c r="BQ42" s="315"/>
      <c r="BR42" s="315"/>
      <c r="BS42" s="315">
        <v>20458</v>
      </c>
      <c r="BT42" s="315"/>
      <c r="BU42" s="315"/>
      <c r="BV42" s="315"/>
      <c r="BW42" s="315"/>
      <c r="BX42" s="315">
        <v>52487</v>
      </c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>
        <v>1759146</v>
      </c>
      <c r="CJ42" s="315">
        <v>553450</v>
      </c>
      <c r="CK42" s="315">
        <v>1205696</v>
      </c>
      <c r="CL42" s="315">
        <v>1129344</v>
      </c>
      <c r="CM42" s="315">
        <v>64711</v>
      </c>
      <c r="CN42" s="315">
        <v>11641</v>
      </c>
      <c r="CO42" s="315"/>
      <c r="CP42" s="315"/>
      <c r="CQ42" s="315">
        <v>11641</v>
      </c>
      <c r="CR42" s="315">
        <v>-558498</v>
      </c>
      <c r="CS42" s="315">
        <v>-138318</v>
      </c>
      <c r="CT42" s="315">
        <v>-73918</v>
      </c>
      <c r="CU42" s="315"/>
      <c r="CV42" s="315">
        <v>-30</v>
      </c>
      <c r="CW42" s="315">
        <v>-64370</v>
      </c>
      <c r="CX42" s="315">
        <v>-420180</v>
      </c>
      <c r="CY42" s="315">
        <v>-408646</v>
      </c>
      <c r="CZ42" s="315">
        <v>0</v>
      </c>
      <c r="DA42" s="315">
        <v>-11534</v>
      </c>
      <c r="DB42" s="315">
        <v>0</v>
      </c>
      <c r="DC42" s="315">
        <v>0</v>
      </c>
      <c r="DD42" s="315">
        <v>1200648</v>
      </c>
      <c r="DE42" s="315">
        <v>1200648</v>
      </c>
      <c r="DF42" s="316"/>
      <c r="DG42" s="315"/>
      <c r="DH42" s="315"/>
      <c r="DI42" s="315">
        <v>1096802</v>
      </c>
      <c r="DJ42" s="315">
        <v>59989</v>
      </c>
      <c r="DK42" s="315">
        <v>20845</v>
      </c>
      <c r="DL42" s="315">
        <v>3095</v>
      </c>
      <c r="DM42" s="315">
        <v>679581</v>
      </c>
      <c r="DN42" s="315">
        <v>266050</v>
      </c>
      <c r="DO42" s="315"/>
      <c r="DP42" s="315"/>
      <c r="DQ42" s="315"/>
      <c r="DR42" s="315">
        <v>67242</v>
      </c>
      <c r="DS42" s="315">
        <v>-6422</v>
      </c>
      <c r="DT42" s="315">
        <v>-3296</v>
      </c>
      <c r="DU42" s="315">
        <v>-74</v>
      </c>
      <c r="DV42" s="315">
        <v>-60</v>
      </c>
      <c r="DW42" s="315">
        <v>-864</v>
      </c>
      <c r="DX42" s="315"/>
      <c r="DY42" s="315"/>
      <c r="DZ42" s="315"/>
      <c r="EA42" s="315">
        <v>0</v>
      </c>
      <c r="EB42" s="315"/>
      <c r="EC42" s="315"/>
      <c r="ED42" s="315"/>
      <c r="EE42" s="315">
        <v>-2128</v>
      </c>
      <c r="EF42" s="315">
        <v>1090380</v>
      </c>
      <c r="EG42" s="315">
        <v>1090380</v>
      </c>
      <c r="EH42" s="316"/>
      <c r="EI42" s="315"/>
      <c r="EJ42" s="315"/>
      <c r="EK42" s="315">
        <v>56693</v>
      </c>
      <c r="EL42" s="315">
        <v>56693</v>
      </c>
      <c r="EM42" s="316"/>
      <c r="EN42" s="315"/>
      <c r="EO42" s="315"/>
      <c r="EP42" s="315">
        <v>20771</v>
      </c>
      <c r="EQ42" s="315">
        <v>20771</v>
      </c>
      <c r="ER42" s="316"/>
      <c r="ES42" s="315"/>
      <c r="ET42" s="315"/>
      <c r="EU42" s="315">
        <v>3035</v>
      </c>
      <c r="EV42" s="315">
        <v>3035</v>
      </c>
      <c r="EW42" s="316"/>
      <c r="EX42" s="315"/>
      <c r="EY42" s="315"/>
      <c r="EZ42" s="315">
        <v>678717</v>
      </c>
      <c r="FA42" s="315">
        <v>678717</v>
      </c>
      <c r="FB42" s="316"/>
      <c r="FC42" s="315"/>
      <c r="FD42" s="315"/>
      <c r="FE42" s="315">
        <v>266050</v>
      </c>
      <c r="FF42" s="315">
        <v>266050</v>
      </c>
      <c r="FG42" s="316"/>
      <c r="FH42" s="315"/>
      <c r="FI42" s="315"/>
      <c r="FJ42" s="315"/>
      <c r="FK42" s="315"/>
      <c r="FL42" s="316"/>
      <c r="FM42" s="315"/>
      <c r="FN42" s="315"/>
      <c r="FO42" s="315"/>
      <c r="FP42" s="315"/>
      <c r="FQ42" s="315">
        <v>65114</v>
      </c>
      <c r="FR42" s="315">
        <v>167314</v>
      </c>
      <c r="FS42" s="315">
        <v>-23288</v>
      </c>
      <c r="FT42" s="315">
        <v>144026</v>
      </c>
      <c r="FU42" s="315"/>
      <c r="FV42" s="315"/>
      <c r="FW42" s="315"/>
      <c r="FX42" s="315">
        <v>57673</v>
      </c>
      <c r="FY42" s="315">
        <v>39829</v>
      </c>
      <c r="FZ42" s="315"/>
      <c r="GA42" s="315"/>
      <c r="GB42" s="315"/>
      <c r="GC42" s="315">
        <v>12014</v>
      </c>
      <c r="GD42" s="315"/>
      <c r="GE42" s="315"/>
      <c r="GF42" s="315"/>
      <c r="GG42" s="315">
        <v>34510</v>
      </c>
      <c r="GH42" s="315">
        <v>4423</v>
      </c>
      <c r="GI42" s="315">
        <v>-12038</v>
      </c>
      <c r="GJ42" s="315">
        <v>42125</v>
      </c>
      <c r="GL42"/>
      <c r="GM42"/>
      <c r="GN42"/>
      <c r="GO42"/>
    </row>
    <row r="43" spans="1:197">
      <c r="A43" s="98" t="s">
        <v>15</v>
      </c>
      <c r="B43" s="98">
        <v>12</v>
      </c>
      <c r="C43" s="98" t="s">
        <v>228</v>
      </c>
      <c r="D43" s="315">
        <v>8559216</v>
      </c>
      <c r="E43" s="315">
        <v>-2169049</v>
      </c>
      <c r="F43" s="315">
        <v>-10080</v>
      </c>
      <c r="G43" s="315">
        <v>6380087</v>
      </c>
      <c r="H43" s="315">
        <v>6380087</v>
      </c>
      <c r="I43" s="316"/>
      <c r="J43" s="315"/>
      <c r="K43" s="315"/>
      <c r="L43" s="315">
        <v>2958741</v>
      </c>
      <c r="M43" s="315"/>
      <c r="N43" s="315">
        <v>114588</v>
      </c>
      <c r="O43" s="315"/>
      <c r="P43" s="315"/>
      <c r="Q43" s="315"/>
      <c r="R43" s="315"/>
      <c r="S43" s="315">
        <v>-957996</v>
      </c>
      <c r="T43" s="315">
        <v>-879814</v>
      </c>
      <c r="U43" s="315"/>
      <c r="V43" s="315"/>
      <c r="W43" s="315">
        <v>-808512</v>
      </c>
      <c r="X43" s="315"/>
      <c r="Y43" s="315">
        <v>-71302</v>
      </c>
      <c r="Z43" s="315"/>
      <c r="AA43" s="315">
        <v>-76205</v>
      </c>
      <c r="AB43" s="315">
        <v>-1977</v>
      </c>
      <c r="AC43" s="315">
        <v>-10080</v>
      </c>
      <c r="AD43" s="315">
        <v>1990665</v>
      </c>
      <c r="AE43" s="315">
        <v>1990665</v>
      </c>
      <c r="AF43" s="316"/>
      <c r="AG43" s="315"/>
      <c r="AH43" s="315"/>
      <c r="AI43" s="315">
        <v>2370817</v>
      </c>
      <c r="AJ43" s="315">
        <v>1343688</v>
      </c>
      <c r="AK43" s="315">
        <v>889763</v>
      </c>
      <c r="AL43" s="315">
        <v>5463</v>
      </c>
      <c r="AM43" s="315">
        <v>387968</v>
      </c>
      <c r="AN43" s="315"/>
      <c r="AO43" s="315"/>
      <c r="AP43" s="315"/>
      <c r="AQ43" s="315">
        <v>7186</v>
      </c>
      <c r="AR43" s="315">
        <v>-765226</v>
      </c>
      <c r="AS43" s="315"/>
      <c r="AT43" s="315"/>
      <c r="AU43" s="315">
        <v>-10080</v>
      </c>
      <c r="AV43" s="315">
        <v>2076635</v>
      </c>
      <c r="AW43" s="315"/>
      <c r="AX43" s="315">
        <v>154503</v>
      </c>
      <c r="AY43" s="315"/>
      <c r="AZ43" s="315"/>
      <c r="BA43" s="315"/>
      <c r="BB43" s="315"/>
      <c r="BC43" s="315"/>
      <c r="BD43" s="315"/>
      <c r="BE43" s="315">
        <v>-265005</v>
      </c>
      <c r="BF43" s="315">
        <v>-248517</v>
      </c>
      <c r="BG43" s="315">
        <v>-248517</v>
      </c>
      <c r="BH43" s="315"/>
      <c r="BI43" s="315">
        <v>-106187</v>
      </c>
      <c r="BJ43" s="315">
        <v>0</v>
      </c>
      <c r="BK43" s="315">
        <v>-142330</v>
      </c>
      <c r="BL43" s="315">
        <v>-15641</v>
      </c>
      <c r="BM43" s="315">
        <v>-847</v>
      </c>
      <c r="BN43" s="315">
        <v>1811630</v>
      </c>
      <c r="BO43" s="315">
        <v>154618</v>
      </c>
      <c r="BP43" s="315"/>
      <c r="BQ43" s="315"/>
      <c r="BR43" s="315"/>
      <c r="BS43" s="315">
        <v>1751026</v>
      </c>
      <c r="BT43" s="315"/>
      <c r="BU43" s="315"/>
      <c r="BV43" s="315"/>
      <c r="BW43" s="315"/>
      <c r="BX43" s="315">
        <v>-94014</v>
      </c>
      <c r="BY43" s="315"/>
      <c r="BZ43" s="315"/>
      <c r="CA43" s="315"/>
      <c r="CB43" s="315"/>
      <c r="CC43" s="315"/>
      <c r="CD43" s="315"/>
      <c r="CE43" s="315"/>
      <c r="CF43" s="315"/>
      <c r="CG43" s="315"/>
      <c r="CH43" s="315"/>
      <c r="CI43" s="315">
        <v>1914634</v>
      </c>
      <c r="CJ43" s="315">
        <v>644022</v>
      </c>
      <c r="CK43" s="315">
        <v>1270612</v>
      </c>
      <c r="CL43" s="315">
        <v>1183746</v>
      </c>
      <c r="CM43" s="315">
        <v>64111</v>
      </c>
      <c r="CN43" s="315">
        <v>22755</v>
      </c>
      <c r="CO43" s="315"/>
      <c r="CP43" s="315"/>
      <c r="CQ43" s="315">
        <v>22755</v>
      </c>
      <c r="CR43" s="315">
        <v>-812310</v>
      </c>
      <c r="CS43" s="315">
        <v>-147699</v>
      </c>
      <c r="CT43" s="315">
        <v>-47085</v>
      </c>
      <c r="CU43" s="315"/>
      <c r="CV43" s="315">
        <v>-3498</v>
      </c>
      <c r="CW43" s="315">
        <v>-97116</v>
      </c>
      <c r="CX43" s="315">
        <v>-453691</v>
      </c>
      <c r="CY43" s="315">
        <v>-434478</v>
      </c>
      <c r="CZ43" s="315">
        <v>0</v>
      </c>
      <c r="DA43" s="315">
        <v>-19213</v>
      </c>
      <c r="DB43" s="315">
        <v>-210920</v>
      </c>
      <c r="DC43" s="315">
        <v>0</v>
      </c>
      <c r="DD43" s="315">
        <v>1102324</v>
      </c>
      <c r="DE43" s="315">
        <v>1102324</v>
      </c>
      <c r="DF43" s="316"/>
      <c r="DG43" s="315"/>
      <c r="DH43" s="315"/>
      <c r="DI43" s="315">
        <v>1134948</v>
      </c>
      <c r="DJ43" s="315">
        <v>53277</v>
      </c>
      <c r="DK43" s="315">
        <v>20035</v>
      </c>
      <c r="DL43" s="315">
        <v>1648</v>
      </c>
      <c r="DM43" s="315">
        <v>714326</v>
      </c>
      <c r="DN43" s="315">
        <v>264230</v>
      </c>
      <c r="DO43" s="315"/>
      <c r="DP43" s="315"/>
      <c r="DQ43" s="315"/>
      <c r="DR43" s="315">
        <v>81432</v>
      </c>
      <c r="DS43" s="315">
        <v>-96017</v>
      </c>
      <c r="DT43" s="315">
        <v>-22458</v>
      </c>
      <c r="DU43" s="315">
        <v>-3225</v>
      </c>
      <c r="DV43" s="315">
        <v>-195</v>
      </c>
      <c r="DW43" s="315">
        <v>-24742</v>
      </c>
      <c r="DX43" s="315"/>
      <c r="DY43" s="315"/>
      <c r="DZ43" s="315"/>
      <c r="EA43" s="315">
        <v>-38219</v>
      </c>
      <c r="EB43" s="315"/>
      <c r="EC43" s="315"/>
      <c r="ED43" s="315"/>
      <c r="EE43" s="315">
        <v>-7178</v>
      </c>
      <c r="EF43" s="315">
        <v>1038931</v>
      </c>
      <c r="EG43" s="315">
        <v>1038931</v>
      </c>
      <c r="EH43" s="316"/>
      <c r="EI43" s="315"/>
      <c r="EJ43" s="315"/>
      <c r="EK43" s="315">
        <v>30819</v>
      </c>
      <c r="EL43" s="315">
        <v>30819</v>
      </c>
      <c r="EM43" s="316"/>
      <c r="EN43" s="315"/>
      <c r="EO43" s="315"/>
      <c r="EP43" s="315">
        <v>16810</v>
      </c>
      <c r="EQ43" s="315">
        <v>16810</v>
      </c>
      <c r="ER43" s="316"/>
      <c r="ES43" s="315"/>
      <c r="ET43" s="315"/>
      <c r="EU43" s="315">
        <v>1453</v>
      </c>
      <c r="EV43" s="315">
        <v>1453</v>
      </c>
      <c r="EW43" s="316"/>
      <c r="EX43" s="315"/>
      <c r="EY43" s="315"/>
      <c r="EZ43" s="315">
        <v>689584</v>
      </c>
      <c r="FA43" s="315">
        <v>689584</v>
      </c>
      <c r="FB43" s="316"/>
      <c r="FC43" s="315"/>
      <c r="FD43" s="315"/>
      <c r="FE43" s="315">
        <v>226011</v>
      </c>
      <c r="FF43" s="315">
        <v>226011</v>
      </c>
      <c r="FG43" s="316"/>
      <c r="FH43" s="315"/>
      <c r="FI43" s="315"/>
      <c r="FJ43" s="315"/>
      <c r="FK43" s="315"/>
      <c r="FL43" s="316"/>
      <c r="FM43" s="315"/>
      <c r="FN43" s="315"/>
      <c r="FO43" s="315"/>
      <c r="FP43" s="315"/>
      <c r="FQ43" s="315">
        <v>74254</v>
      </c>
      <c r="FR43" s="315">
        <v>474258</v>
      </c>
      <c r="FS43" s="315">
        <v>-37721</v>
      </c>
      <c r="FT43" s="315">
        <v>436537</v>
      </c>
      <c r="FU43" s="315"/>
      <c r="FV43" s="315"/>
      <c r="FW43" s="315"/>
      <c r="FX43" s="315">
        <v>60975</v>
      </c>
      <c r="FY43" s="315">
        <v>19779</v>
      </c>
      <c r="FZ43" s="315"/>
      <c r="GA43" s="315"/>
      <c r="GB43" s="315"/>
      <c r="GC43" s="315">
        <v>201758</v>
      </c>
      <c r="GD43" s="315"/>
      <c r="GE43" s="315"/>
      <c r="GF43" s="315"/>
      <c r="GG43" s="315">
        <v>154025</v>
      </c>
      <c r="GH43" s="315">
        <v>12082</v>
      </c>
      <c r="GI43" s="315">
        <v>88177</v>
      </c>
      <c r="GJ43" s="315">
        <v>53766</v>
      </c>
      <c r="GL43"/>
      <c r="GM43"/>
      <c r="GN43"/>
      <c r="GO43"/>
    </row>
    <row r="44" spans="1:197">
      <c r="A44" s="96" t="s">
        <v>16</v>
      </c>
      <c r="B44" s="96">
        <v>1</v>
      </c>
      <c r="C44" s="97" t="s">
        <v>217</v>
      </c>
      <c r="D44" s="314">
        <v>8255445</v>
      </c>
      <c r="E44" s="314">
        <v>-2178871</v>
      </c>
      <c r="F44" s="314">
        <v>-10073</v>
      </c>
      <c r="G44" s="314">
        <v>6066501</v>
      </c>
      <c r="H44" s="314">
        <v>5769367</v>
      </c>
      <c r="I44" s="314">
        <v>297134</v>
      </c>
      <c r="J44" s="314">
        <v>297134</v>
      </c>
      <c r="K44" s="314"/>
      <c r="L44" s="314">
        <v>5713000</v>
      </c>
      <c r="M44" s="314">
        <v>4315407</v>
      </c>
      <c r="N44" s="314">
        <v>47564</v>
      </c>
      <c r="O44" s="314"/>
      <c r="P44" s="314"/>
      <c r="Q44" s="314"/>
      <c r="R44" s="314">
        <v>1350029</v>
      </c>
      <c r="S44" s="314">
        <v>-841611</v>
      </c>
      <c r="T44" s="314">
        <v>-711875</v>
      </c>
      <c r="U44" s="314"/>
      <c r="V44" s="314"/>
      <c r="W44" s="314">
        <v>0</v>
      </c>
      <c r="X44" s="314">
        <v>-693754</v>
      </c>
      <c r="Y44" s="314">
        <v>-18121</v>
      </c>
      <c r="Z44" s="314"/>
      <c r="AA44" s="314">
        <v>-2868</v>
      </c>
      <c r="AB44" s="314">
        <v>-126868</v>
      </c>
      <c r="AC44" s="314">
        <v>-10073</v>
      </c>
      <c r="AD44" s="314">
        <v>4861316</v>
      </c>
      <c r="AE44" s="314">
        <v>4564182</v>
      </c>
      <c r="AF44" s="314">
        <v>297134</v>
      </c>
      <c r="AG44" s="314">
        <v>297134</v>
      </c>
      <c r="AH44" s="314"/>
      <c r="AI44" s="314">
        <v>4313362</v>
      </c>
      <c r="AJ44" s="314">
        <v>330236</v>
      </c>
      <c r="AK44" s="314">
        <v>1531217</v>
      </c>
      <c r="AL44" s="314">
        <v>2429465</v>
      </c>
      <c r="AM44" s="314">
        <v>588060</v>
      </c>
      <c r="AN44" s="314"/>
      <c r="AO44" s="314"/>
      <c r="AP44" s="314"/>
      <c r="AQ44" s="314">
        <v>634278</v>
      </c>
      <c r="AR44" s="314">
        <v>-664311</v>
      </c>
      <c r="AS44" s="314"/>
      <c r="AT44" s="314"/>
      <c r="AU44" s="314">
        <v>-10073</v>
      </c>
      <c r="AV44" s="314">
        <v>507500</v>
      </c>
      <c r="AW44" s="314">
        <v>17895</v>
      </c>
      <c r="AX44" s="314">
        <v>201141</v>
      </c>
      <c r="AY44" s="314"/>
      <c r="AZ44" s="314"/>
      <c r="BA44" s="314"/>
      <c r="BB44" s="314"/>
      <c r="BC44" s="314"/>
      <c r="BD44" s="314">
        <v>288464</v>
      </c>
      <c r="BE44" s="314">
        <v>-790487</v>
      </c>
      <c r="BF44" s="314">
        <v>-734113</v>
      </c>
      <c r="BG44" s="314">
        <v>-734113</v>
      </c>
      <c r="BH44" s="314"/>
      <c r="BI44" s="314">
        <v>0</v>
      </c>
      <c r="BJ44" s="314">
        <v>-654284</v>
      </c>
      <c r="BK44" s="314">
        <v>-79829</v>
      </c>
      <c r="BL44" s="314">
        <v>-2000</v>
      </c>
      <c r="BM44" s="314">
        <v>-54374</v>
      </c>
      <c r="BN44" s="314">
        <v>-282987</v>
      </c>
      <c r="BO44" s="314">
        <v>233950</v>
      </c>
      <c r="BP44" s="314"/>
      <c r="BQ44" s="314"/>
      <c r="BR44" s="314"/>
      <c r="BS44" s="314">
        <v>16035</v>
      </c>
      <c r="BT44" s="314"/>
      <c r="BU44" s="314"/>
      <c r="BV44" s="314"/>
      <c r="BW44" s="314"/>
      <c r="BX44" s="314">
        <v>-532972</v>
      </c>
      <c r="BY44" s="314"/>
      <c r="BZ44" s="314"/>
      <c r="CA44" s="314"/>
      <c r="CB44" s="314"/>
      <c r="CC44" s="314"/>
      <c r="CD44" s="314"/>
      <c r="CE44" s="314"/>
      <c r="CF44" s="314"/>
      <c r="CG44" s="314"/>
      <c r="CH44" s="314"/>
      <c r="CI44" s="314">
        <v>658326</v>
      </c>
      <c r="CJ44" s="314">
        <v>273264</v>
      </c>
      <c r="CK44" s="314">
        <v>385062</v>
      </c>
      <c r="CL44" s="314">
        <v>33633</v>
      </c>
      <c r="CM44" s="314">
        <v>332270</v>
      </c>
      <c r="CN44" s="314">
        <v>19159</v>
      </c>
      <c r="CO44" s="314"/>
      <c r="CP44" s="314"/>
      <c r="CQ44" s="314">
        <v>19159</v>
      </c>
      <c r="CR44" s="314">
        <v>-522635</v>
      </c>
      <c r="CS44" s="314">
        <v>-80645</v>
      </c>
      <c r="CT44" s="314">
        <v>0</v>
      </c>
      <c r="CU44" s="314">
        <v>-35700</v>
      </c>
      <c r="CV44" s="314">
        <v>-68</v>
      </c>
      <c r="CW44" s="314">
        <v>-44877</v>
      </c>
      <c r="CX44" s="314">
        <v>-441990</v>
      </c>
      <c r="CY44" s="314">
        <v>0</v>
      </c>
      <c r="CZ44" s="314">
        <v>-437213</v>
      </c>
      <c r="DA44" s="314">
        <v>-4777</v>
      </c>
      <c r="DB44" s="314">
        <v>0</v>
      </c>
      <c r="DC44" s="314">
        <v>0</v>
      </c>
      <c r="DD44" s="314">
        <v>135691</v>
      </c>
      <c r="DE44" s="314">
        <v>135691</v>
      </c>
      <c r="DF44" s="271"/>
      <c r="DG44" s="314"/>
      <c r="DH44" s="314"/>
      <c r="DI44" s="314">
        <v>1187231</v>
      </c>
      <c r="DJ44" s="314">
        <v>63532</v>
      </c>
      <c r="DK44" s="314">
        <v>15333</v>
      </c>
      <c r="DL44" s="314">
        <v>1443</v>
      </c>
      <c r="DM44" s="314">
        <v>700996</v>
      </c>
      <c r="DN44" s="314">
        <v>347792</v>
      </c>
      <c r="DO44" s="314"/>
      <c r="DP44" s="314"/>
      <c r="DQ44" s="314"/>
      <c r="DR44" s="314">
        <v>58135</v>
      </c>
      <c r="DS44" s="314">
        <v>-5376</v>
      </c>
      <c r="DT44" s="314">
        <v>-2968</v>
      </c>
      <c r="DU44" s="314">
        <v>-49</v>
      </c>
      <c r="DV44" s="314">
        <v>-13</v>
      </c>
      <c r="DW44" s="314">
        <v>-1165</v>
      </c>
      <c r="DX44" s="314"/>
      <c r="DY44" s="314"/>
      <c r="DZ44" s="314"/>
      <c r="EA44" s="314">
        <v>-4</v>
      </c>
      <c r="EB44" s="314"/>
      <c r="EC44" s="314"/>
      <c r="ED44" s="314"/>
      <c r="EE44" s="314">
        <v>-1177</v>
      </c>
      <c r="EF44" s="314">
        <v>1181855</v>
      </c>
      <c r="EG44" s="314">
        <v>1181855</v>
      </c>
      <c r="EH44" s="271"/>
      <c r="EI44" s="314"/>
      <c r="EJ44" s="314"/>
      <c r="EK44" s="314">
        <v>60564</v>
      </c>
      <c r="EL44" s="314">
        <v>60564</v>
      </c>
      <c r="EM44" s="271"/>
      <c r="EN44" s="314"/>
      <c r="EO44" s="314"/>
      <c r="EP44" s="314">
        <v>15284</v>
      </c>
      <c r="EQ44" s="314">
        <v>15284</v>
      </c>
      <c r="ER44" s="271"/>
      <c r="ES44" s="314"/>
      <c r="ET44" s="314"/>
      <c r="EU44" s="314">
        <v>1430</v>
      </c>
      <c r="EV44" s="314">
        <v>1430</v>
      </c>
      <c r="EW44" s="271"/>
      <c r="EX44" s="314"/>
      <c r="EY44" s="314"/>
      <c r="EZ44" s="314">
        <v>699831</v>
      </c>
      <c r="FA44" s="314">
        <v>699831</v>
      </c>
      <c r="FB44" s="271"/>
      <c r="FC44" s="314"/>
      <c r="FD44" s="314"/>
      <c r="FE44" s="314">
        <v>347788</v>
      </c>
      <c r="FF44" s="314">
        <v>347788</v>
      </c>
      <c r="FG44" s="271"/>
      <c r="FH44" s="314"/>
      <c r="FI44" s="314"/>
      <c r="FJ44" s="314"/>
      <c r="FK44" s="314"/>
      <c r="FL44" s="271"/>
      <c r="FM44" s="314"/>
      <c r="FN44" s="314"/>
      <c r="FO44" s="314"/>
      <c r="FP44" s="314"/>
      <c r="FQ44" s="314">
        <v>56958</v>
      </c>
      <c r="FR44" s="314">
        <v>189388</v>
      </c>
      <c r="FS44" s="314">
        <v>-18762</v>
      </c>
      <c r="FT44" s="314">
        <v>170626</v>
      </c>
      <c r="FU44" s="314"/>
      <c r="FV44" s="314"/>
      <c r="FW44" s="314"/>
      <c r="FX44" s="314">
        <v>53418</v>
      </c>
      <c r="FY44" s="314">
        <v>43555</v>
      </c>
      <c r="FZ44" s="314"/>
      <c r="GA44" s="314"/>
      <c r="GB44" s="314"/>
      <c r="GC44" s="314">
        <v>44805</v>
      </c>
      <c r="GD44" s="314"/>
      <c r="GE44" s="314"/>
      <c r="GF44" s="314"/>
      <c r="GG44" s="314">
        <v>28848</v>
      </c>
      <c r="GH44" s="314">
        <v>1677</v>
      </c>
      <c r="GI44" s="314">
        <v>3154</v>
      </c>
      <c r="GJ44" s="314">
        <v>24017</v>
      </c>
      <c r="GL44"/>
      <c r="GM44"/>
      <c r="GN44"/>
      <c r="GO44"/>
    </row>
    <row r="45" spans="1:197">
      <c r="A45" s="98" t="s">
        <v>16</v>
      </c>
      <c r="B45" s="98">
        <v>2</v>
      </c>
      <c r="C45" s="98" t="s">
        <v>218</v>
      </c>
      <c r="D45" s="315">
        <v>10619289</v>
      </c>
      <c r="E45" s="315">
        <v>-867928</v>
      </c>
      <c r="F45" s="315">
        <v>-10283</v>
      </c>
      <c r="G45" s="315">
        <v>9741078</v>
      </c>
      <c r="H45" s="315">
        <v>9400995</v>
      </c>
      <c r="I45" s="315">
        <v>340083</v>
      </c>
      <c r="J45" s="315">
        <v>340083</v>
      </c>
      <c r="K45" s="315"/>
      <c r="L45" s="315">
        <v>2369700</v>
      </c>
      <c r="M45" s="315">
        <v>1930361</v>
      </c>
      <c r="N45" s="315">
        <v>43219</v>
      </c>
      <c r="O45" s="315"/>
      <c r="P45" s="315"/>
      <c r="Q45" s="315"/>
      <c r="R45" s="315">
        <v>396120</v>
      </c>
      <c r="S45" s="315">
        <v>-194812</v>
      </c>
      <c r="T45" s="315">
        <v>-132031</v>
      </c>
      <c r="U45" s="315"/>
      <c r="V45" s="315"/>
      <c r="W45" s="315">
        <v>0</v>
      </c>
      <c r="X45" s="315">
        <v>-114799</v>
      </c>
      <c r="Y45" s="315">
        <v>-17232</v>
      </c>
      <c r="Z45" s="315"/>
      <c r="AA45" s="315">
        <v>-4381</v>
      </c>
      <c r="AB45" s="315">
        <v>-58400</v>
      </c>
      <c r="AC45" s="315">
        <v>-10283</v>
      </c>
      <c r="AD45" s="315">
        <v>2164605</v>
      </c>
      <c r="AE45" s="315">
        <v>1824522</v>
      </c>
      <c r="AF45" s="315">
        <v>340083</v>
      </c>
      <c r="AG45" s="315">
        <v>340083</v>
      </c>
      <c r="AH45" s="315"/>
      <c r="AI45" s="315">
        <v>1927001</v>
      </c>
      <c r="AJ45" s="315">
        <v>795554</v>
      </c>
      <c r="AK45" s="315">
        <v>980804</v>
      </c>
      <c r="AL45" s="315">
        <v>38801</v>
      </c>
      <c r="AM45" s="315">
        <v>325634</v>
      </c>
      <c r="AN45" s="315"/>
      <c r="AO45" s="315"/>
      <c r="AP45" s="315"/>
      <c r="AQ45" s="315">
        <v>11065</v>
      </c>
      <c r="AR45" s="315">
        <v>-88812</v>
      </c>
      <c r="AS45" s="315"/>
      <c r="AT45" s="315"/>
      <c r="AU45" s="315">
        <v>-10283</v>
      </c>
      <c r="AV45" s="315">
        <v>357260</v>
      </c>
      <c r="AW45" s="315">
        <v>10988</v>
      </c>
      <c r="AX45" s="315">
        <v>182882</v>
      </c>
      <c r="AY45" s="315"/>
      <c r="AZ45" s="315"/>
      <c r="BA45" s="315"/>
      <c r="BB45" s="315"/>
      <c r="BC45" s="315"/>
      <c r="BD45" s="315">
        <v>163390</v>
      </c>
      <c r="BE45" s="315">
        <v>-326674</v>
      </c>
      <c r="BF45" s="315">
        <v>-300451</v>
      </c>
      <c r="BG45" s="315">
        <v>-300451</v>
      </c>
      <c r="BH45" s="315"/>
      <c r="BI45" s="315">
        <v>0</v>
      </c>
      <c r="BJ45" s="315">
        <v>-264692</v>
      </c>
      <c r="BK45" s="315">
        <v>-35759</v>
      </c>
      <c r="BL45" s="315">
        <v>-1197</v>
      </c>
      <c r="BM45" s="315">
        <v>-25026</v>
      </c>
      <c r="BN45" s="315">
        <v>30586</v>
      </c>
      <c r="BO45" s="315">
        <v>138004</v>
      </c>
      <c r="BP45" s="315"/>
      <c r="BQ45" s="315"/>
      <c r="BR45" s="315"/>
      <c r="BS45" s="315">
        <v>10151</v>
      </c>
      <c r="BT45" s="315"/>
      <c r="BU45" s="315"/>
      <c r="BV45" s="315"/>
      <c r="BW45" s="315"/>
      <c r="BX45" s="315">
        <v>-117569</v>
      </c>
      <c r="BY45" s="315"/>
      <c r="BZ45" s="315"/>
      <c r="CA45" s="315"/>
      <c r="CB45" s="315"/>
      <c r="CC45" s="315"/>
      <c r="CD45" s="315"/>
      <c r="CE45" s="315"/>
      <c r="CF45" s="315"/>
      <c r="CG45" s="315"/>
      <c r="CH45" s="315"/>
      <c r="CI45" s="315">
        <v>6612892</v>
      </c>
      <c r="CJ45" s="315">
        <v>792925</v>
      </c>
      <c r="CK45" s="315">
        <v>5819967</v>
      </c>
      <c r="CL45" s="315">
        <v>2392449</v>
      </c>
      <c r="CM45" s="315">
        <v>3411273</v>
      </c>
      <c r="CN45" s="315">
        <v>16245</v>
      </c>
      <c r="CO45" s="315"/>
      <c r="CP45" s="315"/>
      <c r="CQ45" s="315">
        <v>16245</v>
      </c>
      <c r="CR45" s="315">
        <v>-336643</v>
      </c>
      <c r="CS45" s="315">
        <v>-50056</v>
      </c>
      <c r="CT45" s="315">
        <v>0</v>
      </c>
      <c r="CU45" s="315">
        <v>-15043</v>
      </c>
      <c r="CV45" s="315">
        <v>-76</v>
      </c>
      <c r="CW45" s="315">
        <v>-34937</v>
      </c>
      <c r="CX45" s="315">
        <v>-286587</v>
      </c>
      <c r="CY45" s="315">
        <v>0</v>
      </c>
      <c r="CZ45" s="315">
        <v>-282566</v>
      </c>
      <c r="DA45" s="315">
        <v>-4021</v>
      </c>
      <c r="DB45" s="315">
        <v>0</v>
      </c>
      <c r="DC45" s="315">
        <v>0</v>
      </c>
      <c r="DD45" s="315">
        <v>6276249</v>
      </c>
      <c r="DE45" s="315">
        <v>6276249</v>
      </c>
      <c r="DF45" s="316"/>
      <c r="DG45" s="315"/>
      <c r="DH45" s="315"/>
      <c r="DI45" s="315">
        <v>1087515</v>
      </c>
      <c r="DJ45" s="315">
        <v>86913</v>
      </c>
      <c r="DK45" s="315">
        <v>13975</v>
      </c>
      <c r="DL45" s="315">
        <v>3225</v>
      </c>
      <c r="DM45" s="315">
        <v>643821</v>
      </c>
      <c r="DN45" s="315">
        <v>253065</v>
      </c>
      <c r="DO45" s="315">
        <v>14587</v>
      </c>
      <c r="DP45" s="315"/>
      <c r="DQ45" s="315"/>
      <c r="DR45" s="315">
        <v>71929</v>
      </c>
      <c r="DS45" s="315">
        <v>-5472</v>
      </c>
      <c r="DT45" s="315">
        <v>-2639</v>
      </c>
      <c r="DU45" s="315">
        <v>-140</v>
      </c>
      <c r="DV45" s="315">
        <v>-70</v>
      </c>
      <c r="DW45" s="315">
        <v>-1033</v>
      </c>
      <c r="DX45" s="315"/>
      <c r="DY45" s="315"/>
      <c r="DZ45" s="315"/>
      <c r="EA45" s="315">
        <v>-3</v>
      </c>
      <c r="EB45" s="315">
        <v>0</v>
      </c>
      <c r="EC45" s="315"/>
      <c r="ED45" s="315"/>
      <c r="EE45" s="315">
        <v>-1587</v>
      </c>
      <c r="EF45" s="315">
        <v>1082043</v>
      </c>
      <c r="EG45" s="315">
        <v>1082043</v>
      </c>
      <c r="EH45" s="316"/>
      <c r="EI45" s="315"/>
      <c r="EJ45" s="315"/>
      <c r="EK45" s="315">
        <v>84274</v>
      </c>
      <c r="EL45" s="315">
        <v>84274</v>
      </c>
      <c r="EM45" s="316"/>
      <c r="EN45" s="315"/>
      <c r="EO45" s="315"/>
      <c r="EP45" s="315">
        <v>13835</v>
      </c>
      <c r="EQ45" s="315">
        <v>13835</v>
      </c>
      <c r="ER45" s="316"/>
      <c r="ES45" s="315"/>
      <c r="ET45" s="315"/>
      <c r="EU45" s="315">
        <v>3155</v>
      </c>
      <c r="EV45" s="315">
        <v>3155</v>
      </c>
      <c r="EW45" s="316"/>
      <c r="EX45" s="315"/>
      <c r="EY45" s="315"/>
      <c r="EZ45" s="315">
        <v>642788</v>
      </c>
      <c r="FA45" s="315">
        <v>642788</v>
      </c>
      <c r="FB45" s="316"/>
      <c r="FC45" s="315"/>
      <c r="FD45" s="315"/>
      <c r="FE45" s="315">
        <v>253062</v>
      </c>
      <c r="FF45" s="315">
        <v>253062</v>
      </c>
      <c r="FG45" s="316"/>
      <c r="FH45" s="315"/>
      <c r="FI45" s="315"/>
      <c r="FJ45" s="315">
        <v>14587</v>
      </c>
      <c r="FK45" s="315">
        <v>14587</v>
      </c>
      <c r="FL45" s="316"/>
      <c r="FM45" s="315"/>
      <c r="FN45" s="315"/>
      <c r="FO45" s="315"/>
      <c r="FP45" s="315"/>
      <c r="FQ45" s="315">
        <v>70342</v>
      </c>
      <c r="FR45" s="315">
        <v>191922</v>
      </c>
      <c r="FS45" s="315">
        <v>-4327</v>
      </c>
      <c r="FT45" s="315">
        <v>187595</v>
      </c>
      <c r="FU45" s="315"/>
      <c r="FV45" s="315"/>
      <c r="FW45" s="315"/>
      <c r="FX45" s="315">
        <v>57162</v>
      </c>
      <c r="FY45" s="315">
        <v>52540</v>
      </c>
      <c r="FZ45" s="315"/>
      <c r="GA45" s="315"/>
      <c r="GB45" s="315"/>
      <c r="GC45" s="315">
        <v>15272</v>
      </c>
      <c r="GD45" s="315"/>
      <c r="GE45" s="315"/>
      <c r="GF45" s="315"/>
      <c r="GG45" s="315">
        <v>62621</v>
      </c>
      <c r="GH45" s="315">
        <v>379</v>
      </c>
      <c r="GI45" s="315">
        <v>5501</v>
      </c>
      <c r="GJ45" s="315">
        <v>56741</v>
      </c>
      <c r="GL45"/>
      <c r="GM45"/>
      <c r="GN45"/>
      <c r="GO45"/>
    </row>
    <row r="46" spans="1:197">
      <c r="A46" s="98" t="s">
        <v>16</v>
      </c>
      <c r="B46" s="98">
        <v>3</v>
      </c>
      <c r="C46" s="98" t="s">
        <v>219</v>
      </c>
      <c r="D46" s="315">
        <v>5848033</v>
      </c>
      <c r="E46" s="315">
        <v>-982421</v>
      </c>
      <c r="F46" s="315">
        <v>-10282</v>
      </c>
      <c r="G46" s="315">
        <v>4855330</v>
      </c>
      <c r="H46" s="315">
        <v>4515241</v>
      </c>
      <c r="I46" s="315">
        <v>340089</v>
      </c>
      <c r="J46" s="315">
        <v>340089</v>
      </c>
      <c r="K46" s="315"/>
      <c r="L46" s="315">
        <v>2238837</v>
      </c>
      <c r="M46" s="315">
        <v>1379322</v>
      </c>
      <c r="N46" s="315">
        <v>52306</v>
      </c>
      <c r="O46" s="315"/>
      <c r="P46" s="315"/>
      <c r="Q46" s="315"/>
      <c r="R46" s="315">
        <v>807209</v>
      </c>
      <c r="S46" s="315">
        <v>-127681</v>
      </c>
      <c r="T46" s="315">
        <v>-54896</v>
      </c>
      <c r="U46" s="315"/>
      <c r="V46" s="315"/>
      <c r="W46" s="315">
        <v>0</v>
      </c>
      <c r="X46" s="315">
        <v>-40568</v>
      </c>
      <c r="Y46" s="315">
        <v>-14328</v>
      </c>
      <c r="Z46" s="315"/>
      <c r="AA46" s="315">
        <v>-3164</v>
      </c>
      <c r="AB46" s="315">
        <v>-69621</v>
      </c>
      <c r="AC46" s="315">
        <v>-10282</v>
      </c>
      <c r="AD46" s="315">
        <v>2100874</v>
      </c>
      <c r="AE46" s="315">
        <v>1760785</v>
      </c>
      <c r="AF46" s="315">
        <v>340089</v>
      </c>
      <c r="AG46" s="315">
        <v>340089</v>
      </c>
      <c r="AH46" s="315"/>
      <c r="AI46" s="315">
        <v>1376732</v>
      </c>
      <c r="AJ46" s="315">
        <v>252503</v>
      </c>
      <c r="AK46" s="315">
        <v>1037377</v>
      </c>
      <c r="AL46" s="315">
        <v>7957</v>
      </c>
      <c r="AM46" s="315">
        <v>728913</v>
      </c>
      <c r="AN46" s="315">
        <v>685</v>
      </c>
      <c r="AO46" s="315"/>
      <c r="AP46" s="315"/>
      <c r="AQ46" s="315">
        <v>7416</v>
      </c>
      <c r="AR46" s="315">
        <v>-2590</v>
      </c>
      <c r="AS46" s="315"/>
      <c r="AT46" s="315"/>
      <c r="AU46" s="315">
        <v>-10282</v>
      </c>
      <c r="AV46" s="315">
        <v>427524</v>
      </c>
      <c r="AW46" s="315">
        <v>6079</v>
      </c>
      <c r="AX46" s="315">
        <v>79814</v>
      </c>
      <c r="AY46" s="315"/>
      <c r="AZ46" s="315"/>
      <c r="BA46" s="315"/>
      <c r="BB46" s="315"/>
      <c r="BC46" s="315"/>
      <c r="BD46" s="315">
        <v>341631</v>
      </c>
      <c r="BE46" s="315">
        <v>-158902</v>
      </c>
      <c r="BF46" s="315">
        <v>-128736</v>
      </c>
      <c r="BG46" s="315">
        <v>-128736</v>
      </c>
      <c r="BH46" s="315"/>
      <c r="BI46" s="315">
        <v>0</v>
      </c>
      <c r="BJ46" s="315">
        <v>-108627</v>
      </c>
      <c r="BK46" s="315">
        <v>-20109</v>
      </c>
      <c r="BL46" s="315">
        <v>-326</v>
      </c>
      <c r="BM46" s="315">
        <v>-29840</v>
      </c>
      <c r="BN46" s="315">
        <v>268622</v>
      </c>
      <c r="BO46" s="315">
        <v>311408</v>
      </c>
      <c r="BP46" s="315">
        <v>276</v>
      </c>
      <c r="BQ46" s="315"/>
      <c r="BR46" s="315"/>
      <c r="BS46" s="315">
        <v>5860</v>
      </c>
      <c r="BT46" s="315"/>
      <c r="BU46" s="315"/>
      <c r="BV46" s="315"/>
      <c r="BW46" s="315"/>
      <c r="BX46" s="315">
        <v>-48922</v>
      </c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>
        <v>1846022</v>
      </c>
      <c r="CJ46" s="315">
        <v>568276</v>
      </c>
      <c r="CK46" s="315">
        <v>1277746</v>
      </c>
      <c r="CL46" s="315">
        <v>1123159</v>
      </c>
      <c r="CM46" s="315">
        <v>141592</v>
      </c>
      <c r="CN46" s="315">
        <v>12995</v>
      </c>
      <c r="CO46" s="315"/>
      <c r="CP46" s="315"/>
      <c r="CQ46" s="315">
        <v>12995</v>
      </c>
      <c r="CR46" s="315">
        <v>-681381</v>
      </c>
      <c r="CS46" s="315">
        <v>-117211</v>
      </c>
      <c r="CT46" s="315">
        <v>-82026</v>
      </c>
      <c r="CU46" s="315">
        <v>-20354</v>
      </c>
      <c r="CV46" s="315">
        <v>-326</v>
      </c>
      <c r="CW46" s="315">
        <v>-14505</v>
      </c>
      <c r="CX46" s="315">
        <v>-375921</v>
      </c>
      <c r="CY46" s="315">
        <v>-180352</v>
      </c>
      <c r="CZ46" s="315">
        <v>-195191</v>
      </c>
      <c r="DA46" s="315">
        <v>-378</v>
      </c>
      <c r="DB46" s="315">
        <v>0</v>
      </c>
      <c r="DC46" s="315">
        <v>-188249</v>
      </c>
      <c r="DD46" s="315">
        <v>1164641</v>
      </c>
      <c r="DE46" s="315">
        <v>1164641</v>
      </c>
      <c r="DF46" s="316"/>
      <c r="DG46" s="315"/>
      <c r="DH46" s="315"/>
      <c r="DI46" s="315">
        <v>1126148</v>
      </c>
      <c r="DJ46" s="315">
        <v>93012</v>
      </c>
      <c r="DK46" s="315">
        <v>12849</v>
      </c>
      <c r="DL46" s="315">
        <v>1919</v>
      </c>
      <c r="DM46" s="315">
        <v>632639</v>
      </c>
      <c r="DN46" s="315">
        <v>269911</v>
      </c>
      <c r="DO46" s="315">
        <v>42389</v>
      </c>
      <c r="DP46" s="315"/>
      <c r="DQ46" s="315"/>
      <c r="DR46" s="315">
        <v>73429</v>
      </c>
      <c r="DS46" s="315">
        <v>-3042</v>
      </c>
      <c r="DT46" s="315">
        <v>-1844</v>
      </c>
      <c r="DU46" s="315">
        <v>-71</v>
      </c>
      <c r="DV46" s="315">
        <v>-14</v>
      </c>
      <c r="DW46" s="315">
        <v>-230</v>
      </c>
      <c r="DX46" s="315"/>
      <c r="DY46" s="315"/>
      <c r="DZ46" s="315"/>
      <c r="EA46" s="315">
        <v>-2</v>
      </c>
      <c r="EB46" s="315">
        <v>0</v>
      </c>
      <c r="EC46" s="315"/>
      <c r="ED46" s="315"/>
      <c r="EE46" s="315">
        <v>-881</v>
      </c>
      <c r="EF46" s="315">
        <v>1123106</v>
      </c>
      <c r="EG46" s="315">
        <v>1123106</v>
      </c>
      <c r="EH46" s="316"/>
      <c r="EI46" s="315"/>
      <c r="EJ46" s="315"/>
      <c r="EK46" s="315">
        <v>91168</v>
      </c>
      <c r="EL46" s="315">
        <v>91168</v>
      </c>
      <c r="EM46" s="316"/>
      <c r="EN46" s="315"/>
      <c r="EO46" s="315"/>
      <c r="EP46" s="315">
        <v>12778</v>
      </c>
      <c r="EQ46" s="315">
        <v>12778</v>
      </c>
      <c r="ER46" s="316"/>
      <c r="ES46" s="315"/>
      <c r="ET46" s="315"/>
      <c r="EU46" s="315">
        <v>1905</v>
      </c>
      <c r="EV46" s="315">
        <v>1905</v>
      </c>
      <c r="EW46" s="316"/>
      <c r="EX46" s="315"/>
      <c r="EY46" s="315"/>
      <c r="EZ46" s="315">
        <v>632409</v>
      </c>
      <c r="FA46" s="315">
        <v>632409</v>
      </c>
      <c r="FB46" s="316"/>
      <c r="FC46" s="315"/>
      <c r="FD46" s="315"/>
      <c r="FE46" s="315">
        <v>269909</v>
      </c>
      <c r="FF46" s="315">
        <v>269909</v>
      </c>
      <c r="FG46" s="316"/>
      <c r="FH46" s="315"/>
      <c r="FI46" s="315"/>
      <c r="FJ46" s="315">
        <v>42389</v>
      </c>
      <c r="FK46" s="315">
        <v>42389</v>
      </c>
      <c r="FL46" s="316"/>
      <c r="FM46" s="315"/>
      <c r="FN46" s="315"/>
      <c r="FO46" s="315"/>
      <c r="FP46" s="315"/>
      <c r="FQ46" s="315">
        <v>72548</v>
      </c>
      <c r="FR46" s="315">
        <v>209502</v>
      </c>
      <c r="FS46" s="315">
        <v>-11415</v>
      </c>
      <c r="FT46" s="315">
        <v>198087</v>
      </c>
      <c r="FU46" s="315"/>
      <c r="FV46" s="315"/>
      <c r="FW46" s="315"/>
      <c r="FX46" s="315">
        <v>65727</v>
      </c>
      <c r="FY46" s="315">
        <v>42437</v>
      </c>
      <c r="FZ46" s="315"/>
      <c r="GA46" s="315"/>
      <c r="GB46" s="315"/>
      <c r="GC46" s="315">
        <v>38206</v>
      </c>
      <c r="GD46" s="315"/>
      <c r="GE46" s="315"/>
      <c r="GF46" s="315"/>
      <c r="GG46" s="315">
        <v>51717</v>
      </c>
      <c r="GH46" s="315">
        <v>-30</v>
      </c>
      <c r="GI46" s="315">
        <v>2969</v>
      </c>
      <c r="GJ46" s="315">
        <v>48778</v>
      </c>
      <c r="GL46"/>
      <c r="GM46"/>
      <c r="GN46"/>
      <c r="GO46"/>
    </row>
    <row r="47" spans="1:197">
      <c r="A47" s="98" t="s">
        <v>16</v>
      </c>
      <c r="B47" s="98">
        <v>4</v>
      </c>
      <c r="C47" s="98" t="s">
        <v>220</v>
      </c>
      <c r="D47" s="315">
        <v>13920225</v>
      </c>
      <c r="E47" s="315">
        <v>-1698475</v>
      </c>
      <c r="F47" s="315">
        <v>-10283</v>
      </c>
      <c r="G47" s="315">
        <v>12211467</v>
      </c>
      <c r="H47" s="315">
        <v>11871378</v>
      </c>
      <c r="I47" s="315">
        <v>340089</v>
      </c>
      <c r="J47" s="315">
        <v>340089</v>
      </c>
      <c r="K47" s="315"/>
      <c r="L47" s="315">
        <v>4958825</v>
      </c>
      <c r="M47" s="315">
        <v>3623013</v>
      </c>
      <c r="N47" s="315">
        <v>49277</v>
      </c>
      <c r="O47" s="315"/>
      <c r="P47" s="315"/>
      <c r="Q47" s="315"/>
      <c r="R47" s="315">
        <v>1286535</v>
      </c>
      <c r="S47" s="315">
        <v>-470689</v>
      </c>
      <c r="T47" s="315">
        <v>-32431</v>
      </c>
      <c r="U47" s="315"/>
      <c r="V47" s="315"/>
      <c r="W47" s="315">
        <v>0</v>
      </c>
      <c r="X47" s="315">
        <v>-17742</v>
      </c>
      <c r="Y47" s="315">
        <v>-14689</v>
      </c>
      <c r="Z47" s="315"/>
      <c r="AA47" s="315">
        <v>-2945</v>
      </c>
      <c r="AB47" s="315">
        <v>-435313</v>
      </c>
      <c r="AC47" s="315">
        <v>-10283</v>
      </c>
      <c r="AD47" s="315">
        <v>4477853</v>
      </c>
      <c r="AE47" s="315">
        <v>4137764</v>
      </c>
      <c r="AF47" s="315">
        <v>340089</v>
      </c>
      <c r="AG47" s="315">
        <v>340089</v>
      </c>
      <c r="AH47" s="315"/>
      <c r="AI47" s="315">
        <v>3621122</v>
      </c>
      <c r="AJ47" s="315">
        <v>359170</v>
      </c>
      <c r="AK47" s="315">
        <v>1178837</v>
      </c>
      <c r="AL47" s="315">
        <v>1994116</v>
      </c>
      <c r="AM47" s="315">
        <v>214670</v>
      </c>
      <c r="AN47" s="315">
        <v>52534</v>
      </c>
      <c r="AO47" s="315"/>
      <c r="AP47" s="315"/>
      <c r="AQ47" s="315">
        <v>582964</v>
      </c>
      <c r="AR47" s="315">
        <v>16846</v>
      </c>
      <c r="AS47" s="315"/>
      <c r="AT47" s="315"/>
      <c r="AU47" s="315">
        <v>-10283</v>
      </c>
      <c r="AV47" s="315">
        <v>2661126</v>
      </c>
      <c r="AW47" s="315">
        <v>2227247</v>
      </c>
      <c r="AX47" s="315">
        <v>147759</v>
      </c>
      <c r="AY47" s="315"/>
      <c r="AZ47" s="315"/>
      <c r="BA47" s="315"/>
      <c r="BB47" s="315"/>
      <c r="BC47" s="315"/>
      <c r="BD47" s="315">
        <v>286120</v>
      </c>
      <c r="BE47" s="315">
        <v>-264428</v>
      </c>
      <c r="BF47" s="315">
        <v>-77381</v>
      </c>
      <c r="BG47" s="315">
        <v>-77381</v>
      </c>
      <c r="BH47" s="315"/>
      <c r="BI47" s="315">
        <v>0</v>
      </c>
      <c r="BJ47" s="315">
        <v>-59717</v>
      </c>
      <c r="BK47" s="315">
        <v>-17664</v>
      </c>
      <c r="BL47" s="315">
        <v>-487</v>
      </c>
      <c r="BM47" s="315">
        <v>-186560</v>
      </c>
      <c r="BN47" s="315">
        <v>2396698</v>
      </c>
      <c r="BO47" s="315">
        <v>77362</v>
      </c>
      <c r="BP47" s="315">
        <v>21799</v>
      </c>
      <c r="BQ47" s="315"/>
      <c r="BR47" s="315"/>
      <c r="BS47" s="315">
        <v>2227159</v>
      </c>
      <c r="BT47" s="315"/>
      <c r="BU47" s="315"/>
      <c r="BV47" s="315"/>
      <c r="BW47" s="315"/>
      <c r="BX47" s="315">
        <v>70378</v>
      </c>
      <c r="BY47" s="315"/>
      <c r="BZ47" s="315"/>
      <c r="CA47" s="315"/>
      <c r="CB47" s="315"/>
      <c r="CC47" s="315"/>
      <c r="CD47" s="315"/>
      <c r="CE47" s="315"/>
      <c r="CF47" s="315"/>
      <c r="CG47" s="315"/>
      <c r="CH47" s="315"/>
      <c r="CI47" s="315">
        <v>4820395</v>
      </c>
      <c r="CJ47" s="315">
        <v>576306</v>
      </c>
      <c r="CK47" s="315">
        <v>4244089</v>
      </c>
      <c r="CL47" s="315">
        <v>1293973</v>
      </c>
      <c r="CM47" s="315">
        <v>2934297</v>
      </c>
      <c r="CN47" s="315">
        <v>15819</v>
      </c>
      <c r="CO47" s="315"/>
      <c r="CP47" s="315"/>
      <c r="CQ47" s="315">
        <v>15819</v>
      </c>
      <c r="CR47" s="315">
        <v>-900155</v>
      </c>
      <c r="CS47" s="315">
        <v>-248429</v>
      </c>
      <c r="CT47" s="315">
        <v>-204086</v>
      </c>
      <c r="CU47" s="315">
        <v>-30000</v>
      </c>
      <c r="CV47" s="315">
        <v>-284</v>
      </c>
      <c r="CW47" s="315">
        <v>-14059</v>
      </c>
      <c r="CX47" s="315">
        <v>-472540</v>
      </c>
      <c r="CY47" s="315">
        <v>-288137</v>
      </c>
      <c r="CZ47" s="315">
        <v>-176331</v>
      </c>
      <c r="DA47" s="315">
        <v>-8072</v>
      </c>
      <c r="DB47" s="315">
        <v>-179186</v>
      </c>
      <c r="DC47" s="315">
        <v>0</v>
      </c>
      <c r="DD47" s="315">
        <v>3920240</v>
      </c>
      <c r="DE47" s="315">
        <v>3920240</v>
      </c>
      <c r="DF47" s="316"/>
      <c r="DG47" s="315"/>
      <c r="DH47" s="315"/>
      <c r="DI47" s="315">
        <v>1250522</v>
      </c>
      <c r="DJ47" s="315">
        <v>29340</v>
      </c>
      <c r="DK47" s="315">
        <v>8962</v>
      </c>
      <c r="DL47" s="315">
        <v>798</v>
      </c>
      <c r="DM47" s="315">
        <v>745810</v>
      </c>
      <c r="DN47" s="315">
        <v>339651</v>
      </c>
      <c r="DO47" s="315">
        <v>53069</v>
      </c>
      <c r="DP47" s="315"/>
      <c r="DQ47" s="315"/>
      <c r="DR47" s="315">
        <v>72892</v>
      </c>
      <c r="DS47" s="315">
        <v>-59214</v>
      </c>
      <c r="DT47" s="315">
        <v>-12205</v>
      </c>
      <c r="DU47" s="315">
        <v>-4286</v>
      </c>
      <c r="DV47" s="315">
        <v>-5</v>
      </c>
      <c r="DW47" s="315">
        <v>-1420</v>
      </c>
      <c r="DX47" s="315"/>
      <c r="DY47" s="315"/>
      <c r="DZ47" s="315"/>
      <c r="EA47" s="315">
        <v>-38959</v>
      </c>
      <c r="EB47" s="315">
        <v>0</v>
      </c>
      <c r="EC47" s="315"/>
      <c r="ED47" s="315"/>
      <c r="EE47" s="315">
        <v>-2339</v>
      </c>
      <c r="EF47" s="315">
        <v>1191308</v>
      </c>
      <c r="EG47" s="315">
        <v>1191308</v>
      </c>
      <c r="EH47" s="316"/>
      <c r="EI47" s="315"/>
      <c r="EJ47" s="315"/>
      <c r="EK47" s="315">
        <v>17135</v>
      </c>
      <c r="EL47" s="315">
        <v>17135</v>
      </c>
      <c r="EM47" s="316"/>
      <c r="EN47" s="315"/>
      <c r="EO47" s="315"/>
      <c r="EP47" s="315">
        <v>4676</v>
      </c>
      <c r="EQ47" s="315">
        <v>4676</v>
      </c>
      <c r="ER47" s="316"/>
      <c r="ES47" s="315"/>
      <c r="ET47" s="315"/>
      <c r="EU47" s="315">
        <v>793</v>
      </c>
      <c r="EV47" s="315">
        <v>793</v>
      </c>
      <c r="EW47" s="316"/>
      <c r="EX47" s="315"/>
      <c r="EY47" s="315"/>
      <c r="EZ47" s="315">
        <v>744390</v>
      </c>
      <c r="FA47" s="315">
        <v>744390</v>
      </c>
      <c r="FB47" s="316"/>
      <c r="FC47" s="315"/>
      <c r="FD47" s="315"/>
      <c r="FE47" s="315">
        <v>300692</v>
      </c>
      <c r="FF47" s="315">
        <v>300692</v>
      </c>
      <c r="FG47" s="316"/>
      <c r="FH47" s="315"/>
      <c r="FI47" s="315"/>
      <c r="FJ47" s="315">
        <v>53069</v>
      </c>
      <c r="FK47" s="315">
        <v>53069</v>
      </c>
      <c r="FL47" s="316"/>
      <c r="FM47" s="315"/>
      <c r="FN47" s="315"/>
      <c r="FO47" s="315"/>
      <c r="FP47" s="315"/>
      <c r="FQ47" s="315">
        <v>70553</v>
      </c>
      <c r="FR47" s="315">
        <v>229357</v>
      </c>
      <c r="FS47" s="315">
        <v>-3989</v>
      </c>
      <c r="FT47" s="315">
        <v>225368</v>
      </c>
      <c r="FU47" s="315"/>
      <c r="FV47" s="315"/>
      <c r="FW47" s="315"/>
      <c r="FX47" s="315">
        <v>63918</v>
      </c>
      <c r="FY47" s="315">
        <v>58070</v>
      </c>
      <c r="FZ47" s="315"/>
      <c r="GA47" s="315"/>
      <c r="GB47" s="315"/>
      <c r="GC47" s="315">
        <v>48418</v>
      </c>
      <c r="GD47" s="315"/>
      <c r="GE47" s="315"/>
      <c r="GF47" s="315"/>
      <c r="GG47" s="315">
        <v>54962</v>
      </c>
      <c r="GH47" s="315">
        <v>998</v>
      </c>
      <c r="GI47" s="315">
        <v>3924</v>
      </c>
      <c r="GJ47" s="315">
        <v>50040</v>
      </c>
      <c r="GL47"/>
      <c r="GM47"/>
      <c r="GN47"/>
      <c r="GO47"/>
    </row>
    <row r="48" spans="1:197">
      <c r="A48" s="98" t="s">
        <v>16</v>
      </c>
      <c r="B48" s="98">
        <v>5</v>
      </c>
      <c r="C48" s="98" t="s">
        <v>221</v>
      </c>
      <c r="D48" s="315">
        <v>5751876</v>
      </c>
      <c r="E48" s="315">
        <v>-1316605</v>
      </c>
      <c r="F48" s="315">
        <v>-10277</v>
      </c>
      <c r="G48" s="315">
        <v>4424994</v>
      </c>
      <c r="H48" s="315">
        <v>4084911</v>
      </c>
      <c r="I48" s="315">
        <v>340083</v>
      </c>
      <c r="J48" s="315">
        <v>340083</v>
      </c>
      <c r="K48" s="315"/>
      <c r="L48" s="315">
        <v>2245498</v>
      </c>
      <c r="M48" s="315">
        <v>1944315</v>
      </c>
      <c r="N48" s="315">
        <v>88998</v>
      </c>
      <c r="O48" s="315"/>
      <c r="P48" s="315"/>
      <c r="Q48" s="315"/>
      <c r="R48" s="315">
        <v>212185</v>
      </c>
      <c r="S48" s="315">
        <v>-296476</v>
      </c>
      <c r="T48" s="315">
        <v>-22268</v>
      </c>
      <c r="U48" s="315"/>
      <c r="V48" s="315"/>
      <c r="W48" s="315">
        <v>0</v>
      </c>
      <c r="X48" s="315">
        <v>-10734</v>
      </c>
      <c r="Y48" s="315">
        <v>-11534</v>
      </c>
      <c r="Z48" s="315"/>
      <c r="AA48" s="315">
        <v>-2995</v>
      </c>
      <c r="AB48" s="315">
        <v>-271213</v>
      </c>
      <c r="AC48" s="315">
        <v>-10277</v>
      </c>
      <c r="AD48" s="315">
        <v>1938745</v>
      </c>
      <c r="AE48" s="315">
        <v>1598662</v>
      </c>
      <c r="AF48" s="315">
        <v>340083</v>
      </c>
      <c r="AG48" s="315">
        <v>340083</v>
      </c>
      <c r="AH48" s="315"/>
      <c r="AI48" s="315">
        <v>1941954</v>
      </c>
      <c r="AJ48" s="315">
        <v>828856</v>
      </c>
      <c r="AK48" s="315">
        <v>1031108</v>
      </c>
      <c r="AL48" s="315">
        <v>33236</v>
      </c>
      <c r="AM48" s="315">
        <v>-78588</v>
      </c>
      <c r="AN48" s="315">
        <v>8426</v>
      </c>
      <c r="AO48" s="315"/>
      <c r="AP48" s="315"/>
      <c r="AQ48" s="315">
        <v>10500</v>
      </c>
      <c r="AR48" s="315">
        <v>66730</v>
      </c>
      <c r="AS48" s="315"/>
      <c r="AT48" s="315"/>
      <c r="AU48" s="315">
        <v>-10277</v>
      </c>
      <c r="AV48" s="315">
        <v>306587</v>
      </c>
      <c r="AW48" s="315">
        <v>21809</v>
      </c>
      <c r="AX48" s="315">
        <v>199536</v>
      </c>
      <c r="AY48" s="315"/>
      <c r="AZ48" s="315"/>
      <c r="BA48" s="315"/>
      <c r="BB48" s="315"/>
      <c r="BC48" s="315"/>
      <c r="BD48" s="315">
        <v>85242</v>
      </c>
      <c r="BE48" s="315">
        <v>-180645</v>
      </c>
      <c r="BF48" s="315">
        <v>-63719</v>
      </c>
      <c r="BG48" s="315">
        <v>-63719</v>
      </c>
      <c r="BH48" s="315"/>
      <c r="BI48" s="315">
        <v>0</v>
      </c>
      <c r="BJ48" s="315">
        <v>-28873</v>
      </c>
      <c r="BK48" s="315">
        <v>-34846</v>
      </c>
      <c r="BL48" s="315">
        <v>-690</v>
      </c>
      <c r="BM48" s="315">
        <v>-116236</v>
      </c>
      <c r="BN48" s="315">
        <v>125942</v>
      </c>
      <c r="BO48" s="315">
        <v>-35604</v>
      </c>
      <c r="BP48" s="315">
        <v>4441</v>
      </c>
      <c r="BQ48" s="315"/>
      <c r="BR48" s="315"/>
      <c r="BS48" s="315">
        <v>21288</v>
      </c>
      <c r="BT48" s="315"/>
      <c r="BU48" s="315"/>
      <c r="BV48" s="315"/>
      <c r="BW48" s="315"/>
      <c r="BX48" s="315">
        <v>135817</v>
      </c>
      <c r="BY48" s="315"/>
      <c r="BZ48" s="315"/>
      <c r="CA48" s="315"/>
      <c r="CB48" s="315"/>
      <c r="CC48" s="315"/>
      <c r="CD48" s="315"/>
      <c r="CE48" s="315"/>
      <c r="CF48" s="315"/>
      <c r="CG48" s="315"/>
      <c r="CH48" s="315"/>
      <c r="CI48" s="315">
        <v>1844006</v>
      </c>
      <c r="CJ48" s="315">
        <v>554420</v>
      </c>
      <c r="CK48" s="315">
        <v>1289586</v>
      </c>
      <c r="CL48" s="315">
        <v>1188580</v>
      </c>
      <c r="CM48" s="315">
        <v>87123</v>
      </c>
      <c r="CN48" s="315">
        <v>13883</v>
      </c>
      <c r="CO48" s="315"/>
      <c r="CP48" s="315"/>
      <c r="CQ48" s="315">
        <v>13883</v>
      </c>
      <c r="CR48" s="315">
        <v>-831084</v>
      </c>
      <c r="CS48" s="315">
        <v>-384682</v>
      </c>
      <c r="CT48" s="315">
        <v>-361425</v>
      </c>
      <c r="CU48" s="315">
        <v>-10000</v>
      </c>
      <c r="CV48" s="315">
        <v>-46</v>
      </c>
      <c r="CW48" s="315">
        <v>-13211</v>
      </c>
      <c r="CX48" s="315">
        <v>-446402</v>
      </c>
      <c r="CY48" s="315">
        <v>-328627</v>
      </c>
      <c r="CZ48" s="315">
        <v>-115000</v>
      </c>
      <c r="DA48" s="315">
        <v>-2775</v>
      </c>
      <c r="DB48" s="315">
        <v>0</v>
      </c>
      <c r="DC48" s="315">
        <v>0</v>
      </c>
      <c r="DD48" s="315">
        <v>1012922</v>
      </c>
      <c r="DE48" s="315">
        <v>1012922</v>
      </c>
      <c r="DF48" s="316"/>
      <c r="DG48" s="315"/>
      <c r="DH48" s="315"/>
      <c r="DI48" s="315">
        <v>1169422</v>
      </c>
      <c r="DJ48" s="315">
        <v>44658</v>
      </c>
      <c r="DK48" s="315">
        <v>11770</v>
      </c>
      <c r="DL48" s="315">
        <v>2249</v>
      </c>
      <c r="DM48" s="315">
        <v>704416</v>
      </c>
      <c r="DN48" s="315">
        <v>280733</v>
      </c>
      <c r="DO48" s="315">
        <v>47817</v>
      </c>
      <c r="DP48" s="315"/>
      <c r="DQ48" s="315"/>
      <c r="DR48" s="315">
        <v>77779</v>
      </c>
      <c r="DS48" s="315">
        <v>-5086</v>
      </c>
      <c r="DT48" s="315">
        <v>-3218</v>
      </c>
      <c r="DU48" s="315">
        <v>-98</v>
      </c>
      <c r="DV48" s="315">
        <v>-73</v>
      </c>
      <c r="DW48" s="315">
        <v>-559</v>
      </c>
      <c r="DX48" s="315"/>
      <c r="DY48" s="315"/>
      <c r="DZ48" s="315"/>
      <c r="EA48" s="315">
        <v>0</v>
      </c>
      <c r="EB48" s="315">
        <v>0</v>
      </c>
      <c r="EC48" s="315"/>
      <c r="ED48" s="315"/>
      <c r="EE48" s="315">
        <v>-1138</v>
      </c>
      <c r="EF48" s="315">
        <v>1164336</v>
      </c>
      <c r="EG48" s="315">
        <v>1164336</v>
      </c>
      <c r="EH48" s="316"/>
      <c r="EI48" s="315"/>
      <c r="EJ48" s="315"/>
      <c r="EK48" s="315">
        <v>41440</v>
      </c>
      <c r="EL48" s="315">
        <v>41440</v>
      </c>
      <c r="EM48" s="316"/>
      <c r="EN48" s="315"/>
      <c r="EO48" s="315"/>
      <c r="EP48" s="315">
        <v>11672</v>
      </c>
      <c r="EQ48" s="315">
        <v>11672</v>
      </c>
      <c r="ER48" s="316"/>
      <c r="ES48" s="315"/>
      <c r="ET48" s="315"/>
      <c r="EU48" s="315">
        <v>2176</v>
      </c>
      <c r="EV48" s="315">
        <v>2176</v>
      </c>
      <c r="EW48" s="316"/>
      <c r="EX48" s="315"/>
      <c r="EY48" s="315"/>
      <c r="EZ48" s="315">
        <v>703857</v>
      </c>
      <c r="FA48" s="315">
        <v>703857</v>
      </c>
      <c r="FB48" s="316"/>
      <c r="FC48" s="315"/>
      <c r="FD48" s="315"/>
      <c r="FE48" s="315">
        <v>280733</v>
      </c>
      <c r="FF48" s="315">
        <v>280733</v>
      </c>
      <c r="FG48" s="316"/>
      <c r="FH48" s="315"/>
      <c r="FI48" s="315"/>
      <c r="FJ48" s="315">
        <v>47817</v>
      </c>
      <c r="FK48" s="315">
        <v>47817</v>
      </c>
      <c r="FL48" s="316"/>
      <c r="FM48" s="315"/>
      <c r="FN48" s="315"/>
      <c r="FO48" s="315"/>
      <c r="FP48" s="315"/>
      <c r="FQ48" s="315">
        <v>76641</v>
      </c>
      <c r="FR48" s="315">
        <v>186363</v>
      </c>
      <c r="FS48" s="315">
        <v>-3314</v>
      </c>
      <c r="FT48" s="315">
        <v>183049</v>
      </c>
      <c r="FU48" s="315"/>
      <c r="FV48" s="315"/>
      <c r="FW48" s="315"/>
      <c r="FX48" s="315">
        <v>60750</v>
      </c>
      <c r="FY48" s="315">
        <v>61123</v>
      </c>
      <c r="FZ48" s="315"/>
      <c r="GA48" s="315"/>
      <c r="GB48" s="315"/>
      <c r="GC48" s="315">
        <v>17381</v>
      </c>
      <c r="GD48" s="315"/>
      <c r="GE48" s="315"/>
      <c r="GF48" s="315"/>
      <c r="GG48" s="315">
        <v>43795</v>
      </c>
      <c r="GH48" s="315">
        <v>1455</v>
      </c>
      <c r="GI48" s="315">
        <v>2138</v>
      </c>
      <c r="GJ48" s="315">
        <v>40202</v>
      </c>
      <c r="GL48"/>
      <c r="GM48"/>
      <c r="GN48"/>
      <c r="GO48"/>
    </row>
    <row r="49" spans="1:197">
      <c r="A49" s="98" t="s">
        <v>16</v>
      </c>
      <c r="B49" s="98">
        <v>6</v>
      </c>
      <c r="C49" s="98" t="s">
        <v>222</v>
      </c>
      <c r="D49" s="315">
        <v>8345736</v>
      </c>
      <c r="E49" s="315">
        <v>-2322916</v>
      </c>
      <c r="F49" s="315">
        <v>-10288</v>
      </c>
      <c r="G49" s="315">
        <v>6012532</v>
      </c>
      <c r="H49" s="315">
        <v>5672443</v>
      </c>
      <c r="I49" s="315">
        <v>340089</v>
      </c>
      <c r="J49" s="315">
        <v>340089</v>
      </c>
      <c r="K49" s="315"/>
      <c r="L49" s="315">
        <v>4652451</v>
      </c>
      <c r="M49" s="315">
        <v>1368907</v>
      </c>
      <c r="N49" s="315">
        <v>2948583</v>
      </c>
      <c r="O49" s="315"/>
      <c r="P49" s="315"/>
      <c r="Q49" s="315"/>
      <c r="R49" s="315">
        <v>334961</v>
      </c>
      <c r="S49" s="315">
        <v>-1163372</v>
      </c>
      <c r="T49" s="315">
        <v>-1160049</v>
      </c>
      <c r="U49" s="315"/>
      <c r="V49" s="315"/>
      <c r="W49" s="315">
        <v>-1142698</v>
      </c>
      <c r="X49" s="315">
        <v>-5891</v>
      </c>
      <c r="Y49" s="315">
        <v>-11460</v>
      </c>
      <c r="Z49" s="315"/>
      <c r="AA49" s="315">
        <v>-2530</v>
      </c>
      <c r="AB49" s="315">
        <v>-793</v>
      </c>
      <c r="AC49" s="315">
        <v>-10288</v>
      </c>
      <c r="AD49" s="315">
        <v>3478791</v>
      </c>
      <c r="AE49" s="315">
        <v>3138702</v>
      </c>
      <c r="AF49" s="315">
        <v>340089</v>
      </c>
      <c r="AG49" s="315">
        <v>340089</v>
      </c>
      <c r="AH49" s="315"/>
      <c r="AI49" s="315">
        <v>1367278</v>
      </c>
      <c r="AJ49" s="315">
        <v>293883</v>
      </c>
      <c r="AK49" s="315">
        <v>989939</v>
      </c>
      <c r="AL49" s="315">
        <v>9147</v>
      </c>
      <c r="AM49" s="315">
        <v>315315</v>
      </c>
      <c r="AN49" s="315">
        <v>9346</v>
      </c>
      <c r="AO49" s="315"/>
      <c r="AP49" s="315"/>
      <c r="AQ49" s="315">
        <v>8606</v>
      </c>
      <c r="AR49" s="315">
        <v>1788534</v>
      </c>
      <c r="AS49" s="315"/>
      <c r="AT49" s="315"/>
      <c r="AU49" s="315">
        <v>-10288</v>
      </c>
      <c r="AV49" s="315">
        <v>273367</v>
      </c>
      <c r="AW49" s="315">
        <v>7112</v>
      </c>
      <c r="AX49" s="315">
        <v>127841</v>
      </c>
      <c r="AY49" s="315"/>
      <c r="AZ49" s="315"/>
      <c r="BA49" s="315"/>
      <c r="BB49" s="315"/>
      <c r="BC49" s="315"/>
      <c r="BD49" s="315">
        <v>138414</v>
      </c>
      <c r="BE49" s="315">
        <v>-42963</v>
      </c>
      <c r="BF49" s="315">
        <v>-41896</v>
      </c>
      <c r="BG49" s="315">
        <v>-41896</v>
      </c>
      <c r="BH49" s="315"/>
      <c r="BI49" s="315">
        <v>0</v>
      </c>
      <c r="BJ49" s="315">
        <v>-40992</v>
      </c>
      <c r="BK49" s="315">
        <v>-904</v>
      </c>
      <c r="BL49" s="315">
        <v>-730</v>
      </c>
      <c r="BM49" s="315">
        <v>-337</v>
      </c>
      <c r="BN49" s="315">
        <v>230404</v>
      </c>
      <c r="BO49" s="315">
        <v>133599</v>
      </c>
      <c r="BP49" s="315">
        <v>4141</v>
      </c>
      <c r="BQ49" s="315"/>
      <c r="BR49" s="315"/>
      <c r="BS49" s="315">
        <v>6719</v>
      </c>
      <c r="BT49" s="315"/>
      <c r="BU49" s="315"/>
      <c r="BV49" s="315"/>
      <c r="BW49" s="315"/>
      <c r="BX49" s="315">
        <v>85945</v>
      </c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>
        <v>1828296</v>
      </c>
      <c r="CJ49" s="315">
        <v>589195</v>
      </c>
      <c r="CK49" s="315">
        <v>1239101</v>
      </c>
      <c r="CL49" s="315">
        <v>1168127</v>
      </c>
      <c r="CM49" s="315">
        <v>59518</v>
      </c>
      <c r="CN49" s="315">
        <v>11456</v>
      </c>
      <c r="CO49" s="315"/>
      <c r="CP49" s="315"/>
      <c r="CQ49" s="315">
        <v>11456</v>
      </c>
      <c r="CR49" s="315">
        <v>-1012410</v>
      </c>
      <c r="CS49" s="315">
        <v>-549372</v>
      </c>
      <c r="CT49" s="315">
        <v>-488797</v>
      </c>
      <c r="CU49" s="315">
        <v>-40000</v>
      </c>
      <c r="CV49" s="315">
        <v>-191</v>
      </c>
      <c r="CW49" s="315">
        <v>-20384</v>
      </c>
      <c r="CX49" s="315">
        <v>-418118</v>
      </c>
      <c r="CY49" s="315">
        <v>-340443</v>
      </c>
      <c r="CZ49" s="315">
        <v>-75000</v>
      </c>
      <c r="DA49" s="315">
        <v>-2675</v>
      </c>
      <c r="DB49" s="315">
        <v>0</v>
      </c>
      <c r="DC49" s="315">
        <v>-44920</v>
      </c>
      <c r="DD49" s="315">
        <v>815886</v>
      </c>
      <c r="DE49" s="315">
        <v>815886</v>
      </c>
      <c r="DF49" s="316"/>
      <c r="DG49" s="315"/>
      <c r="DH49" s="315"/>
      <c r="DI49" s="315">
        <v>1183278</v>
      </c>
      <c r="DJ49" s="315">
        <v>52247</v>
      </c>
      <c r="DK49" s="315">
        <v>15017</v>
      </c>
      <c r="DL49" s="315">
        <v>1154</v>
      </c>
      <c r="DM49" s="315">
        <v>675104</v>
      </c>
      <c r="DN49" s="315">
        <v>302230</v>
      </c>
      <c r="DO49" s="315">
        <v>47853</v>
      </c>
      <c r="DP49" s="315"/>
      <c r="DQ49" s="315"/>
      <c r="DR49" s="315">
        <v>89673</v>
      </c>
      <c r="DS49" s="315">
        <v>-99929</v>
      </c>
      <c r="DT49" s="315">
        <v>-1690</v>
      </c>
      <c r="DU49" s="315">
        <v>-58</v>
      </c>
      <c r="DV49" s="315">
        <v>-180</v>
      </c>
      <c r="DW49" s="315">
        <v>-70588</v>
      </c>
      <c r="DX49" s="315"/>
      <c r="DY49" s="315"/>
      <c r="DZ49" s="315"/>
      <c r="EA49" s="315">
        <v>-24214</v>
      </c>
      <c r="EB49" s="315">
        <v>0</v>
      </c>
      <c r="EC49" s="315"/>
      <c r="ED49" s="315"/>
      <c r="EE49" s="315">
        <v>-3199</v>
      </c>
      <c r="EF49" s="315">
        <v>1083349</v>
      </c>
      <c r="EG49" s="315">
        <v>1083349</v>
      </c>
      <c r="EH49" s="316"/>
      <c r="EI49" s="315"/>
      <c r="EJ49" s="315"/>
      <c r="EK49" s="315">
        <v>50557</v>
      </c>
      <c r="EL49" s="315">
        <v>50557</v>
      </c>
      <c r="EM49" s="316"/>
      <c r="EN49" s="315"/>
      <c r="EO49" s="315"/>
      <c r="EP49" s="315">
        <v>14959</v>
      </c>
      <c r="EQ49" s="315">
        <v>14959</v>
      </c>
      <c r="ER49" s="316"/>
      <c r="ES49" s="315"/>
      <c r="ET49" s="315"/>
      <c r="EU49" s="315">
        <v>974</v>
      </c>
      <c r="EV49" s="315">
        <v>974</v>
      </c>
      <c r="EW49" s="316"/>
      <c r="EX49" s="315"/>
      <c r="EY49" s="315"/>
      <c r="EZ49" s="315">
        <v>604516</v>
      </c>
      <c r="FA49" s="315">
        <v>604516</v>
      </c>
      <c r="FB49" s="316"/>
      <c r="FC49" s="315"/>
      <c r="FD49" s="315"/>
      <c r="FE49" s="315">
        <v>278016</v>
      </c>
      <c r="FF49" s="315">
        <v>278016</v>
      </c>
      <c r="FG49" s="316"/>
      <c r="FH49" s="315"/>
      <c r="FI49" s="315"/>
      <c r="FJ49" s="315">
        <v>47853</v>
      </c>
      <c r="FK49" s="315">
        <v>47853</v>
      </c>
      <c r="FL49" s="316"/>
      <c r="FM49" s="315"/>
      <c r="FN49" s="315"/>
      <c r="FO49" s="315"/>
      <c r="FP49" s="315"/>
      <c r="FQ49" s="315">
        <v>86474</v>
      </c>
      <c r="FR49" s="315">
        <v>408344</v>
      </c>
      <c r="FS49" s="315">
        <v>-4242</v>
      </c>
      <c r="FT49" s="315">
        <v>404102</v>
      </c>
      <c r="FU49" s="315"/>
      <c r="FV49" s="315"/>
      <c r="FW49" s="315"/>
      <c r="FX49" s="315">
        <v>68299</v>
      </c>
      <c r="FY49" s="315">
        <v>58527</v>
      </c>
      <c r="FZ49" s="315"/>
      <c r="GA49" s="315"/>
      <c r="GB49" s="315"/>
      <c r="GC49" s="315">
        <v>14803</v>
      </c>
      <c r="GD49" s="315"/>
      <c r="GE49" s="315"/>
      <c r="GF49" s="315"/>
      <c r="GG49" s="315">
        <v>262473</v>
      </c>
      <c r="GH49" s="315">
        <v>204494</v>
      </c>
      <c r="GI49" s="315">
        <v>15962</v>
      </c>
      <c r="GJ49" s="315">
        <v>42017</v>
      </c>
      <c r="GL49"/>
      <c r="GM49"/>
      <c r="GN49"/>
      <c r="GO49"/>
    </row>
    <row r="50" spans="1:197">
      <c r="A50" s="98" t="s">
        <v>16</v>
      </c>
      <c r="B50" s="98">
        <v>7</v>
      </c>
      <c r="C50" s="98" t="s">
        <v>223</v>
      </c>
      <c r="D50" s="315">
        <v>12907479</v>
      </c>
      <c r="E50" s="315">
        <v>-2049636</v>
      </c>
      <c r="F50" s="315">
        <v>-10289</v>
      </c>
      <c r="G50" s="315">
        <v>10847554</v>
      </c>
      <c r="H50" s="315">
        <v>10507471</v>
      </c>
      <c r="I50" s="315">
        <v>340083</v>
      </c>
      <c r="J50" s="315">
        <v>340083</v>
      </c>
      <c r="K50" s="315"/>
      <c r="L50" s="315">
        <v>5451012</v>
      </c>
      <c r="M50" s="315">
        <v>4214731</v>
      </c>
      <c r="N50" s="315">
        <v>58310</v>
      </c>
      <c r="O50" s="315"/>
      <c r="P50" s="315"/>
      <c r="Q50" s="315"/>
      <c r="R50" s="315">
        <v>1177971</v>
      </c>
      <c r="S50" s="315">
        <v>-615828</v>
      </c>
      <c r="T50" s="315">
        <v>-524473</v>
      </c>
      <c r="U50" s="315"/>
      <c r="V50" s="315"/>
      <c r="W50" s="315">
        <v>-508156</v>
      </c>
      <c r="X50" s="315">
        <v>0</v>
      </c>
      <c r="Y50" s="315">
        <v>-16317</v>
      </c>
      <c r="Z50" s="315"/>
      <c r="AA50" s="315">
        <v>-5771</v>
      </c>
      <c r="AB50" s="315">
        <v>-85584</v>
      </c>
      <c r="AC50" s="315">
        <v>-10289</v>
      </c>
      <c r="AD50" s="315">
        <v>4824895</v>
      </c>
      <c r="AE50" s="315">
        <v>4484812</v>
      </c>
      <c r="AF50" s="315">
        <v>340083</v>
      </c>
      <c r="AG50" s="315">
        <v>340083</v>
      </c>
      <c r="AH50" s="315"/>
      <c r="AI50" s="315">
        <v>4210246</v>
      </c>
      <c r="AJ50" s="315">
        <v>547625</v>
      </c>
      <c r="AK50" s="315">
        <v>1305573</v>
      </c>
      <c r="AL50" s="315">
        <v>2295439</v>
      </c>
      <c r="AM50" s="315">
        <v>361689</v>
      </c>
      <c r="AN50" s="315">
        <v>136117</v>
      </c>
      <c r="AO50" s="315"/>
      <c r="AP50" s="315"/>
      <c r="AQ50" s="315">
        <v>593295</v>
      </c>
      <c r="AR50" s="315">
        <v>-466163</v>
      </c>
      <c r="AS50" s="315"/>
      <c r="AT50" s="315"/>
      <c r="AU50" s="315">
        <v>-10289</v>
      </c>
      <c r="AV50" s="315">
        <v>690782</v>
      </c>
      <c r="AW50" s="315">
        <v>11391</v>
      </c>
      <c r="AX50" s="315">
        <v>438384</v>
      </c>
      <c r="AY50" s="315"/>
      <c r="AZ50" s="315"/>
      <c r="BA50" s="315"/>
      <c r="BB50" s="315"/>
      <c r="BC50" s="315"/>
      <c r="BD50" s="315">
        <v>241007</v>
      </c>
      <c r="BE50" s="315">
        <v>-70616</v>
      </c>
      <c r="BF50" s="315">
        <v>-32953</v>
      </c>
      <c r="BG50" s="315">
        <v>-32953</v>
      </c>
      <c r="BH50" s="315"/>
      <c r="BI50" s="315">
        <v>0</v>
      </c>
      <c r="BJ50" s="315">
        <v>-30000</v>
      </c>
      <c r="BK50" s="315">
        <v>-2953</v>
      </c>
      <c r="BL50" s="315">
        <v>-983</v>
      </c>
      <c r="BM50" s="315">
        <v>-36680</v>
      </c>
      <c r="BN50" s="315">
        <v>620166</v>
      </c>
      <c r="BO50" s="315">
        <v>145505</v>
      </c>
      <c r="BP50" s="315">
        <v>58322</v>
      </c>
      <c r="BQ50" s="315"/>
      <c r="BR50" s="315"/>
      <c r="BS50" s="315">
        <v>10908</v>
      </c>
      <c r="BT50" s="315"/>
      <c r="BU50" s="315"/>
      <c r="BV50" s="315"/>
      <c r="BW50" s="315"/>
      <c r="BX50" s="315">
        <v>405431</v>
      </c>
      <c r="BY50" s="315"/>
      <c r="BZ50" s="315"/>
      <c r="CA50" s="315"/>
      <c r="CB50" s="315"/>
      <c r="CC50" s="315"/>
      <c r="CD50" s="315"/>
      <c r="CE50" s="315"/>
      <c r="CF50" s="315"/>
      <c r="CG50" s="315"/>
      <c r="CH50" s="315"/>
      <c r="CI50" s="315">
        <v>5088030</v>
      </c>
      <c r="CJ50" s="315">
        <v>580037</v>
      </c>
      <c r="CK50" s="315">
        <v>4507993</v>
      </c>
      <c r="CL50" s="315">
        <v>1306750</v>
      </c>
      <c r="CM50" s="315">
        <v>3184913</v>
      </c>
      <c r="CN50" s="315">
        <v>16330</v>
      </c>
      <c r="CO50" s="315"/>
      <c r="CP50" s="315"/>
      <c r="CQ50" s="315">
        <v>16330</v>
      </c>
      <c r="CR50" s="315">
        <v>-1299262</v>
      </c>
      <c r="CS50" s="315">
        <v>-595050</v>
      </c>
      <c r="CT50" s="315">
        <v>-546440</v>
      </c>
      <c r="CU50" s="315">
        <v>-20000</v>
      </c>
      <c r="CV50" s="315">
        <v>-150</v>
      </c>
      <c r="CW50" s="315">
        <v>-28460</v>
      </c>
      <c r="CX50" s="315">
        <v>-535183</v>
      </c>
      <c r="CY50" s="315">
        <v>-408454</v>
      </c>
      <c r="CZ50" s="315">
        <v>-125000</v>
      </c>
      <c r="DA50" s="315">
        <v>-1729</v>
      </c>
      <c r="DB50" s="315">
        <v>-169029</v>
      </c>
      <c r="DC50" s="315">
        <v>0</v>
      </c>
      <c r="DD50" s="315">
        <v>3788768</v>
      </c>
      <c r="DE50" s="315">
        <v>3788768</v>
      </c>
      <c r="DF50" s="316"/>
      <c r="DG50" s="315"/>
      <c r="DH50" s="315"/>
      <c r="DI50" s="315">
        <v>1271431</v>
      </c>
      <c r="DJ50" s="315">
        <v>46931</v>
      </c>
      <c r="DK50" s="315">
        <v>15482</v>
      </c>
      <c r="DL50" s="315">
        <v>1740</v>
      </c>
      <c r="DM50" s="315">
        <v>723985</v>
      </c>
      <c r="DN50" s="315">
        <v>338141</v>
      </c>
      <c r="DO50" s="315">
        <v>50275</v>
      </c>
      <c r="DP50" s="315"/>
      <c r="DQ50" s="315"/>
      <c r="DR50" s="315">
        <v>94877</v>
      </c>
      <c r="DS50" s="315">
        <v>-59471</v>
      </c>
      <c r="DT50" s="315">
        <v>-9837</v>
      </c>
      <c r="DU50" s="315">
        <v>-1989</v>
      </c>
      <c r="DV50" s="315">
        <v>-3</v>
      </c>
      <c r="DW50" s="315">
        <v>-961</v>
      </c>
      <c r="DX50" s="315"/>
      <c r="DY50" s="315"/>
      <c r="DZ50" s="315"/>
      <c r="EA50" s="315">
        <v>-45664</v>
      </c>
      <c r="EB50" s="315">
        <v>0</v>
      </c>
      <c r="EC50" s="315"/>
      <c r="ED50" s="315"/>
      <c r="EE50" s="315">
        <v>-1017</v>
      </c>
      <c r="EF50" s="315">
        <v>1211960</v>
      </c>
      <c r="EG50" s="315">
        <v>1211960</v>
      </c>
      <c r="EH50" s="316"/>
      <c r="EI50" s="315"/>
      <c r="EJ50" s="315"/>
      <c r="EK50" s="315">
        <v>37094</v>
      </c>
      <c r="EL50" s="315">
        <v>37094</v>
      </c>
      <c r="EM50" s="316"/>
      <c r="EN50" s="315"/>
      <c r="EO50" s="315"/>
      <c r="EP50" s="315">
        <v>13493</v>
      </c>
      <c r="EQ50" s="315">
        <v>13493</v>
      </c>
      <c r="ER50" s="316"/>
      <c r="ES50" s="315"/>
      <c r="ET50" s="315"/>
      <c r="EU50" s="315">
        <v>1737</v>
      </c>
      <c r="EV50" s="315">
        <v>1737</v>
      </c>
      <c r="EW50" s="316"/>
      <c r="EX50" s="315"/>
      <c r="EY50" s="315"/>
      <c r="EZ50" s="315">
        <v>723024</v>
      </c>
      <c r="FA50" s="315">
        <v>723024</v>
      </c>
      <c r="FB50" s="316"/>
      <c r="FC50" s="315"/>
      <c r="FD50" s="315"/>
      <c r="FE50" s="315">
        <v>292477</v>
      </c>
      <c r="FF50" s="315">
        <v>292477</v>
      </c>
      <c r="FG50" s="316"/>
      <c r="FH50" s="315"/>
      <c r="FI50" s="315"/>
      <c r="FJ50" s="315">
        <v>50275</v>
      </c>
      <c r="FK50" s="315">
        <v>50275</v>
      </c>
      <c r="FL50" s="316"/>
      <c r="FM50" s="315"/>
      <c r="FN50" s="315"/>
      <c r="FO50" s="315"/>
      <c r="FP50" s="315"/>
      <c r="FQ50" s="315">
        <v>93860</v>
      </c>
      <c r="FR50" s="315">
        <v>406224</v>
      </c>
      <c r="FS50" s="315">
        <v>-4459</v>
      </c>
      <c r="FT50" s="315">
        <v>401765</v>
      </c>
      <c r="FU50" s="315"/>
      <c r="FV50" s="315"/>
      <c r="FW50" s="315"/>
      <c r="FX50" s="315">
        <v>69086</v>
      </c>
      <c r="FY50" s="315">
        <v>60516</v>
      </c>
      <c r="FZ50" s="315"/>
      <c r="GA50" s="315"/>
      <c r="GB50" s="315"/>
      <c r="GC50" s="315">
        <v>213035</v>
      </c>
      <c r="GD50" s="315"/>
      <c r="GE50" s="315"/>
      <c r="GF50" s="315"/>
      <c r="GG50" s="315">
        <v>59128</v>
      </c>
      <c r="GH50" s="315">
        <v>14299</v>
      </c>
      <c r="GI50" s="315">
        <v>3059</v>
      </c>
      <c r="GJ50" s="315">
        <v>41770</v>
      </c>
      <c r="GL50"/>
      <c r="GM50"/>
      <c r="GN50"/>
      <c r="GO50"/>
    </row>
    <row r="51" spans="1:197">
      <c r="A51" s="98" t="s">
        <v>16</v>
      </c>
      <c r="B51" s="98">
        <v>8</v>
      </c>
      <c r="C51" s="98" t="s">
        <v>224</v>
      </c>
      <c r="D51" s="315">
        <v>7762477</v>
      </c>
      <c r="E51" s="315">
        <v>-989015</v>
      </c>
      <c r="F51" s="315">
        <v>-10290</v>
      </c>
      <c r="G51" s="315">
        <v>6763172</v>
      </c>
      <c r="H51" s="315">
        <v>6423083</v>
      </c>
      <c r="I51" s="315">
        <v>340089</v>
      </c>
      <c r="J51" s="315">
        <v>340089</v>
      </c>
      <c r="K51" s="315"/>
      <c r="L51" s="315">
        <v>1237028</v>
      </c>
      <c r="M51" s="315">
        <v>935845</v>
      </c>
      <c r="N51" s="315">
        <v>37840</v>
      </c>
      <c r="O51" s="315"/>
      <c r="P51" s="315"/>
      <c r="Q51" s="315"/>
      <c r="R51" s="315">
        <v>263343</v>
      </c>
      <c r="S51" s="315">
        <v>-353263</v>
      </c>
      <c r="T51" s="315">
        <v>-318891</v>
      </c>
      <c r="U51" s="315"/>
      <c r="V51" s="315"/>
      <c r="W51" s="315">
        <v>-310122</v>
      </c>
      <c r="X51" s="315">
        <v>0</v>
      </c>
      <c r="Y51" s="315">
        <v>-8769</v>
      </c>
      <c r="Z51" s="315"/>
      <c r="AA51" s="315">
        <v>-4297</v>
      </c>
      <c r="AB51" s="315">
        <v>-30075</v>
      </c>
      <c r="AC51" s="315">
        <v>-10290</v>
      </c>
      <c r="AD51" s="315">
        <v>873475</v>
      </c>
      <c r="AE51" s="315">
        <v>533386</v>
      </c>
      <c r="AF51" s="315">
        <v>340089</v>
      </c>
      <c r="AG51" s="315">
        <v>340089</v>
      </c>
      <c r="AH51" s="315"/>
      <c r="AI51" s="315">
        <v>934676</v>
      </c>
      <c r="AJ51" s="315">
        <v>811116</v>
      </c>
      <c r="AK51" s="315">
        <v>54932</v>
      </c>
      <c r="AL51" s="315">
        <v>26060</v>
      </c>
      <c r="AM51" s="315">
        <v>219393</v>
      </c>
      <c r="AN51" s="315">
        <v>2699</v>
      </c>
      <c r="AO51" s="315"/>
      <c r="AP51" s="315"/>
      <c r="AQ51" s="315">
        <v>8048</v>
      </c>
      <c r="AR51" s="315">
        <v>-281051</v>
      </c>
      <c r="AS51" s="315"/>
      <c r="AT51" s="315"/>
      <c r="AU51" s="315">
        <v>-10290</v>
      </c>
      <c r="AV51" s="315">
        <v>4582159</v>
      </c>
      <c r="AW51" s="315">
        <v>5779</v>
      </c>
      <c r="AX51" s="315">
        <v>4468291</v>
      </c>
      <c r="AY51" s="315"/>
      <c r="AZ51" s="315"/>
      <c r="BA51" s="315"/>
      <c r="BB51" s="315"/>
      <c r="BC51" s="315"/>
      <c r="BD51" s="315">
        <v>108089</v>
      </c>
      <c r="BE51" s="315">
        <v>-27329</v>
      </c>
      <c r="BF51" s="315">
        <v>-10519</v>
      </c>
      <c r="BG51" s="315">
        <v>-10519</v>
      </c>
      <c r="BH51" s="315"/>
      <c r="BI51" s="315">
        <v>0</v>
      </c>
      <c r="BJ51" s="315">
        <v>-10000</v>
      </c>
      <c r="BK51" s="315">
        <v>-519</v>
      </c>
      <c r="BL51" s="315">
        <v>-1394</v>
      </c>
      <c r="BM51" s="315">
        <v>-15416</v>
      </c>
      <c r="BN51" s="315">
        <v>4554830</v>
      </c>
      <c r="BO51" s="315">
        <v>90374</v>
      </c>
      <c r="BP51" s="315">
        <v>986</v>
      </c>
      <c r="BQ51" s="315"/>
      <c r="BR51" s="315"/>
      <c r="BS51" s="315">
        <v>5698</v>
      </c>
      <c r="BT51" s="315"/>
      <c r="BU51" s="315"/>
      <c r="BV51" s="315"/>
      <c r="BW51" s="315"/>
      <c r="BX51" s="315">
        <v>4457772</v>
      </c>
      <c r="BY51" s="315"/>
      <c r="BZ51" s="315"/>
      <c r="CA51" s="315"/>
      <c r="CB51" s="315"/>
      <c r="CC51" s="315"/>
      <c r="CD51" s="315"/>
      <c r="CE51" s="315"/>
      <c r="CF51" s="315"/>
      <c r="CG51" s="315"/>
      <c r="CH51" s="315"/>
      <c r="CI51" s="315">
        <v>468928</v>
      </c>
      <c r="CJ51" s="315">
        <v>348491</v>
      </c>
      <c r="CK51" s="315">
        <v>120437</v>
      </c>
      <c r="CL51" s="315">
        <v>63208</v>
      </c>
      <c r="CM51" s="315">
        <v>45941</v>
      </c>
      <c r="CN51" s="315">
        <v>11288</v>
      </c>
      <c r="CO51" s="315"/>
      <c r="CP51" s="315"/>
      <c r="CQ51" s="315">
        <v>11288</v>
      </c>
      <c r="CR51" s="315">
        <v>-602581</v>
      </c>
      <c r="CS51" s="315">
        <v>-277872</v>
      </c>
      <c r="CT51" s="315">
        <v>-230993</v>
      </c>
      <c r="CU51" s="315">
        <v>-20000</v>
      </c>
      <c r="CV51" s="315">
        <v>-48</v>
      </c>
      <c r="CW51" s="315">
        <v>-26831</v>
      </c>
      <c r="CX51" s="315">
        <v>-324709</v>
      </c>
      <c r="CY51" s="315">
        <v>-281592</v>
      </c>
      <c r="CZ51" s="315">
        <v>-42000</v>
      </c>
      <c r="DA51" s="315">
        <v>-1117</v>
      </c>
      <c r="DB51" s="315">
        <v>0</v>
      </c>
      <c r="DC51" s="315">
        <v>0</v>
      </c>
      <c r="DD51" s="315">
        <v>-133653</v>
      </c>
      <c r="DE51" s="315">
        <v>-133653</v>
      </c>
      <c r="DF51" s="316"/>
      <c r="DG51" s="315"/>
      <c r="DH51" s="315"/>
      <c r="DI51" s="315">
        <v>1346075</v>
      </c>
      <c r="DJ51" s="315">
        <v>64212</v>
      </c>
      <c r="DK51" s="315">
        <v>16402</v>
      </c>
      <c r="DL51" s="315">
        <v>2926</v>
      </c>
      <c r="DM51" s="315">
        <v>762598</v>
      </c>
      <c r="DN51" s="315">
        <v>397828</v>
      </c>
      <c r="DO51" s="315">
        <v>24793</v>
      </c>
      <c r="DP51" s="315"/>
      <c r="DQ51" s="315"/>
      <c r="DR51" s="315">
        <v>77316</v>
      </c>
      <c r="DS51" s="315">
        <v>-3089</v>
      </c>
      <c r="DT51" s="315">
        <v>-1196</v>
      </c>
      <c r="DU51" s="315">
        <v>-48</v>
      </c>
      <c r="DV51" s="315">
        <v>-11</v>
      </c>
      <c r="DW51" s="315">
        <v>-473</v>
      </c>
      <c r="DX51" s="315"/>
      <c r="DY51" s="315"/>
      <c r="DZ51" s="315"/>
      <c r="EA51" s="315">
        <v>0</v>
      </c>
      <c r="EB51" s="315">
        <v>-7</v>
      </c>
      <c r="EC51" s="315"/>
      <c r="ED51" s="315"/>
      <c r="EE51" s="315">
        <v>-1354</v>
      </c>
      <c r="EF51" s="315">
        <v>1342986</v>
      </c>
      <c r="EG51" s="315">
        <v>1342986</v>
      </c>
      <c r="EH51" s="316"/>
      <c r="EI51" s="315"/>
      <c r="EJ51" s="315"/>
      <c r="EK51" s="315">
        <v>63016</v>
      </c>
      <c r="EL51" s="315">
        <v>63016</v>
      </c>
      <c r="EM51" s="316"/>
      <c r="EN51" s="315"/>
      <c r="EO51" s="315"/>
      <c r="EP51" s="315">
        <v>16354</v>
      </c>
      <c r="EQ51" s="315">
        <v>16354</v>
      </c>
      <c r="ER51" s="316"/>
      <c r="ES51" s="315"/>
      <c r="ET51" s="315"/>
      <c r="EU51" s="315">
        <v>2915</v>
      </c>
      <c r="EV51" s="315">
        <v>2915</v>
      </c>
      <c r="EW51" s="316"/>
      <c r="EX51" s="315"/>
      <c r="EY51" s="315"/>
      <c r="EZ51" s="315">
        <v>762125</v>
      </c>
      <c r="FA51" s="315">
        <v>762125</v>
      </c>
      <c r="FB51" s="316"/>
      <c r="FC51" s="315"/>
      <c r="FD51" s="315"/>
      <c r="FE51" s="315">
        <v>397828</v>
      </c>
      <c r="FF51" s="315">
        <v>397828</v>
      </c>
      <c r="FG51" s="316"/>
      <c r="FH51" s="315"/>
      <c r="FI51" s="315"/>
      <c r="FJ51" s="315">
        <v>24786</v>
      </c>
      <c r="FK51" s="315">
        <v>24786</v>
      </c>
      <c r="FL51" s="316"/>
      <c r="FM51" s="315"/>
      <c r="FN51" s="315"/>
      <c r="FO51" s="315"/>
      <c r="FP51" s="315"/>
      <c r="FQ51" s="315">
        <v>75962</v>
      </c>
      <c r="FR51" s="315">
        <v>128287</v>
      </c>
      <c r="FS51" s="315">
        <v>-2753</v>
      </c>
      <c r="FT51" s="315">
        <v>125534</v>
      </c>
      <c r="FU51" s="315"/>
      <c r="FV51" s="315"/>
      <c r="FW51" s="315"/>
      <c r="FX51" s="315">
        <v>70391</v>
      </c>
      <c r="FY51" s="315">
        <v>2807</v>
      </c>
      <c r="FZ51" s="315"/>
      <c r="GA51" s="315"/>
      <c r="GB51" s="315"/>
      <c r="GC51" s="315">
        <v>19293</v>
      </c>
      <c r="GD51" s="315"/>
      <c r="GE51" s="315"/>
      <c r="GF51" s="315"/>
      <c r="GG51" s="315">
        <v>33043</v>
      </c>
      <c r="GH51" s="315">
        <v>31</v>
      </c>
      <c r="GI51" s="315">
        <v>4615</v>
      </c>
      <c r="GJ51" s="315">
        <v>28397</v>
      </c>
      <c r="GL51"/>
      <c r="GM51"/>
      <c r="GN51"/>
      <c r="GO51"/>
    </row>
    <row r="52" spans="1:197">
      <c r="A52" s="98" t="s">
        <v>16</v>
      </c>
      <c r="B52" s="98">
        <v>9</v>
      </c>
      <c r="C52" s="98" t="s">
        <v>225</v>
      </c>
      <c r="D52" s="315">
        <v>7934231</v>
      </c>
      <c r="E52" s="315">
        <v>-1817190</v>
      </c>
      <c r="F52" s="315">
        <v>-10277</v>
      </c>
      <c r="G52" s="315">
        <v>6106764</v>
      </c>
      <c r="H52" s="315">
        <v>5766681</v>
      </c>
      <c r="I52" s="315">
        <v>340083</v>
      </c>
      <c r="J52" s="315">
        <v>340083</v>
      </c>
      <c r="K52" s="315"/>
      <c r="L52" s="315">
        <v>2857877</v>
      </c>
      <c r="M52" s="315">
        <v>2441137</v>
      </c>
      <c r="N52" s="315">
        <v>39474</v>
      </c>
      <c r="O52" s="315"/>
      <c r="P52" s="315"/>
      <c r="Q52" s="315"/>
      <c r="R52" s="315">
        <v>377266</v>
      </c>
      <c r="S52" s="315">
        <v>-1173607</v>
      </c>
      <c r="T52" s="315">
        <v>-1033927</v>
      </c>
      <c r="U52" s="315"/>
      <c r="V52" s="315"/>
      <c r="W52" s="315">
        <v>-1025026</v>
      </c>
      <c r="X52" s="315">
        <v>0</v>
      </c>
      <c r="Y52" s="315">
        <v>-8901</v>
      </c>
      <c r="Z52" s="315"/>
      <c r="AA52" s="315">
        <v>-1465</v>
      </c>
      <c r="AB52" s="315">
        <v>-138215</v>
      </c>
      <c r="AC52" s="315">
        <v>-10277</v>
      </c>
      <c r="AD52" s="315">
        <v>1673993</v>
      </c>
      <c r="AE52" s="315">
        <v>1333910</v>
      </c>
      <c r="AF52" s="315">
        <v>340083</v>
      </c>
      <c r="AG52" s="315">
        <v>340083</v>
      </c>
      <c r="AH52" s="315"/>
      <c r="AI52" s="315">
        <v>2440019</v>
      </c>
      <c r="AJ52" s="315">
        <v>259984</v>
      </c>
      <c r="AK52" s="315">
        <v>2118628</v>
      </c>
      <c r="AL52" s="315">
        <v>4532</v>
      </c>
      <c r="AM52" s="315">
        <v>214459</v>
      </c>
      <c r="AN52" s="315">
        <v>18842</v>
      </c>
      <c r="AO52" s="315"/>
      <c r="AP52" s="315"/>
      <c r="AQ52" s="315">
        <v>5403</v>
      </c>
      <c r="AR52" s="315">
        <v>-994453</v>
      </c>
      <c r="AS52" s="315"/>
      <c r="AT52" s="315"/>
      <c r="AU52" s="315">
        <v>-10277</v>
      </c>
      <c r="AV52" s="315">
        <v>318194</v>
      </c>
      <c r="AW52" s="315">
        <v>1083</v>
      </c>
      <c r="AX52" s="315">
        <v>161071</v>
      </c>
      <c r="AY52" s="315"/>
      <c r="AZ52" s="315"/>
      <c r="BA52" s="315"/>
      <c r="BB52" s="315"/>
      <c r="BC52" s="315"/>
      <c r="BD52" s="315">
        <v>156040</v>
      </c>
      <c r="BE52" s="315">
        <v>-81167</v>
      </c>
      <c r="BF52" s="315">
        <v>-16793</v>
      </c>
      <c r="BG52" s="315">
        <v>-16793</v>
      </c>
      <c r="BH52" s="315"/>
      <c r="BI52" s="315">
        <v>0</v>
      </c>
      <c r="BJ52" s="315">
        <v>0</v>
      </c>
      <c r="BK52" s="315">
        <v>-16793</v>
      </c>
      <c r="BL52" s="315">
        <v>-84</v>
      </c>
      <c r="BM52" s="315">
        <v>-64290</v>
      </c>
      <c r="BN52" s="315">
        <v>237027</v>
      </c>
      <c r="BO52" s="315">
        <v>83655</v>
      </c>
      <c r="BP52" s="315">
        <v>8054</v>
      </c>
      <c r="BQ52" s="315"/>
      <c r="BR52" s="315"/>
      <c r="BS52" s="315">
        <v>1040</v>
      </c>
      <c r="BT52" s="315"/>
      <c r="BU52" s="315"/>
      <c r="BV52" s="315"/>
      <c r="BW52" s="315"/>
      <c r="BX52" s="315">
        <v>144278</v>
      </c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>
        <v>3189244</v>
      </c>
      <c r="CJ52" s="315">
        <v>748101</v>
      </c>
      <c r="CK52" s="315">
        <v>2441143</v>
      </c>
      <c r="CL52" s="315">
        <v>2373523</v>
      </c>
      <c r="CM52" s="315">
        <v>47991</v>
      </c>
      <c r="CN52" s="315">
        <v>19629</v>
      </c>
      <c r="CO52" s="315"/>
      <c r="CP52" s="315"/>
      <c r="CQ52" s="315">
        <v>19629</v>
      </c>
      <c r="CR52" s="315">
        <v>-523575</v>
      </c>
      <c r="CS52" s="315">
        <v>-169188</v>
      </c>
      <c r="CT52" s="315">
        <v>-103500</v>
      </c>
      <c r="CU52" s="315">
        <v>-20000</v>
      </c>
      <c r="CV52" s="315">
        <v>-111</v>
      </c>
      <c r="CW52" s="315">
        <v>-45577</v>
      </c>
      <c r="CX52" s="315">
        <v>-310447</v>
      </c>
      <c r="CY52" s="315">
        <v>-294947</v>
      </c>
      <c r="CZ52" s="315">
        <v>-15000</v>
      </c>
      <c r="DA52" s="315">
        <v>-500</v>
      </c>
      <c r="DB52" s="315">
        <v>0</v>
      </c>
      <c r="DC52" s="315">
        <v>-43940</v>
      </c>
      <c r="DD52" s="315">
        <v>2665669</v>
      </c>
      <c r="DE52" s="315">
        <v>2665669</v>
      </c>
      <c r="DF52" s="316"/>
      <c r="DG52" s="315"/>
      <c r="DH52" s="315"/>
      <c r="DI52" s="315">
        <v>1324476</v>
      </c>
      <c r="DJ52" s="315">
        <v>68342</v>
      </c>
      <c r="DK52" s="315">
        <v>18919</v>
      </c>
      <c r="DL52" s="315">
        <v>1191</v>
      </c>
      <c r="DM52" s="315">
        <v>710239</v>
      </c>
      <c r="DN52" s="315">
        <v>413999</v>
      </c>
      <c r="DO52" s="315">
        <v>58484</v>
      </c>
      <c r="DP52" s="315"/>
      <c r="DQ52" s="315"/>
      <c r="DR52" s="315">
        <v>53302</v>
      </c>
      <c r="DS52" s="315">
        <v>-35443</v>
      </c>
      <c r="DT52" s="315">
        <v>-1275</v>
      </c>
      <c r="DU52" s="315">
        <v>-41</v>
      </c>
      <c r="DV52" s="315">
        <v>-1</v>
      </c>
      <c r="DW52" s="315">
        <v>-17290</v>
      </c>
      <c r="DX52" s="315"/>
      <c r="DY52" s="315"/>
      <c r="DZ52" s="315"/>
      <c r="EA52" s="315">
        <v>-16225</v>
      </c>
      <c r="EB52" s="315">
        <v>0</v>
      </c>
      <c r="EC52" s="315"/>
      <c r="ED52" s="315"/>
      <c r="EE52" s="315">
        <v>-611</v>
      </c>
      <c r="EF52" s="315">
        <v>1289033</v>
      </c>
      <c r="EG52" s="315">
        <v>1289033</v>
      </c>
      <c r="EH52" s="316"/>
      <c r="EI52" s="315"/>
      <c r="EJ52" s="315"/>
      <c r="EK52" s="315">
        <v>67067</v>
      </c>
      <c r="EL52" s="315">
        <v>67067</v>
      </c>
      <c r="EM52" s="316"/>
      <c r="EN52" s="315"/>
      <c r="EO52" s="315"/>
      <c r="EP52" s="315">
        <v>18878</v>
      </c>
      <c r="EQ52" s="315">
        <v>18878</v>
      </c>
      <c r="ER52" s="316"/>
      <c r="ES52" s="315"/>
      <c r="ET52" s="315"/>
      <c r="EU52" s="315">
        <v>1190</v>
      </c>
      <c r="EV52" s="315">
        <v>1190</v>
      </c>
      <c r="EW52" s="316"/>
      <c r="EX52" s="315"/>
      <c r="EY52" s="315"/>
      <c r="EZ52" s="315">
        <v>692949</v>
      </c>
      <c r="FA52" s="315">
        <v>692949</v>
      </c>
      <c r="FB52" s="316"/>
      <c r="FC52" s="315"/>
      <c r="FD52" s="315"/>
      <c r="FE52" s="315">
        <v>397774</v>
      </c>
      <c r="FF52" s="315">
        <v>397774</v>
      </c>
      <c r="FG52" s="316"/>
      <c r="FH52" s="315"/>
      <c r="FI52" s="315"/>
      <c r="FJ52" s="315">
        <v>58484</v>
      </c>
      <c r="FK52" s="315">
        <v>58484</v>
      </c>
      <c r="FL52" s="316"/>
      <c r="FM52" s="315"/>
      <c r="FN52" s="315"/>
      <c r="FO52" s="315"/>
      <c r="FP52" s="315"/>
      <c r="FQ52" s="315">
        <v>52691</v>
      </c>
      <c r="FR52" s="315">
        <v>244440</v>
      </c>
      <c r="FS52" s="315">
        <v>-3398</v>
      </c>
      <c r="FT52" s="315">
        <v>241042</v>
      </c>
      <c r="FU52" s="315"/>
      <c r="FV52" s="315"/>
      <c r="FW52" s="315"/>
      <c r="FX52" s="315">
        <v>62553</v>
      </c>
      <c r="FY52" s="315">
        <v>114980</v>
      </c>
      <c r="FZ52" s="315"/>
      <c r="GA52" s="315"/>
      <c r="GB52" s="315"/>
      <c r="GC52" s="315">
        <v>23535</v>
      </c>
      <c r="GD52" s="315"/>
      <c r="GE52" s="315"/>
      <c r="GF52" s="315"/>
      <c r="GG52" s="315">
        <v>39974</v>
      </c>
      <c r="GH52" s="315">
        <v>2411</v>
      </c>
      <c r="GI52" s="315">
        <v>2211</v>
      </c>
      <c r="GJ52" s="315">
        <v>35352</v>
      </c>
      <c r="GL52"/>
      <c r="GM52"/>
      <c r="GN52"/>
      <c r="GO52"/>
    </row>
    <row r="53" spans="1:197">
      <c r="A53" s="98" t="s">
        <v>16</v>
      </c>
      <c r="B53" s="98">
        <v>10</v>
      </c>
      <c r="C53" s="98" t="s">
        <v>226</v>
      </c>
      <c r="D53" s="315">
        <v>17110226</v>
      </c>
      <c r="E53" s="315">
        <v>-3648048</v>
      </c>
      <c r="F53" s="315">
        <v>-10271</v>
      </c>
      <c r="G53" s="315">
        <v>13451907</v>
      </c>
      <c r="H53" s="315">
        <v>13111818</v>
      </c>
      <c r="I53" s="315">
        <v>340089</v>
      </c>
      <c r="J53" s="315">
        <v>340089</v>
      </c>
      <c r="K53" s="315"/>
      <c r="L53" s="315">
        <v>5072563</v>
      </c>
      <c r="M53" s="315">
        <v>3928735</v>
      </c>
      <c r="N53" s="315">
        <v>49614</v>
      </c>
      <c r="O53" s="315"/>
      <c r="P53" s="315"/>
      <c r="Q53" s="315"/>
      <c r="R53" s="315">
        <v>1094214</v>
      </c>
      <c r="S53" s="315">
        <v>-2612380</v>
      </c>
      <c r="T53" s="315">
        <v>-2610244</v>
      </c>
      <c r="U53" s="315"/>
      <c r="V53" s="315"/>
      <c r="W53" s="315">
        <v>-2597532</v>
      </c>
      <c r="X53" s="315">
        <v>0</v>
      </c>
      <c r="Y53" s="315">
        <v>-12712</v>
      </c>
      <c r="Z53" s="315"/>
      <c r="AA53" s="315">
        <v>-2118</v>
      </c>
      <c r="AB53" s="315">
        <v>-18</v>
      </c>
      <c r="AC53" s="315">
        <v>-10271</v>
      </c>
      <c r="AD53" s="315">
        <v>2449912</v>
      </c>
      <c r="AE53" s="315">
        <v>2109823</v>
      </c>
      <c r="AF53" s="315">
        <v>340089</v>
      </c>
      <c r="AG53" s="315">
        <v>340089</v>
      </c>
      <c r="AH53" s="315"/>
      <c r="AI53" s="315">
        <v>3927296</v>
      </c>
      <c r="AJ53" s="315">
        <v>571015</v>
      </c>
      <c r="AK53" s="315">
        <v>1063419</v>
      </c>
      <c r="AL53" s="315">
        <v>2218912</v>
      </c>
      <c r="AM53" s="315">
        <v>349681</v>
      </c>
      <c r="AN53" s="315">
        <v>144459</v>
      </c>
      <c r="AO53" s="315"/>
      <c r="AP53" s="315"/>
      <c r="AQ53" s="315">
        <v>599377</v>
      </c>
      <c r="AR53" s="315">
        <v>-2560630</v>
      </c>
      <c r="AS53" s="315"/>
      <c r="AT53" s="315"/>
      <c r="AU53" s="315">
        <v>-10271</v>
      </c>
      <c r="AV53" s="315">
        <v>5227667</v>
      </c>
      <c r="AW53" s="315">
        <v>4830334</v>
      </c>
      <c r="AX53" s="315">
        <v>192420</v>
      </c>
      <c r="AY53" s="315"/>
      <c r="AZ53" s="315"/>
      <c r="BA53" s="315"/>
      <c r="BB53" s="315"/>
      <c r="BC53" s="315"/>
      <c r="BD53" s="315">
        <v>204913</v>
      </c>
      <c r="BE53" s="315">
        <v>-75479</v>
      </c>
      <c r="BF53" s="315">
        <v>-75013</v>
      </c>
      <c r="BG53" s="315">
        <v>-75013</v>
      </c>
      <c r="BH53" s="315"/>
      <c r="BI53" s="315">
        <v>-35406</v>
      </c>
      <c r="BJ53" s="315">
        <v>0</v>
      </c>
      <c r="BK53" s="315">
        <v>-39607</v>
      </c>
      <c r="BL53" s="315">
        <v>-460</v>
      </c>
      <c r="BM53" s="315">
        <v>-6</v>
      </c>
      <c r="BN53" s="315">
        <v>5152188</v>
      </c>
      <c r="BO53" s="315">
        <v>142843</v>
      </c>
      <c r="BP53" s="315">
        <v>61892</v>
      </c>
      <c r="BQ53" s="315"/>
      <c r="BR53" s="315"/>
      <c r="BS53" s="315">
        <v>4830046</v>
      </c>
      <c r="BT53" s="315"/>
      <c r="BU53" s="315"/>
      <c r="BV53" s="315"/>
      <c r="BW53" s="315"/>
      <c r="BX53" s="315">
        <v>117407</v>
      </c>
      <c r="BY53" s="315"/>
      <c r="BZ53" s="315"/>
      <c r="CA53" s="315"/>
      <c r="CB53" s="315"/>
      <c r="CC53" s="315"/>
      <c r="CD53" s="315"/>
      <c r="CE53" s="315"/>
      <c r="CF53" s="315"/>
      <c r="CG53" s="315"/>
      <c r="CH53" s="315"/>
      <c r="CI53" s="315">
        <v>5219397</v>
      </c>
      <c r="CJ53" s="315">
        <v>619869</v>
      </c>
      <c r="CK53" s="315">
        <v>4599528</v>
      </c>
      <c r="CL53" s="315">
        <v>1299448</v>
      </c>
      <c r="CM53" s="315">
        <v>3289333</v>
      </c>
      <c r="CN53" s="315">
        <v>10747</v>
      </c>
      <c r="CO53" s="315"/>
      <c r="CP53" s="315"/>
      <c r="CQ53" s="315">
        <v>10747</v>
      </c>
      <c r="CR53" s="315">
        <v>-885679</v>
      </c>
      <c r="CS53" s="315">
        <v>-137089</v>
      </c>
      <c r="CT53" s="315">
        <v>-94317</v>
      </c>
      <c r="CU53" s="315">
        <v>0</v>
      </c>
      <c r="CV53" s="315">
        <v>-105</v>
      </c>
      <c r="CW53" s="315">
        <v>-42667</v>
      </c>
      <c r="CX53" s="315">
        <v>-603566</v>
      </c>
      <c r="CY53" s="315">
        <v>-594437</v>
      </c>
      <c r="CZ53" s="315">
        <v>-8000</v>
      </c>
      <c r="DA53" s="315">
        <v>-1129</v>
      </c>
      <c r="DB53" s="315">
        <v>-145024</v>
      </c>
      <c r="DC53" s="315">
        <v>0</v>
      </c>
      <c r="DD53" s="315">
        <v>4333718</v>
      </c>
      <c r="DE53" s="315">
        <v>4333718</v>
      </c>
      <c r="DF53" s="316"/>
      <c r="DG53" s="315"/>
      <c r="DH53" s="315"/>
      <c r="DI53" s="315">
        <v>1309717</v>
      </c>
      <c r="DJ53" s="315">
        <v>64333</v>
      </c>
      <c r="DK53" s="315">
        <v>21238</v>
      </c>
      <c r="DL53" s="315">
        <v>1246</v>
      </c>
      <c r="DM53" s="315">
        <v>716724</v>
      </c>
      <c r="DN53" s="315">
        <v>375182</v>
      </c>
      <c r="DO53" s="315">
        <v>54091</v>
      </c>
      <c r="DP53" s="315"/>
      <c r="DQ53" s="315"/>
      <c r="DR53" s="315">
        <v>76903</v>
      </c>
      <c r="DS53" s="315">
        <v>-66843</v>
      </c>
      <c r="DT53" s="315">
        <v>-11414</v>
      </c>
      <c r="DU53" s="315">
        <v>-2757</v>
      </c>
      <c r="DV53" s="315">
        <v>-62</v>
      </c>
      <c r="DW53" s="315">
        <v>-1051</v>
      </c>
      <c r="DX53" s="315"/>
      <c r="DY53" s="315"/>
      <c r="DZ53" s="315"/>
      <c r="EA53" s="315">
        <v>-49109</v>
      </c>
      <c r="EB53" s="315">
        <v>0</v>
      </c>
      <c r="EC53" s="315"/>
      <c r="ED53" s="315"/>
      <c r="EE53" s="315">
        <v>-2450</v>
      </c>
      <c r="EF53" s="315">
        <v>1242874</v>
      </c>
      <c r="EG53" s="315">
        <v>1242874</v>
      </c>
      <c r="EH53" s="316"/>
      <c r="EI53" s="315"/>
      <c r="EJ53" s="315"/>
      <c r="EK53" s="315">
        <v>52919</v>
      </c>
      <c r="EL53" s="315">
        <v>52919</v>
      </c>
      <c r="EM53" s="316"/>
      <c r="EN53" s="315"/>
      <c r="EO53" s="315"/>
      <c r="EP53" s="315">
        <v>18481</v>
      </c>
      <c r="EQ53" s="315">
        <v>18481</v>
      </c>
      <c r="ER53" s="316"/>
      <c r="ES53" s="315"/>
      <c r="ET53" s="315"/>
      <c r="EU53" s="315">
        <v>1184</v>
      </c>
      <c r="EV53" s="315">
        <v>1184</v>
      </c>
      <c r="EW53" s="316"/>
      <c r="EX53" s="315"/>
      <c r="EY53" s="315"/>
      <c r="EZ53" s="315">
        <v>715673</v>
      </c>
      <c r="FA53" s="315">
        <v>715673</v>
      </c>
      <c r="FB53" s="316"/>
      <c r="FC53" s="315"/>
      <c r="FD53" s="315"/>
      <c r="FE53" s="315">
        <v>326073</v>
      </c>
      <c r="FF53" s="315">
        <v>326073</v>
      </c>
      <c r="FG53" s="316"/>
      <c r="FH53" s="315"/>
      <c r="FI53" s="315"/>
      <c r="FJ53" s="315">
        <v>54091</v>
      </c>
      <c r="FK53" s="315">
        <v>54091</v>
      </c>
      <c r="FL53" s="316"/>
      <c r="FM53" s="315"/>
      <c r="FN53" s="315"/>
      <c r="FO53" s="315"/>
      <c r="FP53" s="315"/>
      <c r="FQ53" s="315">
        <v>74453</v>
      </c>
      <c r="FR53" s="315">
        <v>280882</v>
      </c>
      <c r="FS53" s="315">
        <v>-7667</v>
      </c>
      <c r="FT53" s="315">
        <v>273215</v>
      </c>
      <c r="FU53" s="315"/>
      <c r="FV53" s="315"/>
      <c r="FW53" s="315"/>
      <c r="FX53" s="315">
        <v>82176</v>
      </c>
      <c r="FY53" s="315">
        <v>57042</v>
      </c>
      <c r="FZ53" s="315"/>
      <c r="GA53" s="315"/>
      <c r="GB53" s="315"/>
      <c r="GC53" s="315">
        <v>80517</v>
      </c>
      <c r="GD53" s="315"/>
      <c r="GE53" s="315"/>
      <c r="GF53" s="315"/>
      <c r="GG53" s="315">
        <v>53480</v>
      </c>
      <c r="GH53" s="315">
        <v>1533</v>
      </c>
      <c r="GI53" s="315">
        <v>3974</v>
      </c>
      <c r="GJ53" s="315">
        <v>47973</v>
      </c>
      <c r="GL53"/>
      <c r="GM53"/>
      <c r="GN53"/>
      <c r="GO53"/>
    </row>
    <row r="54" spans="1:197">
      <c r="A54" s="98" t="s">
        <v>16</v>
      </c>
      <c r="B54" s="98">
        <v>11</v>
      </c>
      <c r="C54" s="98" t="s">
        <v>227</v>
      </c>
      <c r="D54" s="315">
        <v>8056998</v>
      </c>
      <c r="E54" s="315">
        <v>-1345580</v>
      </c>
      <c r="F54" s="315">
        <v>-10289</v>
      </c>
      <c r="G54" s="315">
        <v>6701129</v>
      </c>
      <c r="H54" s="315">
        <v>6361040</v>
      </c>
      <c r="I54" s="315">
        <v>340089</v>
      </c>
      <c r="J54" s="315">
        <v>340089</v>
      </c>
      <c r="K54" s="315"/>
      <c r="L54" s="315">
        <v>4099994</v>
      </c>
      <c r="M54" s="315">
        <v>1968517</v>
      </c>
      <c r="N54" s="315">
        <v>1637764</v>
      </c>
      <c r="O54" s="315"/>
      <c r="P54" s="315"/>
      <c r="Q54" s="315"/>
      <c r="R54" s="315">
        <v>493713</v>
      </c>
      <c r="S54" s="315">
        <v>-372108</v>
      </c>
      <c r="T54" s="315">
        <v>-323044</v>
      </c>
      <c r="U54" s="315"/>
      <c r="V54" s="315"/>
      <c r="W54" s="315">
        <v>-309383</v>
      </c>
      <c r="X54" s="315">
        <v>0</v>
      </c>
      <c r="Y54" s="315">
        <v>-13661</v>
      </c>
      <c r="Z54" s="315"/>
      <c r="AA54" s="315">
        <v>-2510</v>
      </c>
      <c r="AB54" s="315">
        <v>-46554</v>
      </c>
      <c r="AC54" s="315">
        <v>-10289</v>
      </c>
      <c r="AD54" s="315">
        <v>3717597</v>
      </c>
      <c r="AE54" s="315">
        <v>3377508</v>
      </c>
      <c r="AF54" s="315">
        <v>340089</v>
      </c>
      <c r="AG54" s="315">
        <v>340089</v>
      </c>
      <c r="AH54" s="315"/>
      <c r="AI54" s="315">
        <v>1966596</v>
      </c>
      <c r="AJ54" s="315">
        <v>846410</v>
      </c>
      <c r="AK54" s="315">
        <v>1021811</v>
      </c>
      <c r="AL54" s="315">
        <v>14941</v>
      </c>
      <c r="AM54" s="315">
        <v>424080</v>
      </c>
      <c r="AN54" s="315">
        <v>11828</v>
      </c>
      <c r="AO54" s="315"/>
      <c r="AP54" s="315"/>
      <c r="AQ54" s="315">
        <v>10662</v>
      </c>
      <c r="AR54" s="315">
        <v>1314720</v>
      </c>
      <c r="AS54" s="315"/>
      <c r="AT54" s="315"/>
      <c r="AU54" s="315">
        <v>-10289</v>
      </c>
      <c r="AV54" s="315">
        <v>407165</v>
      </c>
      <c r="AW54" s="315">
        <v>34352</v>
      </c>
      <c r="AX54" s="315">
        <v>167875</v>
      </c>
      <c r="AY54" s="315"/>
      <c r="AZ54" s="315"/>
      <c r="BA54" s="315"/>
      <c r="BB54" s="315"/>
      <c r="BC54" s="315"/>
      <c r="BD54" s="315">
        <v>204938</v>
      </c>
      <c r="BE54" s="315">
        <v>-467020</v>
      </c>
      <c r="BF54" s="315">
        <v>-443241</v>
      </c>
      <c r="BG54" s="315">
        <v>-443241</v>
      </c>
      <c r="BH54" s="315"/>
      <c r="BI54" s="315">
        <v>-408628</v>
      </c>
      <c r="BJ54" s="315">
        <v>0</v>
      </c>
      <c r="BK54" s="315">
        <v>-34613</v>
      </c>
      <c r="BL54" s="315">
        <v>-778</v>
      </c>
      <c r="BM54" s="315">
        <v>-23001</v>
      </c>
      <c r="BN54" s="315">
        <v>-59855</v>
      </c>
      <c r="BO54" s="315">
        <v>177052</v>
      </c>
      <c r="BP54" s="315">
        <v>4748</v>
      </c>
      <c r="BQ54" s="315"/>
      <c r="BR54" s="315"/>
      <c r="BS54" s="315">
        <v>33711</v>
      </c>
      <c r="BT54" s="315"/>
      <c r="BU54" s="315"/>
      <c r="BV54" s="315"/>
      <c r="BW54" s="315"/>
      <c r="BX54" s="315">
        <v>-275366</v>
      </c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>
        <v>2016364</v>
      </c>
      <c r="CJ54" s="315">
        <v>570990</v>
      </c>
      <c r="CK54" s="315">
        <v>1445374</v>
      </c>
      <c r="CL54" s="315">
        <v>1347782</v>
      </c>
      <c r="CM54" s="315">
        <v>77975</v>
      </c>
      <c r="CN54" s="315">
        <v>19617</v>
      </c>
      <c r="CO54" s="315"/>
      <c r="CP54" s="315"/>
      <c r="CQ54" s="315">
        <v>19617</v>
      </c>
      <c r="CR54" s="315">
        <v>-497775</v>
      </c>
      <c r="CS54" s="315">
        <v>-118001</v>
      </c>
      <c r="CT54" s="315">
        <v>-73870</v>
      </c>
      <c r="CU54" s="315">
        <v>0</v>
      </c>
      <c r="CV54" s="315">
        <v>-53</v>
      </c>
      <c r="CW54" s="315">
        <v>-44078</v>
      </c>
      <c r="CX54" s="315">
        <v>-379774</v>
      </c>
      <c r="CY54" s="315">
        <v>-372261</v>
      </c>
      <c r="CZ54" s="315">
        <v>-6133</v>
      </c>
      <c r="DA54" s="315">
        <v>-1380</v>
      </c>
      <c r="DB54" s="315">
        <v>0</v>
      </c>
      <c r="DC54" s="315">
        <v>0</v>
      </c>
      <c r="DD54" s="315">
        <v>1518589</v>
      </c>
      <c r="DE54" s="315">
        <v>1518589</v>
      </c>
      <c r="DF54" s="316"/>
      <c r="DG54" s="315"/>
      <c r="DH54" s="315"/>
      <c r="DI54" s="315">
        <v>1293685</v>
      </c>
      <c r="DJ54" s="315">
        <v>64838</v>
      </c>
      <c r="DK54" s="315">
        <v>21413</v>
      </c>
      <c r="DL54" s="315">
        <v>3044</v>
      </c>
      <c r="DM54" s="315">
        <v>733348</v>
      </c>
      <c r="DN54" s="315">
        <v>315023</v>
      </c>
      <c r="DO54" s="315">
        <v>64777</v>
      </c>
      <c r="DP54" s="315"/>
      <c r="DQ54" s="315"/>
      <c r="DR54" s="315">
        <v>91242</v>
      </c>
      <c r="DS54" s="315">
        <v>-4268</v>
      </c>
      <c r="DT54" s="315">
        <v>-2303</v>
      </c>
      <c r="DU54" s="315">
        <v>-131</v>
      </c>
      <c r="DV54" s="315">
        <v>-9</v>
      </c>
      <c r="DW54" s="315">
        <v>-642</v>
      </c>
      <c r="DX54" s="315"/>
      <c r="DY54" s="315"/>
      <c r="DZ54" s="315"/>
      <c r="EA54" s="315">
        <v>-3</v>
      </c>
      <c r="EB54" s="315">
        <v>0</v>
      </c>
      <c r="EC54" s="315"/>
      <c r="ED54" s="315"/>
      <c r="EE54" s="315">
        <v>-1180</v>
      </c>
      <c r="EF54" s="315">
        <v>1289417</v>
      </c>
      <c r="EG54" s="315">
        <v>1289417</v>
      </c>
      <c r="EH54" s="316"/>
      <c r="EI54" s="315"/>
      <c r="EJ54" s="315"/>
      <c r="EK54" s="315">
        <v>62535</v>
      </c>
      <c r="EL54" s="315">
        <v>62535</v>
      </c>
      <c r="EM54" s="316"/>
      <c r="EN54" s="315"/>
      <c r="EO54" s="315"/>
      <c r="EP54" s="315">
        <v>21282</v>
      </c>
      <c r="EQ54" s="315">
        <v>21282</v>
      </c>
      <c r="ER54" s="316"/>
      <c r="ES54" s="315"/>
      <c r="ET54" s="315"/>
      <c r="EU54" s="315">
        <v>3035</v>
      </c>
      <c r="EV54" s="315">
        <v>3035</v>
      </c>
      <c r="EW54" s="316"/>
      <c r="EX54" s="315"/>
      <c r="EY54" s="315"/>
      <c r="EZ54" s="315">
        <v>732706</v>
      </c>
      <c r="FA54" s="315">
        <v>732706</v>
      </c>
      <c r="FB54" s="316"/>
      <c r="FC54" s="315"/>
      <c r="FD54" s="315"/>
      <c r="FE54" s="315">
        <v>315020</v>
      </c>
      <c r="FF54" s="315">
        <v>315020</v>
      </c>
      <c r="FG54" s="316"/>
      <c r="FH54" s="315"/>
      <c r="FI54" s="315"/>
      <c r="FJ54" s="315">
        <v>64777</v>
      </c>
      <c r="FK54" s="315">
        <v>64777</v>
      </c>
      <c r="FL54" s="316"/>
      <c r="FM54" s="315"/>
      <c r="FN54" s="315"/>
      <c r="FO54" s="315"/>
      <c r="FP54" s="315"/>
      <c r="FQ54" s="315">
        <v>90062</v>
      </c>
      <c r="FR54" s="315">
        <v>239790</v>
      </c>
      <c r="FS54" s="315">
        <v>-4409</v>
      </c>
      <c r="FT54" s="315">
        <v>235381</v>
      </c>
      <c r="FU54" s="315"/>
      <c r="FV54" s="315"/>
      <c r="FW54" s="315"/>
      <c r="FX54" s="315">
        <v>72795</v>
      </c>
      <c r="FY54" s="315">
        <v>62481</v>
      </c>
      <c r="FZ54" s="315"/>
      <c r="GA54" s="315"/>
      <c r="GB54" s="315"/>
      <c r="GC54" s="315">
        <v>51711</v>
      </c>
      <c r="GD54" s="315"/>
      <c r="GE54" s="315"/>
      <c r="GF54" s="315"/>
      <c r="GG54" s="315">
        <v>48394</v>
      </c>
      <c r="GH54" s="315">
        <v>4309</v>
      </c>
      <c r="GI54" s="315">
        <v>3402</v>
      </c>
      <c r="GJ54" s="315">
        <v>40683</v>
      </c>
      <c r="GL54"/>
      <c r="GM54"/>
      <c r="GN54"/>
      <c r="GO54"/>
    </row>
    <row r="55" spans="1:197">
      <c r="A55" s="98" t="s">
        <v>16</v>
      </c>
      <c r="B55" s="98">
        <v>12</v>
      </c>
      <c r="C55" s="98" t="s">
        <v>228</v>
      </c>
      <c r="D55" s="315">
        <v>7861795</v>
      </c>
      <c r="E55" s="315">
        <v>-3437237</v>
      </c>
      <c r="F55" s="315">
        <v>-10287</v>
      </c>
      <c r="G55" s="315">
        <v>4414271</v>
      </c>
      <c r="H55" s="315">
        <v>4074191</v>
      </c>
      <c r="I55" s="315">
        <v>340080</v>
      </c>
      <c r="J55" s="315">
        <v>340080</v>
      </c>
      <c r="K55" s="315"/>
      <c r="L55" s="315">
        <v>2249299</v>
      </c>
      <c r="M55" s="315">
        <v>1871067</v>
      </c>
      <c r="N55" s="315">
        <v>101009</v>
      </c>
      <c r="O55" s="315"/>
      <c r="P55" s="315"/>
      <c r="Q55" s="315"/>
      <c r="R55" s="315">
        <v>277223</v>
      </c>
      <c r="S55" s="315">
        <v>-713779</v>
      </c>
      <c r="T55" s="315">
        <v>-398128</v>
      </c>
      <c r="U55" s="315"/>
      <c r="V55" s="315"/>
      <c r="W55" s="315">
        <v>-343094</v>
      </c>
      <c r="X55" s="315">
        <v>0</v>
      </c>
      <c r="Y55" s="315">
        <v>-55034</v>
      </c>
      <c r="Z55" s="315"/>
      <c r="AA55" s="315">
        <v>-169034</v>
      </c>
      <c r="AB55" s="315">
        <v>-146617</v>
      </c>
      <c r="AC55" s="315">
        <v>-10287</v>
      </c>
      <c r="AD55" s="315">
        <v>1525233</v>
      </c>
      <c r="AE55" s="315">
        <v>1185153</v>
      </c>
      <c r="AF55" s="315">
        <v>340080</v>
      </c>
      <c r="AG55" s="315">
        <v>340080</v>
      </c>
      <c r="AH55" s="315"/>
      <c r="AI55" s="315">
        <v>1804536</v>
      </c>
      <c r="AJ55" s="315">
        <v>632043</v>
      </c>
      <c r="AK55" s="315">
        <v>1004231</v>
      </c>
      <c r="AL55" s="315">
        <v>5650</v>
      </c>
      <c r="AM55" s="315">
        <v>11014</v>
      </c>
      <c r="AN55" s="315">
        <v>10399</v>
      </c>
      <c r="AO55" s="315"/>
      <c r="AP55" s="315"/>
      <c r="AQ55" s="315">
        <v>6690</v>
      </c>
      <c r="AR55" s="315">
        <v>-297119</v>
      </c>
      <c r="AS55" s="315"/>
      <c r="AT55" s="315"/>
      <c r="AU55" s="315">
        <v>-10287</v>
      </c>
      <c r="AV55" s="315">
        <v>1910012</v>
      </c>
      <c r="AW55" s="315">
        <v>1677780</v>
      </c>
      <c r="AX55" s="315">
        <v>120050</v>
      </c>
      <c r="AY55" s="315"/>
      <c r="AZ55" s="315"/>
      <c r="BA55" s="315"/>
      <c r="BB55" s="315"/>
      <c r="BC55" s="315"/>
      <c r="BD55" s="315">
        <v>112182</v>
      </c>
      <c r="BE55" s="315">
        <v>-1206987</v>
      </c>
      <c r="BF55" s="315">
        <v>-1088659</v>
      </c>
      <c r="BG55" s="315">
        <v>-1088659</v>
      </c>
      <c r="BH55" s="315"/>
      <c r="BI55" s="315">
        <v>-1029660</v>
      </c>
      <c r="BJ55" s="315">
        <v>0</v>
      </c>
      <c r="BK55" s="315">
        <v>-58999</v>
      </c>
      <c r="BL55" s="315">
        <v>-45533</v>
      </c>
      <c r="BM55" s="315">
        <v>-72795</v>
      </c>
      <c r="BN55" s="315">
        <v>703025</v>
      </c>
      <c r="BO55" s="315">
        <v>-7631</v>
      </c>
      <c r="BP55" s="315">
        <v>4428</v>
      </c>
      <c r="BQ55" s="315"/>
      <c r="BR55" s="315"/>
      <c r="BS55" s="315">
        <v>1674837</v>
      </c>
      <c r="BT55" s="315"/>
      <c r="BU55" s="315"/>
      <c r="BV55" s="315"/>
      <c r="BW55" s="315"/>
      <c r="BX55" s="315">
        <v>-968609</v>
      </c>
      <c r="BY55" s="315"/>
      <c r="BZ55" s="315"/>
      <c r="CA55" s="315"/>
      <c r="CB55" s="315"/>
      <c r="CC55" s="315"/>
      <c r="CD55" s="315"/>
      <c r="CE55" s="315"/>
      <c r="CF55" s="315"/>
      <c r="CG55" s="315"/>
      <c r="CH55" s="315"/>
      <c r="CI55" s="315">
        <v>2081010</v>
      </c>
      <c r="CJ55" s="315">
        <v>633400</v>
      </c>
      <c r="CK55" s="315">
        <v>1447610</v>
      </c>
      <c r="CL55" s="315">
        <v>1363264</v>
      </c>
      <c r="CM55" s="315">
        <v>64371</v>
      </c>
      <c r="CN55" s="315">
        <v>19975</v>
      </c>
      <c r="CO55" s="315"/>
      <c r="CP55" s="315"/>
      <c r="CQ55" s="315">
        <v>19975</v>
      </c>
      <c r="CR55" s="315">
        <v>-1337873</v>
      </c>
      <c r="CS55" s="315">
        <v>-402506</v>
      </c>
      <c r="CT55" s="315">
        <v>-194199</v>
      </c>
      <c r="CU55" s="315">
        <v>0</v>
      </c>
      <c r="CV55" s="315">
        <v>-19728</v>
      </c>
      <c r="CW55" s="315">
        <v>-188579</v>
      </c>
      <c r="CX55" s="315">
        <v>-669996</v>
      </c>
      <c r="CY55" s="315">
        <v>-646894</v>
      </c>
      <c r="CZ55" s="315">
        <v>-20000</v>
      </c>
      <c r="DA55" s="315">
        <v>-3102</v>
      </c>
      <c r="DB55" s="315">
        <v>-217278</v>
      </c>
      <c r="DC55" s="315">
        <v>-48093</v>
      </c>
      <c r="DD55" s="315">
        <v>743137</v>
      </c>
      <c r="DE55" s="315">
        <v>743137</v>
      </c>
      <c r="DF55" s="316"/>
      <c r="DG55" s="315"/>
      <c r="DH55" s="315"/>
      <c r="DI55" s="315">
        <v>1322570</v>
      </c>
      <c r="DJ55" s="315">
        <v>94899</v>
      </c>
      <c r="DK55" s="315">
        <v>20295</v>
      </c>
      <c r="DL55" s="315">
        <v>1440</v>
      </c>
      <c r="DM55" s="315">
        <v>764748</v>
      </c>
      <c r="DN55" s="315">
        <v>291778</v>
      </c>
      <c r="DO55" s="315">
        <v>49788</v>
      </c>
      <c r="DP55" s="315"/>
      <c r="DQ55" s="315"/>
      <c r="DR55" s="315">
        <v>99622</v>
      </c>
      <c r="DS55" s="315">
        <v>-153284</v>
      </c>
      <c r="DT55" s="315">
        <v>-44061</v>
      </c>
      <c r="DU55" s="315">
        <v>-4694</v>
      </c>
      <c r="DV55" s="315">
        <v>-296</v>
      </c>
      <c r="DW55" s="315">
        <v>-20572</v>
      </c>
      <c r="DX55" s="315"/>
      <c r="DY55" s="315"/>
      <c r="DZ55" s="315"/>
      <c r="EA55" s="315">
        <v>-71434</v>
      </c>
      <c r="EB55" s="315">
        <v>-2646</v>
      </c>
      <c r="EC55" s="315"/>
      <c r="ED55" s="315"/>
      <c r="EE55" s="315">
        <v>-9581</v>
      </c>
      <c r="EF55" s="315">
        <v>1169286</v>
      </c>
      <c r="EG55" s="315">
        <v>1169286</v>
      </c>
      <c r="EH55" s="316"/>
      <c r="EI55" s="315"/>
      <c r="EJ55" s="315"/>
      <c r="EK55" s="315">
        <v>50838</v>
      </c>
      <c r="EL55" s="315">
        <v>50838</v>
      </c>
      <c r="EM55" s="316"/>
      <c r="EN55" s="315"/>
      <c r="EO55" s="315"/>
      <c r="EP55" s="315">
        <v>15601</v>
      </c>
      <c r="EQ55" s="315">
        <v>15601</v>
      </c>
      <c r="ER55" s="316"/>
      <c r="ES55" s="315"/>
      <c r="ET55" s="315"/>
      <c r="EU55" s="315">
        <v>1144</v>
      </c>
      <c r="EV55" s="315">
        <v>1144</v>
      </c>
      <c r="EW55" s="316"/>
      <c r="EX55" s="315"/>
      <c r="EY55" s="315"/>
      <c r="EZ55" s="315">
        <v>744176</v>
      </c>
      <c r="FA55" s="315">
        <v>744176</v>
      </c>
      <c r="FB55" s="316"/>
      <c r="FC55" s="315"/>
      <c r="FD55" s="315"/>
      <c r="FE55" s="315">
        <v>220344</v>
      </c>
      <c r="FF55" s="315">
        <v>220344</v>
      </c>
      <c r="FG55" s="316"/>
      <c r="FH55" s="315"/>
      <c r="FI55" s="315"/>
      <c r="FJ55" s="315">
        <v>47142</v>
      </c>
      <c r="FK55" s="315">
        <v>47142</v>
      </c>
      <c r="FL55" s="316"/>
      <c r="FM55" s="315"/>
      <c r="FN55" s="315"/>
      <c r="FO55" s="315"/>
      <c r="FP55" s="315"/>
      <c r="FQ55" s="315">
        <v>90041</v>
      </c>
      <c r="FR55" s="315">
        <v>298904</v>
      </c>
      <c r="FS55" s="315">
        <v>-25314</v>
      </c>
      <c r="FT55" s="315">
        <v>273590</v>
      </c>
      <c r="FU55" s="315"/>
      <c r="FV55" s="315"/>
      <c r="FW55" s="315"/>
      <c r="FX55" s="315">
        <v>71868</v>
      </c>
      <c r="FY55" s="315">
        <v>52169</v>
      </c>
      <c r="FZ55" s="315"/>
      <c r="GA55" s="315"/>
      <c r="GB55" s="315"/>
      <c r="GC55" s="315">
        <v>58330</v>
      </c>
      <c r="GD55" s="315"/>
      <c r="GE55" s="315"/>
      <c r="GF55" s="315"/>
      <c r="GG55" s="315">
        <v>91223</v>
      </c>
      <c r="GH55" s="315">
        <v>10208</v>
      </c>
      <c r="GI55" s="315">
        <v>17608</v>
      </c>
      <c r="GJ55" s="315">
        <v>63407</v>
      </c>
      <c r="GL55"/>
      <c r="GM55"/>
      <c r="GN55"/>
      <c r="GO55"/>
    </row>
    <row r="56" spans="1:197">
      <c r="A56" s="96" t="s">
        <v>17</v>
      </c>
      <c r="B56" s="96">
        <v>1</v>
      </c>
      <c r="C56" s="97" t="s">
        <v>217</v>
      </c>
      <c r="D56" s="314">
        <v>8588476</v>
      </c>
      <c r="E56" s="314">
        <v>-438140</v>
      </c>
      <c r="F56" s="314">
        <v>-10276</v>
      </c>
      <c r="G56" s="314">
        <v>8140060</v>
      </c>
      <c r="H56" s="314">
        <v>7799971</v>
      </c>
      <c r="I56" s="314">
        <v>340089</v>
      </c>
      <c r="J56" s="314">
        <v>340089</v>
      </c>
      <c r="K56" s="314"/>
      <c r="L56" s="314">
        <v>5808727</v>
      </c>
      <c r="M56" s="314">
        <v>4831619</v>
      </c>
      <c r="N56" s="314">
        <v>39228</v>
      </c>
      <c r="O56" s="314"/>
      <c r="P56" s="314"/>
      <c r="Q56" s="314"/>
      <c r="R56" s="314">
        <v>937880</v>
      </c>
      <c r="S56" s="314">
        <v>-129626</v>
      </c>
      <c r="T56" s="314">
        <v>-47859</v>
      </c>
      <c r="U56" s="314"/>
      <c r="V56" s="314"/>
      <c r="W56" s="314">
        <v>0</v>
      </c>
      <c r="X56" s="314">
        <v>-39210</v>
      </c>
      <c r="Y56" s="314">
        <v>-8649</v>
      </c>
      <c r="Z56" s="314"/>
      <c r="AA56" s="314">
        <v>-35014</v>
      </c>
      <c r="AB56" s="314">
        <v>-46753</v>
      </c>
      <c r="AC56" s="314">
        <v>-10276</v>
      </c>
      <c r="AD56" s="314">
        <v>5668825</v>
      </c>
      <c r="AE56" s="314">
        <v>5328736</v>
      </c>
      <c r="AF56" s="314">
        <v>340089</v>
      </c>
      <c r="AG56" s="314">
        <v>340089</v>
      </c>
      <c r="AH56" s="314"/>
      <c r="AI56" s="314">
        <v>4830328</v>
      </c>
      <c r="AJ56" s="314">
        <v>318651</v>
      </c>
      <c r="AK56" s="314">
        <v>1644910</v>
      </c>
      <c r="AL56" s="314">
        <v>2832582</v>
      </c>
      <c r="AM56" s="314">
        <v>497902</v>
      </c>
      <c r="AN56" s="314">
        <v>164353</v>
      </c>
      <c r="AO56" s="314"/>
      <c r="AP56" s="314"/>
      <c r="AQ56" s="314">
        <v>195149</v>
      </c>
      <c r="AR56" s="314">
        <v>-8631</v>
      </c>
      <c r="AS56" s="314"/>
      <c r="AT56" s="314"/>
      <c r="AU56" s="314">
        <v>-10276</v>
      </c>
      <c r="AV56" s="314">
        <v>479017</v>
      </c>
      <c r="AW56" s="314">
        <v>20122</v>
      </c>
      <c r="AX56" s="314">
        <v>141869</v>
      </c>
      <c r="AY56" s="314"/>
      <c r="AZ56" s="314"/>
      <c r="BA56" s="314"/>
      <c r="BB56" s="314"/>
      <c r="BC56" s="314"/>
      <c r="BD56" s="314">
        <v>317026</v>
      </c>
      <c r="BE56" s="314">
        <v>-87673</v>
      </c>
      <c r="BF56" s="314">
        <v>-50461</v>
      </c>
      <c r="BG56" s="314">
        <v>-50461</v>
      </c>
      <c r="BH56" s="314"/>
      <c r="BI56" s="314">
        <v>0</v>
      </c>
      <c r="BJ56" s="314">
        <v>-37335</v>
      </c>
      <c r="BK56" s="314">
        <v>-13126</v>
      </c>
      <c r="BL56" s="314">
        <v>-14578</v>
      </c>
      <c r="BM56" s="314">
        <v>-22634</v>
      </c>
      <c r="BN56" s="314">
        <v>391344</v>
      </c>
      <c r="BO56" s="314">
        <v>209591</v>
      </c>
      <c r="BP56" s="314">
        <v>70409</v>
      </c>
      <c r="BQ56" s="314"/>
      <c r="BR56" s="314"/>
      <c r="BS56" s="314">
        <v>19936</v>
      </c>
      <c r="BT56" s="314"/>
      <c r="BU56" s="314"/>
      <c r="BV56" s="314"/>
      <c r="BW56" s="314"/>
      <c r="BX56" s="314">
        <v>91408</v>
      </c>
      <c r="BY56" s="314"/>
      <c r="BZ56" s="314"/>
      <c r="CA56" s="314"/>
      <c r="CB56" s="314"/>
      <c r="CC56" s="314"/>
      <c r="CD56" s="314"/>
      <c r="CE56" s="314"/>
      <c r="CF56" s="314"/>
      <c r="CG56" s="314"/>
      <c r="CH56" s="314"/>
      <c r="CI56" s="314">
        <v>596835</v>
      </c>
      <c r="CJ56" s="314">
        <v>303379</v>
      </c>
      <c r="CK56" s="314">
        <v>293456</v>
      </c>
      <c r="CL56" s="314">
        <v>47162</v>
      </c>
      <c r="CM56" s="314">
        <v>230795</v>
      </c>
      <c r="CN56" s="314">
        <v>15499</v>
      </c>
      <c r="CO56" s="314"/>
      <c r="CP56" s="314"/>
      <c r="CQ56" s="314">
        <v>15499</v>
      </c>
      <c r="CR56" s="314">
        <v>-208767</v>
      </c>
      <c r="CS56" s="314">
        <v>-38482</v>
      </c>
      <c r="CT56" s="314">
        <v>0</v>
      </c>
      <c r="CU56" s="314">
        <v>-14827</v>
      </c>
      <c r="CV56" s="314">
        <v>-6</v>
      </c>
      <c r="CW56" s="314">
        <v>-23649</v>
      </c>
      <c r="CX56" s="314">
        <v>-170285</v>
      </c>
      <c r="CY56" s="314">
        <v>0</v>
      </c>
      <c r="CZ56" s="314">
        <v>-168716</v>
      </c>
      <c r="DA56" s="314">
        <v>-1569</v>
      </c>
      <c r="DB56" s="314">
        <v>0</v>
      </c>
      <c r="DC56" s="314">
        <v>0</v>
      </c>
      <c r="DD56" s="314">
        <v>388068</v>
      </c>
      <c r="DE56" s="314">
        <v>388068</v>
      </c>
      <c r="DF56" s="271"/>
      <c r="DG56" s="314"/>
      <c r="DH56" s="314"/>
      <c r="DI56" s="314">
        <v>1432700</v>
      </c>
      <c r="DJ56" s="314">
        <v>54505</v>
      </c>
      <c r="DK56" s="314">
        <v>14184</v>
      </c>
      <c r="DL56" s="314">
        <v>1245</v>
      </c>
      <c r="DM56" s="314">
        <v>752199</v>
      </c>
      <c r="DN56" s="314">
        <v>479159</v>
      </c>
      <c r="DO56" s="314">
        <v>53562</v>
      </c>
      <c r="DP56" s="314"/>
      <c r="DQ56" s="314"/>
      <c r="DR56" s="314">
        <v>77846</v>
      </c>
      <c r="DS56" s="314">
        <v>-6150</v>
      </c>
      <c r="DT56" s="314">
        <v>-1357</v>
      </c>
      <c r="DU56" s="314">
        <v>-66</v>
      </c>
      <c r="DV56" s="314">
        <v>-7</v>
      </c>
      <c r="DW56" s="314">
        <v>-321</v>
      </c>
      <c r="DX56" s="314"/>
      <c r="DY56" s="314"/>
      <c r="DZ56" s="314"/>
      <c r="EA56" s="314">
        <v>-2184</v>
      </c>
      <c r="EB56" s="314">
        <v>0</v>
      </c>
      <c r="EC56" s="314"/>
      <c r="ED56" s="314"/>
      <c r="EE56" s="314">
        <v>-2215</v>
      </c>
      <c r="EF56" s="314">
        <v>1426550</v>
      </c>
      <c r="EG56" s="314">
        <v>1426550</v>
      </c>
      <c r="EH56" s="271"/>
      <c r="EI56" s="314"/>
      <c r="EJ56" s="314"/>
      <c r="EK56" s="314">
        <v>53148</v>
      </c>
      <c r="EL56" s="314">
        <v>53148</v>
      </c>
      <c r="EM56" s="271"/>
      <c r="EN56" s="314"/>
      <c r="EO56" s="314"/>
      <c r="EP56" s="314">
        <v>14118</v>
      </c>
      <c r="EQ56" s="314">
        <v>14118</v>
      </c>
      <c r="ER56" s="271"/>
      <c r="ES56" s="314"/>
      <c r="ET56" s="314"/>
      <c r="EU56" s="314">
        <v>1238</v>
      </c>
      <c r="EV56" s="314">
        <v>1238</v>
      </c>
      <c r="EW56" s="271"/>
      <c r="EX56" s="314"/>
      <c r="EY56" s="314"/>
      <c r="EZ56" s="314">
        <v>751878</v>
      </c>
      <c r="FA56" s="314">
        <v>751878</v>
      </c>
      <c r="FB56" s="271"/>
      <c r="FC56" s="314"/>
      <c r="FD56" s="314"/>
      <c r="FE56" s="314">
        <v>476975</v>
      </c>
      <c r="FF56" s="314">
        <v>476975</v>
      </c>
      <c r="FG56" s="271"/>
      <c r="FH56" s="314"/>
      <c r="FI56" s="314"/>
      <c r="FJ56" s="314">
        <v>53562</v>
      </c>
      <c r="FK56" s="314">
        <v>53562</v>
      </c>
      <c r="FL56" s="271"/>
      <c r="FM56" s="314"/>
      <c r="FN56" s="314"/>
      <c r="FO56" s="314"/>
      <c r="FP56" s="314"/>
      <c r="FQ56" s="314">
        <v>75631</v>
      </c>
      <c r="FR56" s="314">
        <v>271197</v>
      </c>
      <c r="FS56" s="314">
        <v>-5924</v>
      </c>
      <c r="FT56" s="314">
        <v>265273</v>
      </c>
      <c r="FU56" s="314"/>
      <c r="FV56" s="314"/>
      <c r="FW56" s="314"/>
      <c r="FX56" s="314">
        <v>64350</v>
      </c>
      <c r="FY56" s="314">
        <v>68281</v>
      </c>
      <c r="FZ56" s="314"/>
      <c r="GA56" s="314"/>
      <c r="GB56" s="314"/>
      <c r="GC56" s="314">
        <v>94942</v>
      </c>
      <c r="GD56" s="314"/>
      <c r="GE56" s="314"/>
      <c r="GF56" s="314"/>
      <c r="GG56" s="314">
        <v>37700</v>
      </c>
      <c r="GH56" s="314">
        <v>1279</v>
      </c>
      <c r="GI56" s="314">
        <v>3528</v>
      </c>
      <c r="GJ56" s="314">
        <v>32893</v>
      </c>
      <c r="GL56"/>
      <c r="GM56"/>
      <c r="GN56"/>
      <c r="GO56"/>
    </row>
    <row r="57" spans="1:197">
      <c r="A57" s="98" t="s">
        <v>17</v>
      </c>
      <c r="B57" s="98">
        <v>2</v>
      </c>
      <c r="C57" s="98" t="s">
        <v>218</v>
      </c>
      <c r="D57" s="315">
        <v>12714850</v>
      </c>
      <c r="E57" s="315">
        <v>-484956</v>
      </c>
      <c r="F57" s="315">
        <v>-10477</v>
      </c>
      <c r="G57" s="315">
        <v>12219417</v>
      </c>
      <c r="H57" s="315">
        <v>11848713</v>
      </c>
      <c r="I57" s="315">
        <v>370704</v>
      </c>
      <c r="J57" s="315">
        <v>370704</v>
      </c>
      <c r="K57" s="315"/>
      <c r="L57" s="315">
        <v>3435291</v>
      </c>
      <c r="M57" s="315">
        <v>2231067</v>
      </c>
      <c r="N57" s="315">
        <v>43020</v>
      </c>
      <c r="O57" s="315"/>
      <c r="P57" s="315"/>
      <c r="Q57" s="315"/>
      <c r="R57" s="315">
        <v>1161204</v>
      </c>
      <c r="S57" s="315">
        <v>-65710</v>
      </c>
      <c r="T57" s="315">
        <v>-38290</v>
      </c>
      <c r="U57" s="315"/>
      <c r="V57" s="315"/>
      <c r="W57" s="315">
        <v>0</v>
      </c>
      <c r="X57" s="315">
        <v>-26336</v>
      </c>
      <c r="Y57" s="315">
        <v>-11954</v>
      </c>
      <c r="Z57" s="315"/>
      <c r="AA57" s="315">
        <v>-3193</v>
      </c>
      <c r="AB57" s="315">
        <v>-24227</v>
      </c>
      <c r="AC57" s="315">
        <v>-10477</v>
      </c>
      <c r="AD57" s="315">
        <v>3359104</v>
      </c>
      <c r="AE57" s="315">
        <v>2988400</v>
      </c>
      <c r="AF57" s="315">
        <v>370704</v>
      </c>
      <c r="AG57" s="315">
        <v>370704</v>
      </c>
      <c r="AH57" s="315"/>
      <c r="AI57" s="315">
        <v>2229154</v>
      </c>
      <c r="AJ57" s="315">
        <v>1140489</v>
      </c>
      <c r="AK57" s="315">
        <v>1007116</v>
      </c>
      <c r="AL57" s="315">
        <v>40472</v>
      </c>
      <c r="AM57" s="315">
        <v>679048</v>
      </c>
      <c r="AN57" s="315">
        <v>16714</v>
      </c>
      <c r="AO57" s="315"/>
      <c r="AP57" s="315"/>
      <c r="AQ57" s="315">
        <v>439935</v>
      </c>
      <c r="AR57" s="315">
        <v>4730</v>
      </c>
      <c r="AS57" s="315"/>
      <c r="AT57" s="315"/>
      <c r="AU57" s="315">
        <v>-10477</v>
      </c>
      <c r="AV57" s="315">
        <v>453880</v>
      </c>
      <c r="AW57" s="315">
        <v>10091</v>
      </c>
      <c r="AX57" s="315">
        <v>136171</v>
      </c>
      <c r="AY57" s="315"/>
      <c r="AZ57" s="315"/>
      <c r="BA57" s="315"/>
      <c r="BB57" s="315"/>
      <c r="BC57" s="315"/>
      <c r="BD57" s="315">
        <v>307618</v>
      </c>
      <c r="BE57" s="315">
        <v>-77310</v>
      </c>
      <c r="BF57" s="315">
        <v>-64248</v>
      </c>
      <c r="BG57" s="315">
        <v>-64248</v>
      </c>
      <c r="BH57" s="315"/>
      <c r="BI57" s="315">
        <v>0</v>
      </c>
      <c r="BJ57" s="315">
        <v>-34660</v>
      </c>
      <c r="BK57" s="315">
        <v>-29588</v>
      </c>
      <c r="BL57" s="315">
        <v>-982</v>
      </c>
      <c r="BM57" s="315">
        <v>-12080</v>
      </c>
      <c r="BN57" s="315">
        <v>376570</v>
      </c>
      <c r="BO57" s="315">
        <v>288486</v>
      </c>
      <c r="BP57" s="315">
        <v>6575</v>
      </c>
      <c r="BQ57" s="315"/>
      <c r="BR57" s="315"/>
      <c r="BS57" s="315">
        <v>9586</v>
      </c>
      <c r="BT57" s="315"/>
      <c r="BU57" s="315"/>
      <c r="BV57" s="315"/>
      <c r="BW57" s="315"/>
      <c r="BX57" s="315">
        <v>71923</v>
      </c>
      <c r="BY57" s="315"/>
      <c r="BZ57" s="315"/>
      <c r="CA57" s="315">
        <v>23638</v>
      </c>
      <c r="CB57" s="315">
        <v>0</v>
      </c>
      <c r="CC57" s="315">
        <v>0</v>
      </c>
      <c r="CD57" s="315">
        <v>0</v>
      </c>
      <c r="CE57" s="315">
        <v>23638</v>
      </c>
      <c r="CF57" s="315"/>
      <c r="CG57" s="315"/>
      <c r="CH57" s="315"/>
      <c r="CI57" s="315">
        <v>7568586</v>
      </c>
      <c r="CJ57" s="315">
        <v>763879</v>
      </c>
      <c r="CK57" s="315">
        <v>6804707</v>
      </c>
      <c r="CL57" s="315">
        <v>2720421</v>
      </c>
      <c r="CM57" s="315">
        <v>4064092</v>
      </c>
      <c r="CN57" s="315">
        <v>20194</v>
      </c>
      <c r="CO57" s="315"/>
      <c r="CP57" s="315"/>
      <c r="CQ57" s="315">
        <v>20194</v>
      </c>
      <c r="CR57" s="315">
        <v>-328830</v>
      </c>
      <c r="CS57" s="315">
        <v>-52959</v>
      </c>
      <c r="CT57" s="315">
        <v>-120</v>
      </c>
      <c r="CU57" s="315">
        <v>-19461</v>
      </c>
      <c r="CV57" s="315">
        <v>-17</v>
      </c>
      <c r="CW57" s="315">
        <v>-33361</v>
      </c>
      <c r="CX57" s="315">
        <v>-275871</v>
      </c>
      <c r="CY57" s="315">
        <v>-79430</v>
      </c>
      <c r="CZ57" s="315">
        <v>-194488</v>
      </c>
      <c r="DA57" s="315">
        <v>-1953</v>
      </c>
      <c r="DB57" s="315">
        <v>0</v>
      </c>
      <c r="DC57" s="315">
        <v>0</v>
      </c>
      <c r="DD57" s="315">
        <v>7239756</v>
      </c>
      <c r="DE57" s="315">
        <v>7239756</v>
      </c>
      <c r="DF57" s="316"/>
      <c r="DG57" s="315"/>
      <c r="DH57" s="315"/>
      <c r="DI57" s="315">
        <v>1036472</v>
      </c>
      <c r="DJ57" s="315">
        <v>91906</v>
      </c>
      <c r="DK57" s="315">
        <v>14380</v>
      </c>
      <c r="DL57" s="315">
        <v>3012</v>
      </c>
      <c r="DM57" s="315">
        <v>647127</v>
      </c>
      <c r="DN57" s="315">
        <v>135654</v>
      </c>
      <c r="DO57" s="315">
        <v>53358</v>
      </c>
      <c r="DP57" s="315"/>
      <c r="DQ57" s="315"/>
      <c r="DR57" s="315">
        <v>91035</v>
      </c>
      <c r="DS57" s="315">
        <v>-5436</v>
      </c>
      <c r="DT57" s="315">
        <v>-3738</v>
      </c>
      <c r="DU57" s="315">
        <v>-112</v>
      </c>
      <c r="DV57" s="315">
        <v>-1</v>
      </c>
      <c r="DW57" s="315">
        <v>-714</v>
      </c>
      <c r="DX57" s="315"/>
      <c r="DY57" s="315"/>
      <c r="DZ57" s="315"/>
      <c r="EA57" s="315">
        <v>-6</v>
      </c>
      <c r="EB57" s="315">
        <v>0</v>
      </c>
      <c r="EC57" s="315"/>
      <c r="ED57" s="315"/>
      <c r="EE57" s="315">
        <v>-865</v>
      </c>
      <c r="EF57" s="315">
        <v>1031036</v>
      </c>
      <c r="EG57" s="315">
        <v>1031036</v>
      </c>
      <c r="EH57" s="316"/>
      <c r="EI57" s="315"/>
      <c r="EJ57" s="315"/>
      <c r="EK57" s="315">
        <v>88168</v>
      </c>
      <c r="EL57" s="315">
        <v>88168</v>
      </c>
      <c r="EM57" s="316"/>
      <c r="EN57" s="315"/>
      <c r="EO57" s="315"/>
      <c r="EP57" s="315">
        <v>14268</v>
      </c>
      <c r="EQ57" s="315">
        <v>14268</v>
      </c>
      <c r="ER57" s="316"/>
      <c r="ES57" s="315"/>
      <c r="ET57" s="315"/>
      <c r="EU57" s="315">
        <v>3011</v>
      </c>
      <c r="EV57" s="315">
        <v>3011</v>
      </c>
      <c r="EW57" s="316"/>
      <c r="EX57" s="315"/>
      <c r="EY57" s="315"/>
      <c r="EZ57" s="315">
        <v>646413</v>
      </c>
      <c r="FA57" s="315">
        <v>646413</v>
      </c>
      <c r="FB57" s="316"/>
      <c r="FC57" s="315"/>
      <c r="FD57" s="315"/>
      <c r="FE57" s="315">
        <v>135648</v>
      </c>
      <c r="FF57" s="315">
        <v>135648</v>
      </c>
      <c r="FG57" s="316"/>
      <c r="FH57" s="315"/>
      <c r="FI57" s="315"/>
      <c r="FJ57" s="315">
        <v>53358</v>
      </c>
      <c r="FK57" s="315">
        <v>53358</v>
      </c>
      <c r="FL57" s="316"/>
      <c r="FM57" s="315"/>
      <c r="FN57" s="315"/>
      <c r="FO57" s="315"/>
      <c r="FP57" s="315"/>
      <c r="FQ57" s="315">
        <v>90170</v>
      </c>
      <c r="FR57" s="315">
        <v>196983</v>
      </c>
      <c r="FS57" s="315">
        <v>-7670</v>
      </c>
      <c r="FT57" s="315">
        <v>189313</v>
      </c>
      <c r="FU57" s="315"/>
      <c r="FV57" s="315"/>
      <c r="FW57" s="315"/>
      <c r="FX57" s="315">
        <v>61952</v>
      </c>
      <c r="FY57" s="315">
        <v>52492</v>
      </c>
      <c r="FZ57" s="315"/>
      <c r="GA57" s="315"/>
      <c r="GB57" s="315"/>
      <c r="GC57" s="315">
        <v>36830</v>
      </c>
      <c r="GD57" s="315"/>
      <c r="GE57" s="315"/>
      <c r="GF57" s="315"/>
      <c r="GG57" s="315">
        <v>38039</v>
      </c>
      <c r="GH57" s="315">
        <v>1677</v>
      </c>
      <c r="GI57" s="315">
        <v>3661</v>
      </c>
      <c r="GJ57" s="315">
        <v>32701</v>
      </c>
      <c r="GL57"/>
      <c r="GM57"/>
      <c r="GN57"/>
      <c r="GO57"/>
    </row>
    <row r="58" spans="1:197">
      <c r="A58" s="98" t="s">
        <v>17</v>
      </c>
      <c r="B58" s="98">
        <v>3</v>
      </c>
      <c r="C58" s="98" t="s">
        <v>219</v>
      </c>
      <c r="D58" s="315">
        <v>6242608</v>
      </c>
      <c r="E58" s="315">
        <v>-1312697</v>
      </c>
      <c r="F58" s="315">
        <v>-10471</v>
      </c>
      <c r="G58" s="315">
        <v>4919440</v>
      </c>
      <c r="H58" s="315">
        <v>4548736</v>
      </c>
      <c r="I58" s="315">
        <v>370704</v>
      </c>
      <c r="J58" s="315">
        <v>370704</v>
      </c>
      <c r="K58" s="315"/>
      <c r="L58" s="315">
        <v>2529938</v>
      </c>
      <c r="M58" s="315">
        <v>1960852</v>
      </c>
      <c r="N58" s="315">
        <v>45388</v>
      </c>
      <c r="O58" s="315"/>
      <c r="P58" s="315"/>
      <c r="Q58" s="315"/>
      <c r="R58" s="315">
        <v>523698</v>
      </c>
      <c r="S58" s="315">
        <v>-341652</v>
      </c>
      <c r="T58" s="315">
        <v>-23728</v>
      </c>
      <c r="U58" s="315"/>
      <c r="V58" s="315"/>
      <c r="W58" s="315">
        <v>0</v>
      </c>
      <c r="X58" s="315">
        <v>-16606</v>
      </c>
      <c r="Y58" s="315">
        <v>-7122</v>
      </c>
      <c r="Z58" s="315"/>
      <c r="AA58" s="315">
        <v>-4490</v>
      </c>
      <c r="AB58" s="315">
        <v>-313434</v>
      </c>
      <c r="AC58" s="315">
        <v>-10471</v>
      </c>
      <c r="AD58" s="315">
        <v>2177815</v>
      </c>
      <c r="AE58" s="315">
        <v>1807111</v>
      </c>
      <c r="AF58" s="315">
        <v>370704</v>
      </c>
      <c r="AG58" s="315">
        <v>370704</v>
      </c>
      <c r="AH58" s="315"/>
      <c r="AI58" s="315">
        <v>1956968</v>
      </c>
      <c r="AJ58" s="315">
        <v>854999</v>
      </c>
      <c r="AK58" s="315">
        <v>1031818</v>
      </c>
      <c r="AL58" s="315">
        <v>13565</v>
      </c>
      <c r="AM58" s="315">
        <v>141094</v>
      </c>
      <c r="AN58" s="315">
        <v>17117</v>
      </c>
      <c r="AO58" s="315">
        <v>43213</v>
      </c>
      <c r="AP58" s="315"/>
      <c r="AQ58" s="315">
        <v>8234</v>
      </c>
      <c r="AR58" s="315">
        <v>21660</v>
      </c>
      <c r="AS58" s="315"/>
      <c r="AT58" s="315"/>
      <c r="AU58" s="315">
        <v>-10471</v>
      </c>
      <c r="AV58" s="315">
        <v>306026</v>
      </c>
      <c r="AW58" s="315">
        <v>23850</v>
      </c>
      <c r="AX58" s="315">
        <v>83757</v>
      </c>
      <c r="AY58" s="315"/>
      <c r="AZ58" s="315"/>
      <c r="BA58" s="315"/>
      <c r="BB58" s="315"/>
      <c r="BC58" s="315"/>
      <c r="BD58" s="315">
        <v>198419</v>
      </c>
      <c r="BE58" s="315">
        <v>-324327</v>
      </c>
      <c r="BF58" s="315">
        <v>-45341</v>
      </c>
      <c r="BG58" s="315">
        <v>-45341</v>
      </c>
      <c r="BH58" s="315"/>
      <c r="BI58" s="315">
        <v>0</v>
      </c>
      <c r="BJ58" s="315">
        <v>-12489</v>
      </c>
      <c r="BK58" s="315">
        <v>-32852</v>
      </c>
      <c r="BL58" s="315">
        <v>-3903</v>
      </c>
      <c r="BM58" s="315">
        <v>-275083</v>
      </c>
      <c r="BN58" s="315">
        <v>-18301</v>
      </c>
      <c r="BO58" s="315">
        <v>-82747</v>
      </c>
      <c r="BP58" s="315">
        <v>5968</v>
      </c>
      <c r="BQ58" s="315"/>
      <c r="BR58" s="315"/>
      <c r="BS58" s="315">
        <v>20062</v>
      </c>
      <c r="BT58" s="315"/>
      <c r="BU58" s="315"/>
      <c r="BV58" s="315"/>
      <c r="BW58" s="315"/>
      <c r="BX58" s="315">
        <v>38416</v>
      </c>
      <c r="BY58" s="315"/>
      <c r="BZ58" s="315"/>
      <c r="CA58" s="315">
        <v>140739</v>
      </c>
      <c r="CB58" s="315">
        <v>0</v>
      </c>
      <c r="CC58" s="315">
        <v>0</v>
      </c>
      <c r="CD58" s="315">
        <v>0</v>
      </c>
      <c r="CE58" s="315">
        <v>140739</v>
      </c>
      <c r="CF58" s="315"/>
      <c r="CG58" s="315"/>
      <c r="CH58" s="315"/>
      <c r="CI58" s="315">
        <v>1863333</v>
      </c>
      <c r="CJ58" s="315">
        <v>605733</v>
      </c>
      <c r="CK58" s="315">
        <v>1257600</v>
      </c>
      <c r="CL58" s="315">
        <v>1137662</v>
      </c>
      <c r="CM58" s="315">
        <v>99017</v>
      </c>
      <c r="CN58" s="315">
        <v>20921</v>
      </c>
      <c r="CO58" s="315"/>
      <c r="CP58" s="315"/>
      <c r="CQ58" s="315">
        <v>20921</v>
      </c>
      <c r="CR58" s="315">
        <v>-610024</v>
      </c>
      <c r="CS58" s="315">
        <v>-151812</v>
      </c>
      <c r="CT58" s="315">
        <v>-112828</v>
      </c>
      <c r="CU58" s="315">
        <v>-27833</v>
      </c>
      <c r="CV58" s="315">
        <v>-63</v>
      </c>
      <c r="CW58" s="315">
        <v>-11088</v>
      </c>
      <c r="CX58" s="315">
        <v>-400701</v>
      </c>
      <c r="CY58" s="315">
        <v>-236775</v>
      </c>
      <c r="CZ58" s="315">
        <v>-162748</v>
      </c>
      <c r="DA58" s="315">
        <v>-1178</v>
      </c>
      <c r="DB58" s="315">
        <v>0</v>
      </c>
      <c r="DC58" s="315">
        <v>-57511</v>
      </c>
      <c r="DD58" s="315">
        <v>1253309</v>
      </c>
      <c r="DE58" s="315">
        <v>1253309</v>
      </c>
      <c r="DF58" s="316"/>
      <c r="DG58" s="315"/>
      <c r="DH58" s="315"/>
      <c r="DI58" s="315">
        <v>1174273</v>
      </c>
      <c r="DJ58" s="315">
        <v>94805</v>
      </c>
      <c r="DK58" s="315">
        <v>12826</v>
      </c>
      <c r="DL58" s="315">
        <v>2212</v>
      </c>
      <c r="DM58" s="315">
        <v>689810</v>
      </c>
      <c r="DN58" s="315">
        <v>227299</v>
      </c>
      <c r="DO58" s="315">
        <v>52739</v>
      </c>
      <c r="DP58" s="315"/>
      <c r="DQ58" s="315"/>
      <c r="DR58" s="315">
        <v>94582</v>
      </c>
      <c r="DS58" s="315">
        <v>-30204</v>
      </c>
      <c r="DT58" s="315">
        <v>-650</v>
      </c>
      <c r="DU58" s="315">
        <v>-115</v>
      </c>
      <c r="DV58" s="315">
        <v>-6</v>
      </c>
      <c r="DW58" s="315">
        <v>-13888</v>
      </c>
      <c r="DX58" s="315"/>
      <c r="DY58" s="315"/>
      <c r="DZ58" s="315"/>
      <c r="EA58" s="315">
        <v>-14679</v>
      </c>
      <c r="EB58" s="315">
        <v>0</v>
      </c>
      <c r="EC58" s="315"/>
      <c r="ED58" s="315"/>
      <c r="EE58" s="315">
        <v>-866</v>
      </c>
      <c r="EF58" s="315">
        <v>1144069</v>
      </c>
      <c r="EG58" s="315">
        <v>1144069</v>
      </c>
      <c r="EH58" s="316"/>
      <c r="EI58" s="315"/>
      <c r="EJ58" s="315"/>
      <c r="EK58" s="315">
        <v>94155</v>
      </c>
      <c r="EL58" s="315">
        <v>94155</v>
      </c>
      <c r="EM58" s="316"/>
      <c r="EN58" s="315"/>
      <c r="EO58" s="315"/>
      <c r="EP58" s="315">
        <v>12711</v>
      </c>
      <c r="EQ58" s="315">
        <v>12711</v>
      </c>
      <c r="ER58" s="316"/>
      <c r="ES58" s="315"/>
      <c r="ET58" s="315"/>
      <c r="EU58" s="315">
        <v>2206</v>
      </c>
      <c r="EV58" s="315">
        <v>2206</v>
      </c>
      <c r="EW58" s="316"/>
      <c r="EX58" s="315"/>
      <c r="EY58" s="315"/>
      <c r="EZ58" s="315">
        <v>675922</v>
      </c>
      <c r="FA58" s="315">
        <v>675922</v>
      </c>
      <c r="FB58" s="316"/>
      <c r="FC58" s="315"/>
      <c r="FD58" s="315"/>
      <c r="FE58" s="315">
        <v>212620</v>
      </c>
      <c r="FF58" s="315">
        <v>212620</v>
      </c>
      <c r="FG58" s="316"/>
      <c r="FH58" s="315"/>
      <c r="FI58" s="315"/>
      <c r="FJ58" s="315">
        <v>52739</v>
      </c>
      <c r="FK58" s="315">
        <v>52739</v>
      </c>
      <c r="FL58" s="316"/>
      <c r="FM58" s="315"/>
      <c r="FN58" s="315"/>
      <c r="FO58" s="315"/>
      <c r="FP58" s="315"/>
      <c r="FQ58" s="315">
        <v>93716</v>
      </c>
      <c r="FR58" s="315">
        <v>228299</v>
      </c>
      <c r="FS58" s="315">
        <v>-6490</v>
      </c>
      <c r="FT58" s="315">
        <v>221809</v>
      </c>
      <c r="FU58" s="315"/>
      <c r="FV58" s="315"/>
      <c r="FW58" s="315"/>
      <c r="FX58" s="315">
        <v>75685</v>
      </c>
      <c r="FY58" s="315">
        <v>52114</v>
      </c>
      <c r="FZ58" s="315"/>
      <c r="GA58" s="315"/>
      <c r="GB58" s="315"/>
      <c r="GC58" s="315">
        <v>45719</v>
      </c>
      <c r="GD58" s="315"/>
      <c r="GE58" s="315"/>
      <c r="GF58" s="315"/>
      <c r="GG58" s="315">
        <v>48291</v>
      </c>
      <c r="GH58" s="315">
        <v>992</v>
      </c>
      <c r="GI58" s="315">
        <v>9856</v>
      </c>
      <c r="GJ58" s="315">
        <v>37443</v>
      </c>
      <c r="GL58"/>
      <c r="GM58"/>
      <c r="GN58"/>
      <c r="GO58"/>
    </row>
    <row r="59" spans="1:197">
      <c r="A59" s="98" t="s">
        <v>17</v>
      </c>
      <c r="B59" s="98">
        <v>4</v>
      </c>
      <c r="C59" s="98" t="s">
        <v>220</v>
      </c>
      <c r="D59" s="315">
        <v>14995001</v>
      </c>
      <c r="E59" s="315">
        <v>-1561552</v>
      </c>
      <c r="F59" s="315">
        <v>-10475</v>
      </c>
      <c r="G59" s="315">
        <v>13422974</v>
      </c>
      <c r="H59" s="315">
        <v>13052270</v>
      </c>
      <c r="I59" s="315">
        <v>370704</v>
      </c>
      <c r="J59" s="315">
        <v>370704</v>
      </c>
      <c r="K59" s="315"/>
      <c r="L59" s="315">
        <v>4109334</v>
      </c>
      <c r="M59" s="315">
        <v>3612486</v>
      </c>
      <c r="N59" s="315">
        <v>47895</v>
      </c>
      <c r="O59" s="315"/>
      <c r="P59" s="315"/>
      <c r="Q59" s="315"/>
      <c r="R59" s="315">
        <v>448953</v>
      </c>
      <c r="S59" s="315">
        <v>316242</v>
      </c>
      <c r="T59" s="315">
        <v>-16871</v>
      </c>
      <c r="U59" s="315"/>
      <c r="V59" s="315"/>
      <c r="W59" s="315">
        <v>0</v>
      </c>
      <c r="X59" s="315">
        <v>0</v>
      </c>
      <c r="Y59" s="315">
        <v>-16871</v>
      </c>
      <c r="Z59" s="315"/>
      <c r="AA59" s="315">
        <v>-4007</v>
      </c>
      <c r="AB59" s="315">
        <v>337120</v>
      </c>
      <c r="AC59" s="315">
        <v>-10475</v>
      </c>
      <c r="AD59" s="315">
        <v>4415101</v>
      </c>
      <c r="AE59" s="315">
        <v>4044397</v>
      </c>
      <c r="AF59" s="315">
        <v>370704</v>
      </c>
      <c r="AG59" s="315">
        <v>370704</v>
      </c>
      <c r="AH59" s="315"/>
      <c r="AI59" s="315">
        <v>3609330</v>
      </c>
      <c r="AJ59" s="315">
        <v>337932</v>
      </c>
      <c r="AK59" s="315">
        <v>1169527</v>
      </c>
      <c r="AL59" s="315">
        <v>2065697</v>
      </c>
      <c r="AM59" s="315">
        <v>-37082</v>
      </c>
      <c r="AN59" s="315">
        <v>200858</v>
      </c>
      <c r="AO59" s="315">
        <v>64194</v>
      </c>
      <c r="AP59" s="315"/>
      <c r="AQ59" s="315">
        <v>557252</v>
      </c>
      <c r="AR59" s="315">
        <v>31024</v>
      </c>
      <c r="AS59" s="315"/>
      <c r="AT59" s="315"/>
      <c r="AU59" s="315">
        <v>-10475</v>
      </c>
      <c r="AV59" s="315">
        <v>2701530</v>
      </c>
      <c r="AW59" s="315">
        <v>2229155</v>
      </c>
      <c r="AX59" s="315">
        <v>122612</v>
      </c>
      <c r="AY59" s="315"/>
      <c r="AZ59" s="315"/>
      <c r="BA59" s="315"/>
      <c r="BB59" s="315"/>
      <c r="BC59" s="315"/>
      <c r="BD59" s="315">
        <v>349763</v>
      </c>
      <c r="BE59" s="315">
        <v>-166028</v>
      </c>
      <c r="BF59" s="315">
        <v>-35020</v>
      </c>
      <c r="BG59" s="315">
        <v>-35020</v>
      </c>
      <c r="BH59" s="315"/>
      <c r="BI59" s="315">
        <v>0</v>
      </c>
      <c r="BJ59" s="315">
        <v>-13721</v>
      </c>
      <c r="BK59" s="315">
        <v>-21299</v>
      </c>
      <c r="BL59" s="315">
        <v>-667</v>
      </c>
      <c r="BM59" s="315">
        <v>-130341</v>
      </c>
      <c r="BN59" s="315">
        <v>2535502</v>
      </c>
      <c r="BO59" s="315">
        <v>109673</v>
      </c>
      <c r="BP59" s="315">
        <v>70547</v>
      </c>
      <c r="BQ59" s="315">
        <v>39023</v>
      </c>
      <c r="BR59" s="315"/>
      <c r="BS59" s="315">
        <v>2228667</v>
      </c>
      <c r="BT59" s="315"/>
      <c r="BU59" s="315"/>
      <c r="BV59" s="315"/>
      <c r="BW59" s="315"/>
      <c r="BX59" s="315">
        <v>87592</v>
      </c>
      <c r="BY59" s="315"/>
      <c r="BZ59" s="315"/>
      <c r="CA59" s="315">
        <v>834554</v>
      </c>
      <c r="CB59" s="315">
        <v>-574238</v>
      </c>
      <c r="CC59" s="315">
        <v>-1269</v>
      </c>
      <c r="CD59" s="315">
        <v>-572969</v>
      </c>
      <c r="CE59" s="315">
        <v>260316</v>
      </c>
      <c r="CF59" s="315"/>
      <c r="CG59" s="315"/>
      <c r="CH59" s="315"/>
      <c r="CI59" s="315">
        <v>5750784</v>
      </c>
      <c r="CJ59" s="315">
        <v>703815</v>
      </c>
      <c r="CK59" s="315">
        <v>5046969</v>
      </c>
      <c r="CL59" s="315">
        <v>1379894</v>
      </c>
      <c r="CM59" s="315">
        <v>3657603</v>
      </c>
      <c r="CN59" s="315">
        <v>9472</v>
      </c>
      <c r="CO59" s="315"/>
      <c r="CP59" s="315"/>
      <c r="CQ59" s="315">
        <v>9472</v>
      </c>
      <c r="CR59" s="315">
        <v>-1052660</v>
      </c>
      <c r="CS59" s="315">
        <v>-282613</v>
      </c>
      <c r="CT59" s="315">
        <v>-237598</v>
      </c>
      <c r="CU59" s="315">
        <v>0</v>
      </c>
      <c r="CV59" s="315">
        <v>-54</v>
      </c>
      <c r="CW59" s="315">
        <v>-44961</v>
      </c>
      <c r="CX59" s="315">
        <v>-566568</v>
      </c>
      <c r="CY59" s="315">
        <v>-341177</v>
      </c>
      <c r="CZ59" s="315">
        <v>-222501</v>
      </c>
      <c r="DA59" s="315">
        <v>-2890</v>
      </c>
      <c r="DB59" s="315">
        <v>-203479</v>
      </c>
      <c r="DC59" s="315">
        <v>0</v>
      </c>
      <c r="DD59" s="315">
        <v>4698124</v>
      </c>
      <c r="DE59" s="315">
        <v>4698124</v>
      </c>
      <c r="DF59" s="316"/>
      <c r="DG59" s="315"/>
      <c r="DH59" s="315"/>
      <c r="DI59" s="315">
        <v>1352769</v>
      </c>
      <c r="DJ59" s="315">
        <v>35470</v>
      </c>
      <c r="DK59" s="315">
        <v>9789</v>
      </c>
      <c r="DL59" s="315">
        <v>881</v>
      </c>
      <c r="DM59" s="315">
        <v>816062</v>
      </c>
      <c r="DN59" s="315">
        <v>343978</v>
      </c>
      <c r="DO59" s="315">
        <v>56231</v>
      </c>
      <c r="DP59" s="315"/>
      <c r="DQ59" s="315"/>
      <c r="DR59" s="315">
        <v>90358</v>
      </c>
      <c r="DS59" s="315">
        <v>-65893</v>
      </c>
      <c r="DT59" s="315">
        <v>-12956</v>
      </c>
      <c r="DU59" s="315">
        <v>-3779</v>
      </c>
      <c r="DV59" s="315">
        <v>-34</v>
      </c>
      <c r="DW59" s="315">
        <v>-398</v>
      </c>
      <c r="DX59" s="315"/>
      <c r="DY59" s="315"/>
      <c r="DZ59" s="315"/>
      <c r="EA59" s="315">
        <v>-46561</v>
      </c>
      <c r="EB59" s="315">
        <v>0</v>
      </c>
      <c r="EC59" s="315"/>
      <c r="ED59" s="315"/>
      <c r="EE59" s="315">
        <v>-2165</v>
      </c>
      <c r="EF59" s="315">
        <v>1286876</v>
      </c>
      <c r="EG59" s="315">
        <v>1286876</v>
      </c>
      <c r="EH59" s="316"/>
      <c r="EI59" s="315"/>
      <c r="EJ59" s="315"/>
      <c r="EK59" s="315">
        <v>22514</v>
      </c>
      <c r="EL59" s="315">
        <v>22514</v>
      </c>
      <c r="EM59" s="316"/>
      <c r="EN59" s="315"/>
      <c r="EO59" s="315"/>
      <c r="EP59" s="315">
        <v>6010</v>
      </c>
      <c r="EQ59" s="315">
        <v>6010</v>
      </c>
      <c r="ER59" s="316"/>
      <c r="ES59" s="315"/>
      <c r="ET59" s="315"/>
      <c r="EU59" s="315">
        <v>847</v>
      </c>
      <c r="EV59" s="315">
        <v>847</v>
      </c>
      <c r="EW59" s="316"/>
      <c r="EX59" s="315"/>
      <c r="EY59" s="315"/>
      <c r="EZ59" s="315">
        <v>815664</v>
      </c>
      <c r="FA59" s="315">
        <v>815664</v>
      </c>
      <c r="FB59" s="316"/>
      <c r="FC59" s="315"/>
      <c r="FD59" s="315"/>
      <c r="FE59" s="315">
        <v>297417</v>
      </c>
      <c r="FF59" s="315">
        <v>297417</v>
      </c>
      <c r="FG59" s="316"/>
      <c r="FH59" s="315"/>
      <c r="FI59" s="315"/>
      <c r="FJ59" s="315">
        <v>56231</v>
      </c>
      <c r="FK59" s="315">
        <v>56231</v>
      </c>
      <c r="FL59" s="316"/>
      <c r="FM59" s="315"/>
      <c r="FN59" s="315"/>
      <c r="FO59" s="315"/>
      <c r="FP59" s="315"/>
      <c r="FQ59" s="315">
        <v>88193</v>
      </c>
      <c r="FR59" s="315">
        <v>246030</v>
      </c>
      <c r="FS59" s="315">
        <v>-18975</v>
      </c>
      <c r="FT59" s="315">
        <v>227055</v>
      </c>
      <c r="FU59" s="315"/>
      <c r="FV59" s="315"/>
      <c r="FW59" s="315"/>
      <c r="FX59" s="315">
        <v>70168</v>
      </c>
      <c r="FY59" s="315">
        <v>58635</v>
      </c>
      <c r="FZ59" s="315"/>
      <c r="GA59" s="315"/>
      <c r="GB59" s="315"/>
      <c r="GC59" s="315">
        <v>59669</v>
      </c>
      <c r="GD59" s="315"/>
      <c r="GE59" s="315"/>
      <c r="GF59" s="315"/>
      <c r="GG59" s="315">
        <v>38583</v>
      </c>
      <c r="GH59" s="315">
        <v>619</v>
      </c>
      <c r="GI59" s="315">
        <v>1291</v>
      </c>
      <c r="GJ59" s="315">
        <v>36673</v>
      </c>
      <c r="GL59"/>
      <c r="GM59"/>
      <c r="GN59"/>
      <c r="GO59"/>
    </row>
    <row r="60" spans="1:197">
      <c r="A60" s="98" t="s">
        <v>17</v>
      </c>
      <c r="B60" s="98">
        <v>5</v>
      </c>
      <c r="C60" s="98" t="s">
        <v>221</v>
      </c>
      <c r="D60" s="315">
        <v>6117511</v>
      </c>
      <c r="E60" s="315">
        <v>-1598993</v>
      </c>
      <c r="F60" s="315">
        <v>-10459</v>
      </c>
      <c r="G60" s="315">
        <v>4508059</v>
      </c>
      <c r="H60" s="315">
        <v>4137355</v>
      </c>
      <c r="I60" s="315">
        <v>370704</v>
      </c>
      <c r="J60" s="315">
        <v>370704</v>
      </c>
      <c r="K60" s="315"/>
      <c r="L60" s="315">
        <v>2225966</v>
      </c>
      <c r="M60" s="315">
        <v>1817691</v>
      </c>
      <c r="N60" s="315">
        <v>129753</v>
      </c>
      <c r="O60" s="315"/>
      <c r="P60" s="315"/>
      <c r="Q60" s="315"/>
      <c r="R60" s="315">
        <v>278522</v>
      </c>
      <c r="S60" s="315">
        <v>-317030</v>
      </c>
      <c r="T60" s="315">
        <v>-313783</v>
      </c>
      <c r="U60" s="315"/>
      <c r="V60" s="315"/>
      <c r="W60" s="315">
        <v>-301756</v>
      </c>
      <c r="X60" s="315">
        <v>0</v>
      </c>
      <c r="Y60" s="315">
        <v>-12027</v>
      </c>
      <c r="Z60" s="315"/>
      <c r="AA60" s="315">
        <v>-3247</v>
      </c>
      <c r="AB60" s="315">
        <v>0</v>
      </c>
      <c r="AC60" s="315">
        <v>-10459</v>
      </c>
      <c r="AD60" s="315">
        <v>1898477</v>
      </c>
      <c r="AE60" s="315">
        <v>1527773</v>
      </c>
      <c r="AF60" s="315">
        <v>370704</v>
      </c>
      <c r="AG60" s="315">
        <v>370704</v>
      </c>
      <c r="AH60" s="315"/>
      <c r="AI60" s="315">
        <v>1815099</v>
      </c>
      <c r="AJ60" s="315">
        <v>698786</v>
      </c>
      <c r="AK60" s="315">
        <v>1019022</v>
      </c>
      <c r="AL60" s="315">
        <v>33831</v>
      </c>
      <c r="AM60" s="315">
        <v>243981</v>
      </c>
      <c r="AN60" s="315">
        <v>-8558</v>
      </c>
      <c r="AO60" s="315">
        <v>33056</v>
      </c>
      <c r="AP60" s="315"/>
      <c r="AQ60" s="315">
        <v>9388</v>
      </c>
      <c r="AR60" s="315">
        <v>-184030</v>
      </c>
      <c r="AS60" s="315"/>
      <c r="AT60" s="315"/>
      <c r="AU60" s="315">
        <v>-10459</v>
      </c>
      <c r="AV60" s="315">
        <v>323449</v>
      </c>
      <c r="AW60" s="315">
        <v>36383</v>
      </c>
      <c r="AX60" s="315">
        <v>158697</v>
      </c>
      <c r="AY60" s="315"/>
      <c r="AZ60" s="315"/>
      <c r="BA60" s="315"/>
      <c r="BB60" s="315"/>
      <c r="BC60" s="315"/>
      <c r="BD60" s="315">
        <v>128369</v>
      </c>
      <c r="BE60" s="315">
        <v>-34765</v>
      </c>
      <c r="BF60" s="315">
        <v>-32250</v>
      </c>
      <c r="BG60" s="315">
        <v>-32250</v>
      </c>
      <c r="BH60" s="315"/>
      <c r="BI60" s="315">
        <v>0</v>
      </c>
      <c r="BJ60" s="315">
        <v>-9581</v>
      </c>
      <c r="BK60" s="315">
        <v>-22669</v>
      </c>
      <c r="BL60" s="315">
        <v>-2515</v>
      </c>
      <c r="BM60" s="315">
        <v>0</v>
      </c>
      <c r="BN60" s="315">
        <v>288684</v>
      </c>
      <c r="BO60" s="315">
        <v>94972</v>
      </c>
      <c r="BP60" s="315">
        <v>12303</v>
      </c>
      <c r="BQ60" s="315">
        <v>20879</v>
      </c>
      <c r="BR60" s="315"/>
      <c r="BS60" s="315">
        <v>34083</v>
      </c>
      <c r="BT60" s="315"/>
      <c r="BU60" s="315"/>
      <c r="BV60" s="315"/>
      <c r="BW60" s="315"/>
      <c r="BX60" s="315">
        <v>126447</v>
      </c>
      <c r="BY60" s="315"/>
      <c r="BZ60" s="315"/>
      <c r="CA60" s="315">
        <v>103032</v>
      </c>
      <c r="CB60" s="315">
        <v>-236499</v>
      </c>
      <c r="CC60" s="315">
        <v>-4076</v>
      </c>
      <c r="CD60" s="315">
        <v>-232423</v>
      </c>
      <c r="CE60" s="315">
        <v>-133467</v>
      </c>
      <c r="CF60" s="315"/>
      <c r="CG60" s="315"/>
      <c r="CH60" s="315"/>
      <c r="CI60" s="315">
        <v>2014091</v>
      </c>
      <c r="CJ60" s="315">
        <v>633139</v>
      </c>
      <c r="CK60" s="315">
        <v>1380952</v>
      </c>
      <c r="CL60" s="315">
        <v>1265209</v>
      </c>
      <c r="CM60" s="315">
        <v>94569</v>
      </c>
      <c r="CN60" s="315">
        <v>21174</v>
      </c>
      <c r="CO60" s="315"/>
      <c r="CP60" s="315"/>
      <c r="CQ60" s="315">
        <v>21174</v>
      </c>
      <c r="CR60" s="315">
        <v>-994294</v>
      </c>
      <c r="CS60" s="315">
        <v>-476113</v>
      </c>
      <c r="CT60" s="315">
        <v>-452214</v>
      </c>
      <c r="CU60" s="315">
        <v>0</v>
      </c>
      <c r="CV60" s="315">
        <v>-171</v>
      </c>
      <c r="CW60" s="315">
        <v>-23728</v>
      </c>
      <c r="CX60" s="315">
        <v>-518181</v>
      </c>
      <c r="CY60" s="315">
        <v>-386000</v>
      </c>
      <c r="CZ60" s="315">
        <v>-130000</v>
      </c>
      <c r="DA60" s="315">
        <v>-2181</v>
      </c>
      <c r="DB60" s="315">
        <v>0</v>
      </c>
      <c r="DC60" s="315">
        <v>0</v>
      </c>
      <c r="DD60" s="315">
        <v>1019797</v>
      </c>
      <c r="DE60" s="315">
        <v>1019797</v>
      </c>
      <c r="DF60" s="316"/>
      <c r="DG60" s="315"/>
      <c r="DH60" s="315"/>
      <c r="DI60" s="315">
        <v>1241897</v>
      </c>
      <c r="DJ60" s="315">
        <v>51882</v>
      </c>
      <c r="DK60" s="315">
        <v>11368</v>
      </c>
      <c r="DL60" s="315">
        <v>2223</v>
      </c>
      <c r="DM60" s="315">
        <v>706663</v>
      </c>
      <c r="DN60" s="315">
        <v>314085</v>
      </c>
      <c r="DO60" s="315">
        <v>48544</v>
      </c>
      <c r="DP60" s="315"/>
      <c r="DQ60" s="315"/>
      <c r="DR60" s="315">
        <v>107132</v>
      </c>
      <c r="DS60" s="315">
        <v>-6384</v>
      </c>
      <c r="DT60" s="315">
        <v>-1457</v>
      </c>
      <c r="DU60" s="315">
        <v>-75</v>
      </c>
      <c r="DV60" s="315">
        <v>-5</v>
      </c>
      <c r="DW60" s="315">
        <v>-396</v>
      </c>
      <c r="DX60" s="315"/>
      <c r="DY60" s="315"/>
      <c r="DZ60" s="315"/>
      <c r="EA60" s="315">
        <v>-14</v>
      </c>
      <c r="EB60" s="315">
        <v>0</v>
      </c>
      <c r="EC60" s="315"/>
      <c r="ED60" s="315"/>
      <c r="EE60" s="315">
        <v>-4437</v>
      </c>
      <c r="EF60" s="315">
        <v>1235513</v>
      </c>
      <c r="EG60" s="315">
        <v>1235513</v>
      </c>
      <c r="EH60" s="316"/>
      <c r="EI60" s="315"/>
      <c r="EJ60" s="315"/>
      <c r="EK60" s="315">
        <v>50425</v>
      </c>
      <c r="EL60" s="315">
        <v>50425</v>
      </c>
      <c r="EM60" s="316"/>
      <c r="EN60" s="315"/>
      <c r="EO60" s="315"/>
      <c r="EP60" s="315">
        <v>11293</v>
      </c>
      <c r="EQ60" s="315">
        <v>11293</v>
      </c>
      <c r="ER60" s="316"/>
      <c r="ES60" s="315"/>
      <c r="ET60" s="315"/>
      <c r="EU60" s="315">
        <v>2218</v>
      </c>
      <c r="EV60" s="315">
        <v>2218</v>
      </c>
      <c r="EW60" s="316"/>
      <c r="EX60" s="315"/>
      <c r="EY60" s="315"/>
      <c r="EZ60" s="315">
        <v>706267</v>
      </c>
      <c r="FA60" s="315">
        <v>706267</v>
      </c>
      <c r="FB60" s="316"/>
      <c r="FC60" s="315"/>
      <c r="FD60" s="315"/>
      <c r="FE60" s="315">
        <v>314071</v>
      </c>
      <c r="FF60" s="315">
        <v>314071</v>
      </c>
      <c r="FG60" s="316"/>
      <c r="FH60" s="315"/>
      <c r="FI60" s="315"/>
      <c r="FJ60" s="315">
        <v>48544</v>
      </c>
      <c r="FK60" s="315">
        <v>48544</v>
      </c>
      <c r="FL60" s="316"/>
      <c r="FM60" s="315"/>
      <c r="FN60" s="315"/>
      <c r="FO60" s="315"/>
      <c r="FP60" s="315"/>
      <c r="FQ60" s="315">
        <v>102695</v>
      </c>
      <c r="FR60" s="315">
        <v>209076</v>
      </c>
      <c r="FS60" s="315">
        <v>-10021</v>
      </c>
      <c r="FT60" s="315">
        <v>199055</v>
      </c>
      <c r="FU60" s="315"/>
      <c r="FV60" s="315"/>
      <c r="FW60" s="315"/>
      <c r="FX60" s="315">
        <v>69375</v>
      </c>
      <c r="FY60" s="315">
        <v>55738</v>
      </c>
      <c r="FZ60" s="315"/>
      <c r="GA60" s="315"/>
      <c r="GB60" s="315"/>
      <c r="GC60" s="315">
        <v>17363</v>
      </c>
      <c r="GD60" s="315"/>
      <c r="GE60" s="315"/>
      <c r="GF60" s="315"/>
      <c r="GG60" s="315">
        <v>56579</v>
      </c>
      <c r="GH60" s="315">
        <v>10434</v>
      </c>
      <c r="GI60" s="315">
        <v>11773</v>
      </c>
      <c r="GJ60" s="315">
        <v>34372</v>
      </c>
      <c r="GL60"/>
      <c r="GM60"/>
      <c r="GN60"/>
      <c r="GO60"/>
    </row>
    <row r="61" spans="1:197">
      <c r="A61" s="98" t="s">
        <v>17</v>
      </c>
      <c r="B61" s="98">
        <v>6</v>
      </c>
      <c r="C61" s="98" t="s">
        <v>222</v>
      </c>
      <c r="D61" s="315">
        <v>8612407</v>
      </c>
      <c r="E61" s="315">
        <v>-2658878</v>
      </c>
      <c r="F61" s="315">
        <v>-10469</v>
      </c>
      <c r="G61" s="315">
        <v>5943060</v>
      </c>
      <c r="H61" s="315">
        <v>5572356</v>
      </c>
      <c r="I61" s="315">
        <v>370704</v>
      </c>
      <c r="J61" s="315">
        <v>370704</v>
      </c>
      <c r="K61" s="315"/>
      <c r="L61" s="315">
        <v>4486866</v>
      </c>
      <c r="M61" s="315">
        <v>1316847</v>
      </c>
      <c r="N61" s="315">
        <v>2943751</v>
      </c>
      <c r="O61" s="315"/>
      <c r="P61" s="315"/>
      <c r="Q61" s="315"/>
      <c r="R61" s="315">
        <v>226268</v>
      </c>
      <c r="S61" s="315">
        <v>-1461576</v>
      </c>
      <c r="T61" s="315">
        <v>-1456258</v>
      </c>
      <c r="U61" s="315"/>
      <c r="V61" s="315"/>
      <c r="W61" s="315">
        <v>-1445350</v>
      </c>
      <c r="X61" s="315">
        <v>0</v>
      </c>
      <c r="Y61" s="315">
        <v>-10908</v>
      </c>
      <c r="Z61" s="315"/>
      <c r="AA61" s="315">
        <v>-5318</v>
      </c>
      <c r="AB61" s="315">
        <v>0</v>
      </c>
      <c r="AC61" s="315">
        <v>-10469</v>
      </c>
      <c r="AD61" s="315">
        <v>3014821</v>
      </c>
      <c r="AE61" s="315">
        <v>2644117</v>
      </c>
      <c r="AF61" s="315">
        <v>370704</v>
      </c>
      <c r="AG61" s="315">
        <v>370704</v>
      </c>
      <c r="AH61" s="315"/>
      <c r="AI61" s="315">
        <v>1312154</v>
      </c>
      <c r="AJ61" s="315">
        <v>267630</v>
      </c>
      <c r="AK61" s="315">
        <v>979337</v>
      </c>
      <c r="AL61" s="315">
        <v>10806</v>
      </c>
      <c r="AM61" s="315">
        <v>152501</v>
      </c>
      <c r="AN61" s="315">
        <v>16870</v>
      </c>
      <c r="AO61" s="315">
        <v>48892</v>
      </c>
      <c r="AP61" s="315"/>
      <c r="AQ61" s="315">
        <v>7380</v>
      </c>
      <c r="AR61" s="315">
        <v>1487493</v>
      </c>
      <c r="AS61" s="315"/>
      <c r="AT61" s="315"/>
      <c r="AU61" s="315">
        <v>-10469</v>
      </c>
      <c r="AV61" s="315">
        <v>191894</v>
      </c>
      <c r="AW61" s="315">
        <v>5911</v>
      </c>
      <c r="AX61" s="315">
        <v>97881</v>
      </c>
      <c r="AY61" s="315"/>
      <c r="AZ61" s="315"/>
      <c r="BA61" s="315"/>
      <c r="BB61" s="315"/>
      <c r="BC61" s="315"/>
      <c r="BD61" s="315">
        <v>88102</v>
      </c>
      <c r="BE61" s="315">
        <v>-25486</v>
      </c>
      <c r="BF61" s="315">
        <v>-24996</v>
      </c>
      <c r="BG61" s="315">
        <v>-24996</v>
      </c>
      <c r="BH61" s="315"/>
      <c r="BI61" s="315">
        <v>0</v>
      </c>
      <c r="BJ61" s="315">
        <v>-17375</v>
      </c>
      <c r="BK61" s="315">
        <v>-7621</v>
      </c>
      <c r="BL61" s="315">
        <v>-490</v>
      </c>
      <c r="BM61" s="315">
        <v>0</v>
      </c>
      <c r="BN61" s="315">
        <v>166408</v>
      </c>
      <c r="BO61" s="315">
        <v>62085</v>
      </c>
      <c r="BP61" s="315">
        <v>6365</v>
      </c>
      <c r="BQ61" s="315">
        <v>19442</v>
      </c>
      <c r="BR61" s="315"/>
      <c r="BS61" s="315">
        <v>5631</v>
      </c>
      <c r="BT61" s="315"/>
      <c r="BU61" s="315"/>
      <c r="BV61" s="315"/>
      <c r="BW61" s="315"/>
      <c r="BX61" s="315">
        <v>72885</v>
      </c>
      <c r="BY61" s="315"/>
      <c r="BZ61" s="315"/>
      <c r="CA61" s="315">
        <v>121335</v>
      </c>
      <c r="CB61" s="315">
        <v>-54917</v>
      </c>
      <c r="CC61" s="315">
        <v>-8116</v>
      </c>
      <c r="CD61" s="315">
        <v>-46801</v>
      </c>
      <c r="CE61" s="315">
        <v>66418</v>
      </c>
      <c r="CF61" s="315"/>
      <c r="CG61" s="315"/>
      <c r="CH61" s="315"/>
      <c r="CI61" s="315">
        <v>2025551</v>
      </c>
      <c r="CJ61" s="315">
        <v>642400</v>
      </c>
      <c r="CK61" s="315">
        <v>1383151</v>
      </c>
      <c r="CL61" s="315">
        <v>1289375</v>
      </c>
      <c r="CM61" s="315">
        <v>61538</v>
      </c>
      <c r="CN61" s="315">
        <v>32238</v>
      </c>
      <c r="CO61" s="315"/>
      <c r="CP61" s="315"/>
      <c r="CQ61" s="315">
        <v>32238</v>
      </c>
      <c r="CR61" s="315">
        <v>-1087690</v>
      </c>
      <c r="CS61" s="315">
        <v>-643113</v>
      </c>
      <c r="CT61" s="315">
        <v>-583709</v>
      </c>
      <c r="CU61" s="315">
        <v>0</v>
      </c>
      <c r="CV61" s="315">
        <v>-339</v>
      </c>
      <c r="CW61" s="315">
        <v>-59065</v>
      </c>
      <c r="CX61" s="315">
        <v>-395346</v>
      </c>
      <c r="CY61" s="315">
        <v>-328273</v>
      </c>
      <c r="CZ61" s="315">
        <v>-65000</v>
      </c>
      <c r="DA61" s="315">
        <v>-2073</v>
      </c>
      <c r="DB61" s="315">
        <v>0</v>
      </c>
      <c r="DC61" s="315">
        <v>-49231</v>
      </c>
      <c r="DD61" s="315">
        <v>937861</v>
      </c>
      <c r="DE61" s="315">
        <v>937861</v>
      </c>
      <c r="DF61" s="316"/>
      <c r="DG61" s="315"/>
      <c r="DH61" s="315"/>
      <c r="DI61" s="315">
        <v>1303439</v>
      </c>
      <c r="DJ61" s="315">
        <v>53191</v>
      </c>
      <c r="DK61" s="315">
        <v>15391</v>
      </c>
      <c r="DL61" s="315">
        <v>1028</v>
      </c>
      <c r="DM61" s="315">
        <v>740604</v>
      </c>
      <c r="DN61" s="315">
        <v>327112</v>
      </c>
      <c r="DO61" s="315">
        <v>48243</v>
      </c>
      <c r="DP61" s="315"/>
      <c r="DQ61" s="315"/>
      <c r="DR61" s="315">
        <v>117870</v>
      </c>
      <c r="DS61" s="315">
        <v>-16203</v>
      </c>
      <c r="DT61" s="315">
        <v>-1534</v>
      </c>
      <c r="DU61" s="315">
        <v>-89</v>
      </c>
      <c r="DV61" s="315">
        <v>-12</v>
      </c>
      <c r="DW61" s="315">
        <v>-1245</v>
      </c>
      <c r="DX61" s="315"/>
      <c r="DY61" s="315"/>
      <c r="DZ61" s="315"/>
      <c r="EA61" s="315">
        <v>-12019</v>
      </c>
      <c r="EB61" s="315">
        <v>-30</v>
      </c>
      <c r="EC61" s="315"/>
      <c r="ED61" s="315"/>
      <c r="EE61" s="315">
        <v>-1274</v>
      </c>
      <c r="EF61" s="315">
        <v>1287236</v>
      </c>
      <c r="EG61" s="315">
        <v>1287236</v>
      </c>
      <c r="EH61" s="316"/>
      <c r="EI61" s="315"/>
      <c r="EJ61" s="315"/>
      <c r="EK61" s="315">
        <v>51657</v>
      </c>
      <c r="EL61" s="315">
        <v>51657</v>
      </c>
      <c r="EM61" s="316"/>
      <c r="EN61" s="315"/>
      <c r="EO61" s="315"/>
      <c r="EP61" s="315">
        <v>15302</v>
      </c>
      <c r="EQ61" s="315">
        <v>15302</v>
      </c>
      <c r="ER61" s="316"/>
      <c r="ES61" s="315"/>
      <c r="ET61" s="315"/>
      <c r="EU61" s="315">
        <v>1016</v>
      </c>
      <c r="EV61" s="315">
        <v>1016</v>
      </c>
      <c r="EW61" s="316"/>
      <c r="EX61" s="315"/>
      <c r="EY61" s="315"/>
      <c r="EZ61" s="315">
        <v>739359</v>
      </c>
      <c r="FA61" s="315">
        <v>739359</v>
      </c>
      <c r="FB61" s="316"/>
      <c r="FC61" s="315"/>
      <c r="FD61" s="315"/>
      <c r="FE61" s="315">
        <v>315093</v>
      </c>
      <c r="FF61" s="315">
        <v>315093</v>
      </c>
      <c r="FG61" s="316"/>
      <c r="FH61" s="315"/>
      <c r="FI61" s="315"/>
      <c r="FJ61" s="315">
        <v>48213</v>
      </c>
      <c r="FK61" s="315">
        <v>48213</v>
      </c>
      <c r="FL61" s="316"/>
      <c r="FM61" s="315"/>
      <c r="FN61" s="315"/>
      <c r="FO61" s="315"/>
      <c r="FP61" s="315"/>
      <c r="FQ61" s="315">
        <v>116596</v>
      </c>
      <c r="FR61" s="315">
        <v>483322</v>
      </c>
      <c r="FS61" s="315">
        <v>-13006</v>
      </c>
      <c r="FT61" s="315">
        <v>470316</v>
      </c>
      <c r="FU61" s="315"/>
      <c r="FV61" s="315"/>
      <c r="FW61" s="315"/>
      <c r="FX61" s="315">
        <v>67355</v>
      </c>
      <c r="FY61" s="315">
        <v>56261</v>
      </c>
      <c r="FZ61" s="315"/>
      <c r="GA61" s="315"/>
      <c r="GB61" s="315"/>
      <c r="GC61" s="315">
        <v>53670</v>
      </c>
      <c r="GD61" s="315"/>
      <c r="GE61" s="315"/>
      <c r="GF61" s="315"/>
      <c r="GG61" s="315">
        <v>293030</v>
      </c>
      <c r="GH61" s="315">
        <v>230464</v>
      </c>
      <c r="GI61" s="315">
        <v>4093</v>
      </c>
      <c r="GJ61" s="315">
        <v>58473</v>
      </c>
      <c r="GL61"/>
      <c r="GM61"/>
      <c r="GN61"/>
      <c r="GO61"/>
    </row>
    <row r="62" spans="1:197">
      <c r="A62" s="98" t="s">
        <v>17</v>
      </c>
      <c r="B62" s="98">
        <v>7</v>
      </c>
      <c r="C62" s="98" t="s">
        <v>223</v>
      </c>
      <c r="D62" s="315">
        <v>13949744</v>
      </c>
      <c r="E62" s="315">
        <v>-3682491</v>
      </c>
      <c r="F62" s="315">
        <v>-10465</v>
      </c>
      <c r="G62" s="315">
        <v>10256788</v>
      </c>
      <c r="H62" s="315">
        <v>9886084</v>
      </c>
      <c r="I62" s="315">
        <v>370704</v>
      </c>
      <c r="J62" s="315">
        <v>370704</v>
      </c>
      <c r="K62" s="315"/>
      <c r="L62" s="315">
        <v>5302114</v>
      </c>
      <c r="M62" s="315">
        <v>4087333</v>
      </c>
      <c r="N62" s="315">
        <v>79905</v>
      </c>
      <c r="O62" s="315"/>
      <c r="P62" s="315"/>
      <c r="Q62" s="315"/>
      <c r="R62" s="315">
        <v>1134876</v>
      </c>
      <c r="S62" s="315">
        <v>-1791854</v>
      </c>
      <c r="T62" s="315">
        <v>-1785301</v>
      </c>
      <c r="U62" s="315"/>
      <c r="V62" s="315"/>
      <c r="W62" s="315">
        <v>-1774068</v>
      </c>
      <c r="X62" s="315">
        <v>0</v>
      </c>
      <c r="Y62" s="315">
        <v>-11233</v>
      </c>
      <c r="Z62" s="315"/>
      <c r="AA62" s="315">
        <v>-6553</v>
      </c>
      <c r="AB62" s="315">
        <v>0</v>
      </c>
      <c r="AC62" s="315">
        <v>-10465</v>
      </c>
      <c r="AD62" s="315">
        <v>3499795</v>
      </c>
      <c r="AE62" s="315">
        <v>3129091</v>
      </c>
      <c r="AF62" s="315">
        <v>370704</v>
      </c>
      <c r="AG62" s="315">
        <v>370704</v>
      </c>
      <c r="AH62" s="315"/>
      <c r="AI62" s="315">
        <v>4081720</v>
      </c>
      <c r="AJ62" s="315">
        <v>491773</v>
      </c>
      <c r="AK62" s="315">
        <v>1272746</v>
      </c>
      <c r="AL62" s="315">
        <v>2276910</v>
      </c>
      <c r="AM62" s="315">
        <v>285294</v>
      </c>
      <c r="AN62" s="315">
        <v>196952</v>
      </c>
      <c r="AO62" s="315">
        <v>72326</v>
      </c>
      <c r="AP62" s="315"/>
      <c r="AQ62" s="315">
        <v>579364</v>
      </c>
      <c r="AR62" s="315">
        <v>-1705396</v>
      </c>
      <c r="AS62" s="315"/>
      <c r="AT62" s="315"/>
      <c r="AU62" s="315">
        <v>-10465</v>
      </c>
      <c r="AV62" s="315">
        <v>793330</v>
      </c>
      <c r="AW62" s="315">
        <v>7940</v>
      </c>
      <c r="AX62" s="315">
        <v>564410</v>
      </c>
      <c r="AY62" s="315"/>
      <c r="AZ62" s="315"/>
      <c r="BA62" s="315"/>
      <c r="BB62" s="315"/>
      <c r="BC62" s="315"/>
      <c r="BD62" s="315">
        <v>220980</v>
      </c>
      <c r="BE62" s="315">
        <v>-27364</v>
      </c>
      <c r="BF62" s="315">
        <v>-26649</v>
      </c>
      <c r="BG62" s="315">
        <v>-26649</v>
      </c>
      <c r="BH62" s="315"/>
      <c r="BI62" s="315">
        <v>0</v>
      </c>
      <c r="BJ62" s="315">
        <v>0</v>
      </c>
      <c r="BK62" s="315">
        <v>-26649</v>
      </c>
      <c r="BL62" s="315">
        <v>-715</v>
      </c>
      <c r="BM62" s="315">
        <v>0</v>
      </c>
      <c r="BN62" s="315">
        <v>765966</v>
      </c>
      <c r="BO62" s="315">
        <v>115322</v>
      </c>
      <c r="BP62" s="315">
        <v>75006</v>
      </c>
      <c r="BQ62" s="315">
        <v>30388</v>
      </c>
      <c r="BR62" s="315"/>
      <c r="BS62" s="315">
        <v>7489</v>
      </c>
      <c r="BT62" s="315"/>
      <c r="BU62" s="315"/>
      <c r="BV62" s="315"/>
      <c r="BW62" s="315"/>
      <c r="BX62" s="315">
        <v>537761</v>
      </c>
      <c r="BY62" s="315"/>
      <c r="BZ62" s="315"/>
      <c r="CA62" s="315">
        <v>113788</v>
      </c>
      <c r="CB62" s="315">
        <v>-50231</v>
      </c>
      <c r="CC62" s="315">
        <v>-6153</v>
      </c>
      <c r="CD62" s="315">
        <v>-44078</v>
      </c>
      <c r="CE62" s="315">
        <v>63557</v>
      </c>
      <c r="CF62" s="315"/>
      <c r="CG62" s="315"/>
      <c r="CH62" s="315"/>
      <c r="CI62" s="315">
        <v>6078035</v>
      </c>
      <c r="CJ62" s="315">
        <v>699241</v>
      </c>
      <c r="CK62" s="315">
        <v>5378794</v>
      </c>
      <c r="CL62" s="315">
        <v>1478177</v>
      </c>
      <c r="CM62" s="315">
        <v>3879179</v>
      </c>
      <c r="CN62" s="315">
        <v>21438</v>
      </c>
      <c r="CO62" s="315"/>
      <c r="CP62" s="315"/>
      <c r="CQ62" s="315">
        <v>21438</v>
      </c>
      <c r="CR62" s="315">
        <v>-1747743</v>
      </c>
      <c r="CS62" s="315">
        <v>-1043615</v>
      </c>
      <c r="CT62" s="315">
        <v>-928900</v>
      </c>
      <c r="CU62" s="315">
        <v>0</v>
      </c>
      <c r="CV62" s="315">
        <v>-246</v>
      </c>
      <c r="CW62" s="315">
        <v>-114469</v>
      </c>
      <c r="CX62" s="315">
        <v>-513102</v>
      </c>
      <c r="CY62" s="315">
        <v>-403249</v>
      </c>
      <c r="CZ62" s="315">
        <v>-105000</v>
      </c>
      <c r="DA62" s="315">
        <v>-4853</v>
      </c>
      <c r="DB62" s="315">
        <v>-191026</v>
      </c>
      <c r="DC62" s="315">
        <v>0</v>
      </c>
      <c r="DD62" s="315">
        <v>4330292</v>
      </c>
      <c r="DE62" s="315">
        <v>4330292</v>
      </c>
      <c r="DF62" s="316"/>
      <c r="DG62" s="315"/>
      <c r="DH62" s="315"/>
      <c r="DI62" s="315">
        <v>1390896</v>
      </c>
      <c r="DJ62" s="315">
        <v>52785</v>
      </c>
      <c r="DK62" s="315">
        <v>13106</v>
      </c>
      <c r="DL62" s="315">
        <v>1367</v>
      </c>
      <c r="DM62" s="315">
        <v>772967</v>
      </c>
      <c r="DN62" s="315">
        <v>374591</v>
      </c>
      <c r="DO62" s="315">
        <v>50200</v>
      </c>
      <c r="DP62" s="315"/>
      <c r="DQ62" s="315"/>
      <c r="DR62" s="315">
        <v>125880</v>
      </c>
      <c r="DS62" s="315">
        <v>-59439</v>
      </c>
      <c r="DT62" s="315">
        <v>-11069</v>
      </c>
      <c r="DU62" s="315">
        <v>-1807</v>
      </c>
      <c r="DV62" s="315">
        <v>-9</v>
      </c>
      <c r="DW62" s="315">
        <v>-871</v>
      </c>
      <c r="DX62" s="315"/>
      <c r="DY62" s="315"/>
      <c r="DZ62" s="315"/>
      <c r="EA62" s="315">
        <v>-42075</v>
      </c>
      <c r="EB62" s="315">
        <v>-52</v>
      </c>
      <c r="EC62" s="315"/>
      <c r="ED62" s="315"/>
      <c r="EE62" s="315">
        <v>-3556</v>
      </c>
      <c r="EF62" s="315">
        <v>1331457</v>
      </c>
      <c r="EG62" s="315">
        <v>1331457</v>
      </c>
      <c r="EH62" s="316"/>
      <c r="EI62" s="315"/>
      <c r="EJ62" s="315"/>
      <c r="EK62" s="315">
        <v>41716</v>
      </c>
      <c r="EL62" s="315">
        <v>41716</v>
      </c>
      <c r="EM62" s="316"/>
      <c r="EN62" s="315"/>
      <c r="EO62" s="315"/>
      <c r="EP62" s="315">
        <v>11299</v>
      </c>
      <c r="EQ62" s="315">
        <v>11299</v>
      </c>
      <c r="ER62" s="316"/>
      <c r="ES62" s="315"/>
      <c r="ET62" s="315"/>
      <c r="EU62" s="315">
        <v>1358</v>
      </c>
      <c r="EV62" s="315">
        <v>1358</v>
      </c>
      <c r="EW62" s="316"/>
      <c r="EX62" s="315"/>
      <c r="EY62" s="315"/>
      <c r="EZ62" s="315">
        <v>772096</v>
      </c>
      <c r="FA62" s="315">
        <v>772096</v>
      </c>
      <c r="FB62" s="316"/>
      <c r="FC62" s="315"/>
      <c r="FD62" s="315"/>
      <c r="FE62" s="315">
        <v>332516</v>
      </c>
      <c r="FF62" s="315">
        <v>332516</v>
      </c>
      <c r="FG62" s="316"/>
      <c r="FH62" s="315"/>
      <c r="FI62" s="315"/>
      <c r="FJ62" s="315">
        <v>50148</v>
      </c>
      <c r="FK62" s="315">
        <v>50148</v>
      </c>
      <c r="FL62" s="316"/>
      <c r="FM62" s="315"/>
      <c r="FN62" s="315"/>
      <c r="FO62" s="315"/>
      <c r="FP62" s="315"/>
      <c r="FQ62" s="315">
        <v>122324</v>
      </c>
      <c r="FR62" s="315">
        <v>271581</v>
      </c>
      <c r="FS62" s="315">
        <v>-5860</v>
      </c>
      <c r="FT62" s="315">
        <v>265721</v>
      </c>
      <c r="FU62" s="315"/>
      <c r="FV62" s="315"/>
      <c r="FW62" s="315"/>
      <c r="FX62" s="315">
        <v>81678</v>
      </c>
      <c r="FY62" s="315">
        <v>59110</v>
      </c>
      <c r="FZ62" s="315"/>
      <c r="GA62" s="315"/>
      <c r="GB62" s="315"/>
      <c r="GC62" s="315">
        <v>63215</v>
      </c>
      <c r="GD62" s="315"/>
      <c r="GE62" s="315"/>
      <c r="GF62" s="315"/>
      <c r="GG62" s="315">
        <v>61718</v>
      </c>
      <c r="GH62" s="315">
        <v>22027</v>
      </c>
      <c r="GI62" s="315">
        <v>3324</v>
      </c>
      <c r="GJ62" s="315">
        <v>36367</v>
      </c>
      <c r="GL62"/>
      <c r="GM62"/>
      <c r="GN62"/>
      <c r="GO62"/>
    </row>
    <row r="63" spans="1:197">
      <c r="A63" s="98" t="s">
        <v>17</v>
      </c>
      <c r="B63" s="98">
        <v>8</v>
      </c>
      <c r="C63" s="98" t="s">
        <v>224</v>
      </c>
      <c r="D63" s="315">
        <v>8163173</v>
      </c>
      <c r="E63" s="315">
        <v>-1624011</v>
      </c>
      <c r="F63" s="315">
        <v>-10476</v>
      </c>
      <c r="G63" s="315">
        <v>6528686</v>
      </c>
      <c r="H63" s="315">
        <v>6157982</v>
      </c>
      <c r="I63" s="315">
        <v>370704</v>
      </c>
      <c r="J63" s="315">
        <v>370704</v>
      </c>
      <c r="K63" s="315"/>
      <c r="L63" s="315">
        <v>862173</v>
      </c>
      <c r="M63" s="315">
        <v>757785</v>
      </c>
      <c r="N63" s="315">
        <v>37329</v>
      </c>
      <c r="O63" s="315"/>
      <c r="P63" s="315"/>
      <c r="Q63" s="315"/>
      <c r="R63" s="315">
        <v>67059</v>
      </c>
      <c r="S63" s="315">
        <v>-877577</v>
      </c>
      <c r="T63" s="315">
        <v>-874749</v>
      </c>
      <c r="U63" s="315"/>
      <c r="V63" s="315"/>
      <c r="W63" s="315">
        <v>-866960</v>
      </c>
      <c r="X63" s="315">
        <v>0</v>
      </c>
      <c r="Y63" s="315">
        <v>-7789</v>
      </c>
      <c r="Z63" s="315"/>
      <c r="AA63" s="315">
        <v>-2828</v>
      </c>
      <c r="AB63" s="315">
        <v>0</v>
      </c>
      <c r="AC63" s="315">
        <v>-10476</v>
      </c>
      <c r="AD63" s="315">
        <v>-25880</v>
      </c>
      <c r="AE63" s="315">
        <v>-396584</v>
      </c>
      <c r="AF63" s="315">
        <v>370704</v>
      </c>
      <c r="AG63" s="315">
        <v>370704</v>
      </c>
      <c r="AH63" s="315"/>
      <c r="AI63" s="315">
        <v>755947</v>
      </c>
      <c r="AJ63" s="315">
        <v>631868</v>
      </c>
      <c r="AK63" s="315">
        <v>48418</v>
      </c>
      <c r="AL63" s="315">
        <v>31481</v>
      </c>
      <c r="AM63" s="315">
        <v>37305</v>
      </c>
      <c r="AN63" s="315">
        <v>-8072</v>
      </c>
      <c r="AO63" s="315">
        <v>28776</v>
      </c>
      <c r="AP63" s="315"/>
      <c r="AQ63" s="315">
        <v>8060</v>
      </c>
      <c r="AR63" s="315">
        <v>-837420</v>
      </c>
      <c r="AS63" s="315"/>
      <c r="AT63" s="315"/>
      <c r="AU63" s="315">
        <v>-10476</v>
      </c>
      <c r="AV63" s="315">
        <v>5073013</v>
      </c>
      <c r="AW63" s="315">
        <v>1898</v>
      </c>
      <c r="AX63" s="315">
        <v>5050792</v>
      </c>
      <c r="AY63" s="315"/>
      <c r="AZ63" s="315"/>
      <c r="BA63" s="315"/>
      <c r="BB63" s="315"/>
      <c r="BC63" s="315"/>
      <c r="BD63" s="315">
        <v>20323</v>
      </c>
      <c r="BE63" s="315">
        <v>-14012</v>
      </c>
      <c r="BF63" s="315">
        <v>-13800</v>
      </c>
      <c r="BG63" s="315">
        <v>-13800</v>
      </c>
      <c r="BH63" s="315"/>
      <c r="BI63" s="315">
        <v>0</v>
      </c>
      <c r="BJ63" s="315">
        <v>0</v>
      </c>
      <c r="BK63" s="315">
        <v>-13800</v>
      </c>
      <c r="BL63" s="315">
        <v>-212</v>
      </c>
      <c r="BM63" s="315">
        <v>0</v>
      </c>
      <c r="BN63" s="315">
        <v>5059001</v>
      </c>
      <c r="BO63" s="315">
        <v>14502</v>
      </c>
      <c r="BP63" s="315">
        <v>4970</v>
      </c>
      <c r="BQ63" s="315">
        <v>728</v>
      </c>
      <c r="BR63" s="315"/>
      <c r="BS63" s="315">
        <v>1809</v>
      </c>
      <c r="BT63" s="315"/>
      <c r="BU63" s="315"/>
      <c r="BV63" s="315"/>
      <c r="BW63" s="315"/>
      <c r="BX63" s="315">
        <v>5036992</v>
      </c>
      <c r="BY63" s="315"/>
      <c r="BZ63" s="315"/>
      <c r="CA63" s="315">
        <v>90792</v>
      </c>
      <c r="CB63" s="315">
        <v>-29164</v>
      </c>
      <c r="CC63" s="315">
        <v>-2641</v>
      </c>
      <c r="CD63" s="315">
        <v>-26523</v>
      </c>
      <c r="CE63" s="315">
        <v>61628</v>
      </c>
      <c r="CF63" s="315"/>
      <c r="CG63" s="315"/>
      <c r="CH63" s="315"/>
      <c r="CI63" s="315">
        <v>525704</v>
      </c>
      <c r="CJ63" s="315">
        <v>391540</v>
      </c>
      <c r="CK63" s="315">
        <v>134164</v>
      </c>
      <c r="CL63" s="315">
        <v>50714</v>
      </c>
      <c r="CM63" s="315">
        <v>70859</v>
      </c>
      <c r="CN63" s="315">
        <v>12591</v>
      </c>
      <c r="CO63" s="315"/>
      <c r="CP63" s="315"/>
      <c r="CQ63" s="315">
        <v>12591</v>
      </c>
      <c r="CR63" s="315">
        <v>-697618</v>
      </c>
      <c r="CS63" s="315">
        <v>-366046</v>
      </c>
      <c r="CT63" s="315">
        <v>-305909</v>
      </c>
      <c r="CU63" s="315">
        <v>0</v>
      </c>
      <c r="CV63" s="315">
        <v>-329</v>
      </c>
      <c r="CW63" s="315">
        <v>-59808</v>
      </c>
      <c r="CX63" s="315">
        <v>-331572</v>
      </c>
      <c r="CY63" s="315">
        <v>-309942</v>
      </c>
      <c r="CZ63" s="315">
        <v>-20000</v>
      </c>
      <c r="DA63" s="315">
        <v>-1630</v>
      </c>
      <c r="DB63" s="315">
        <v>0</v>
      </c>
      <c r="DC63" s="315">
        <v>0</v>
      </c>
      <c r="DD63" s="315">
        <v>-171914</v>
      </c>
      <c r="DE63" s="315">
        <v>-171914</v>
      </c>
      <c r="DF63" s="316"/>
      <c r="DG63" s="315"/>
      <c r="DH63" s="315"/>
      <c r="DI63" s="315">
        <v>1428180</v>
      </c>
      <c r="DJ63" s="315">
        <v>65234</v>
      </c>
      <c r="DK63" s="315">
        <v>19229</v>
      </c>
      <c r="DL63" s="315">
        <v>2802</v>
      </c>
      <c r="DM63" s="315">
        <v>803726</v>
      </c>
      <c r="DN63" s="315">
        <v>397582</v>
      </c>
      <c r="DO63" s="315">
        <v>41175</v>
      </c>
      <c r="DP63" s="315"/>
      <c r="DQ63" s="315"/>
      <c r="DR63" s="315">
        <v>98432</v>
      </c>
      <c r="DS63" s="315">
        <v>-2626</v>
      </c>
      <c r="DT63" s="315">
        <v>-1364</v>
      </c>
      <c r="DU63" s="315">
        <v>-51</v>
      </c>
      <c r="DV63" s="315">
        <v>-1</v>
      </c>
      <c r="DW63" s="315">
        <v>-533</v>
      </c>
      <c r="DX63" s="315"/>
      <c r="DY63" s="315"/>
      <c r="DZ63" s="315"/>
      <c r="EA63" s="315">
        <v>0</v>
      </c>
      <c r="EB63" s="315">
        <v>0</v>
      </c>
      <c r="EC63" s="315"/>
      <c r="ED63" s="315"/>
      <c r="EE63" s="315">
        <v>-677</v>
      </c>
      <c r="EF63" s="315">
        <v>1425554</v>
      </c>
      <c r="EG63" s="315">
        <v>1425554</v>
      </c>
      <c r="EH63" s="316"/>
      <c r="EI63" s="315"/>
      <c r="EJ63" s="315"/>
      <c r="EK63" s="315">
        <v>63870</v>
      </c>
      <c r="EL63" s="315">
        <v>63870</v>
      </c>
      <c r="EM63" s="316"/>
      <c r="EN63" s="315"/>
      <c r="EO63" s="315"/>
      <c r="EP63" s="315">
        <v>19178</v>
      </c>
      <c r="EQ63" s="315">
        <v>19178</v>
      </c>
      <c r="ER63" s="316"/>
      <c r="ES63" s="315"/>
      <c r="ET63" s="315"/>
      <c r="EU63" s="315">
        <v>2801</v>
      </c>
      <c r="EV63" s="315">
        <v>2801</v>
      </c>
      <c r="EW63" s="316"/>
      <c r="EX63" s="315"/>
      <c r="EY63" s="315"/>
      <c r="EZ63" s="315">
        <v>803193</v>
      </c>
      <c r="FA63" s="315">
        <v>803193</v>
      </c>
      <c r="FB63" s="316"/>
      <c r="FC63" s="315"/>
      <c r="FD63" s="315"/>
      <c r="FE63" s="315">
        <v>397582</v>
      </c>
      <c r="FF63" s="315">
        <v>397582</v>
      </c>
      <c r="FG63" s="316"/>
      <c r="FH63" s="315"/>
      <c r="FI63" s="315"/>
      <c r="FJ63" s="315">
        <v>41175</v>
      </c>
      <c r="FK63" s="315">
        <v>41175</v>
      </c>
      <c r="FL63" s="316"/>
      <c r="FM63" s="315"/>
      <c r="FN63" s="315"/>
      <c r="FO63" s="315"/>
      <c r="FP63" s="315"/>
      <c r="FQ63" s="315">
        <v>97755</v>
      </c>
      <c r="FR63" s="315">
        <v>183311</v>
      </c>
      <c r="FS63" s="315">
        <v>-3014</v>
      </c>
      <c r="FT63" s="315">
        <v>180297</v>
      </c>
      <c r="FU63" s="315"/>
      <c r="FV63" s="315"/>
      <c r="FW63" s="315"/>
      <c r="FX63" s="315">
        <v>78841</v>
      </c>
      <c r="FY63" s="315">
        <v>2188</v>
      </c>
      <c r="FZ63" s="315"/>
      <c r="GA63" s="315"/>
      <c r="GB63" s="315"/>
      <c r="GC63" s="315">
        <v>63070</v>
      </c>
      <c r="GD63" s="315"/>
      <c r="GE63" s="315"/>
      <c r="GF63" s="315"/>
      <c r="GG63" s="315">
        <v>36198</v>
      </c>
      <c r="GH63" s="315">
        <v>2044</v>
      </c>
      <c r="GI63" s="315">
        <v>2655</v>
      </c>
      <c r="GJ63" s="315">
        <v>31499</v>
      </c>
      <c r="GL63"/>
      <c r="GM63"/>
      <c r="GN63"/>
      <c r="GO63"/>
    </row>
    <row r="64" spans="1:197">
      <c r="A64" s="98" t="s">
        <v>17</v>
      </c>
      <c r="B64" s="98">
        <v>9</v>
      </c>
      <c r="C64" s="98" t="s">
        <v>225</v>
      </c>
      <c r="D64" s="315">
        <v>8429218</v>
      </c>
      <c r="E64" s="315">
        <v>-1817712</v>
      </c>
      <c r="F64" s="315">
        <v>-10470</v>
      </c>
      <c r="G64" s="315">
        <v>6601036</v>
      </c>
      <c r="H64" s="315">
        <v>6230332</v>
      </c>
      <c r="I64" s="315">
        <v>370704</v>
      </c>
      <c r="J64" s="315">
        <v>370704</v>
      </c>
      <c r="K64" s="315"/>
      <c r="L64" s="315">
        <v>2900607</v>
      </c>
      <c r="M64" s="315">
        <v>2379608</v>
      </c>
      <c r="N64" s="315">
        <v>24569</v>
      </c>
      <c r="O64" s="315"/>
      <c r="P64" s="315"/>
      <c r="Q64" s="315"/>
      <c r="R64" s="315">
        <v>496430</v>
      </c>
      <c r="S64" s="315">
        <v>-1065422</v>
      </c>
      <c r="T64" s="315">
        <v>-1058610</v>
      </c>
      <c r="U64" s="315"/>
      <c r="V64" s="315"/>
      <c r="W64" s="315">
        <v>-1049914</v>
      </c>
      <c r="X64" s="315">
        <v>0</v>
      </c>
      <c r="Y64" s="315">
        <v>-8696</v>
      </c>
      <c r="Z64" s="315"/>
      <c r="AA64" s="315">
        <v>-6812</v>
      </c>
      <c r="AB64" s="315">
        <v>0</v>
      </c>
      <c r="AC64" s="315">
        <v>-10470</v>
      </c>
      <c r="AD64" s="315">
        <v>1824715</v>
      </c>
      <c r="AE64" s="315">
        <v>1454011</v>
      </c>
      <c r="AF64" s="315">
        <v>370704</v>
      </c>
      <c r="AG64" s="315">
        <v>370704</v>
      </c>
      <c r="AH64" s="315"/>
      <c r="AI64" s="315">
        <v>2373307</v>
      </c>
      <c r="AJ64" s="315">
        <v>254817</v>
      </c>
      <c r="AK64" s="315">
        <v>2057943</v>
      </c>
      <c r="AL64" s="315">
        <v>6846</v>
      </c>
      <c r="AM64" s="315">
        <v>405521</v>
      </c>
      <c r="AN64" s="315">
        <v>26102</v>
      </c>
      <c r="AO64" s="315">
        <v>59019</v>
      </c>
      <c r="AP64" s="315"/>
      <c r="AQ64" s="315">
        <v>5277</v>
      </c>
      <c r="AR64" s="315">
        <v>-1034041</v>
      </c>
      <c r="AS64" s="315"/>
      <c r="AT64" s="315"/>
      <c r="AU64" s="315">
        <v>-10470</v>
      </c>
      <c r="AV64" s="315">
        <v>338005</v>
      </c>
      <c r="AW64" s="315">
        <v>1779</v>
      </c>
      <c r="AX64" s="315">
        <v>117612</v>
      </c>
      <c r="AY64" s="315"/>
      <c r="AZ64" s="315"/>
      <c r="BA64" s="315"/>
      <c r="BB64" s="315"/>
      <c r="BC64" s="315"/>
      <c r="BD64" s="315">
        <v>218614</v>
      </c>
      <c r="BE64" s="315">
        <v>-15718</v>
      </c>
      <c r="BF64" s="315">
        <v>-15223</v>
      </c>
      <c r="BG64" s="315">
        <v>-15223</v>
      </c>
      <c r="BH64" s="315"/>
      <c r="BI64" s="315">
        <v>-8204</v>
      </c>
      <c r="BJ64" s="315">
        <v>0</v>
      </c>
      <c r="BK64" s="315">
        <v>-7019</v>
      </c>
      <c r="BL64" s="315">
        <v>-495</v>
      </c>
      <c r="BM64" s="315">
        <v>0</v>
      </c>
      <c r="BN64" s="315">
        <v>322287</v>
      </c>
      <c r="BO64" s="315">
        <v>168632</v>
      </c>
      <c r="BP64" s="315">
        <v>11563</v>
      </c>
      <c r="BQ64" s="315">
        <v>38309</v>
      </c>
      <c r="BR64" s="315"/>
      <c r="BS64" s="315">
        <v>1394</v>
      </c>
      <c r="BT64" s="315"/>
      <c r="BU64" s="315"/>
      <c r="BV64" s="315"/>
      <c r="BW64" s="315"/>
      <c r="BX64" s="315">
        <v>102389</v>
      </c>
      <c r="BY64" s="315"/>
      <c r="BZ64" s="315"/>
      <c r="CA64" s="315">
        <v>84948</v>
      </c>
      <c r="CB64" s="315">
        <v>-47222</v>
      </c>
      <c r="CC64" s="315">
        <v>-2843</v>
      </c>
      <c r="CD64" s="315">
        <v>-44379</v>
      </c>
      <c r="CE64" s="315">
        <v>37726</v>
      </c>
      <c r="CF64" s="315"/>
      <c r="CG64" s="315"/>
      <c r="CH64" s="315"/>
      <c r="CI64" s="315">
        <v>3501336</v>
      </c>
      <c r="CJ64" s="315">
        <v>983606</v>
      </c>
      <c r="CK64" s="315">
        <v>2517730</v>
      </c>
      <c r="CL64" s="315">
        <v>2453559</v>
      </c>
      <c r="CM64" s="315">
        <v>47240</v>
      </c>
      <c r="CN64" s="315">
        <v>16931</v>
      </c>
      <c r="CO64" s="315"/>
      <c r="CP64" s="315"/>
      <c r="CQ64" s="315">
        <v>16931</v>
      </c>
      <c r="CR64" s="315">
        <v>-665929</v>
      </c>
      <c r="CS64" s="315">
        <v>-172384</v>
      </c>
      <c r="CT64" s="315">
        <v>-102370</v>
      </c>
      <c r="CU64" s="315">
        <v>0</v>
      </c>
      <c r="CV64" s="315">
        <v>-104</v>
      </c>
      <c r="CW64" s="315">
        <v>-69910</v>
      </c>
      <c r="CX64" s="315">
        <v>-443974</v>
      </c>
      <c r="CY64" s="315">
        <v>-437489</v>
      </c>
      <c r="CZ64" s="315">
        <v>-5000</v>
      </c>
      <c r="DA64" s="315">
        <v>-1485</v>
      </c>
      <c r="DB64" s="315">
        <v>0</v>
      </c>
      <c r="DC64" s="315">
        <v>-49571</v>
      </c>
      <c r="DD64" s="315">
        <v>2835407</v>
      </c>
      <c r="DE64" s="315">
        <v>2835407</v>
      </c>
      <c r="DF64" s="316"/>
      <c r="DG64" s="315"/>
      <c r="DH64" s="315"/>
      <c r="DI64" s="315">
        <v>1342782</v>
      </c>
      <c r="DJ64" s="315">
        <v>71952</v>
      </c>
      <c r="DK64" s="315">
        <v>20163</v>
      </c>
      <c r="DL64" s="315">
        <v>850</v>
      </c>
      <c r="DM64" s="315">
        <v>752194</v>
      </c>
      <c r="DN64" s="315">
        <v>382950</v>
      </c>
      <c r="DO64" s="315">
        <v>46380</v>
      </c>
      <c r="DP64" s="315"/>
      <c r="DQ64" s="315"/>
      <c r="DR64" s="315">
        <v>68293</v>
      </c>
      <c r="DS64" s="315">
        <v>-20532</v>
      </c>
      <c r="DT64" s="315">
        <v>-1417</v>
      </c>
      <c r="DU64" s="315">
        <v>-29</v>
      </c>
      <c r="DV64" s="315">
        <v>-3</v>
      </c>
      <c r="DW64" s="315">
        <v>-749</v>
      </c>
      <c r="DX64" s="315"/>
      <c r="DY64" s="315"/>
      <c r="DZ64" s="315"/>
      <c r="EA64" s="315">
        <v>-17084</v>
      </c>
      <c r="EB64" s="315">
        <v>0</v>
      </c>
      <c r="EC64" s="315"/>
      <c r="ED64" s="315"/>
      <c r="EE64" s="315">
        <v>-1250</v>
      </c>
      <c r="EF64" s="315">
        <v>1322250</v>
      </c>
      <c r="EG64" s="315">
        <v>1322250</v>
      </c>
      <c r="EH64" s="316"/>
      <c r="EI64" s="315"/>
      <c r="EJ64" s="315"/>
      <c r="EK64" s="315">
        <v>70535</v>
      </c>
      <c r="EL64" s="315">
        <v>70535</v>
      </c>
      <c r="EM64" s="316"/>
      <c r="EN64" s="315"/>
      <c r="EO64" s="315"/>
      <c r="EP64" s="315">
        <v>20134</v>
      </c>
      <c r="EQ64" s="315">
        <v>20134</v>
      </c>
      <c r="ER64" s="316"/>
      <c r="ES64" s="315"/>
      <c r="ET64" s="315"/>
      <c r="EU64" s="315">
        <v>847</v>
      </c>
      <c r="EV64" s="315">
        <v>847</v>
      </c>
      <c r="EW64" s="316"/>
      <c r="EX64" s="315"/>
      <c r="EY64" s="315"/>
      <c r="EZ64" s="315">
        <v>751445</v>
      </c>
      <c r="FA64" s="315">
        <v>751445</v>
      </c>
      <c r="FB64" s="316"/>
      <c r="FC64" s="315"/>
      <c r="FD64" s="315"/>
      <c r="FE64" s="315">
        <v>365866</v>
      </c>
      <c r="FF64" s="315">
        <v>365866</v>
      </c>
      <c r="FG64" s="316"/>
      <c r="FH64" s="315"/>
      <c r="FI64" s="315"/>
      <c r="FJ64" s="315">
        <v>46380</v>
      </c>
      <c r="FK64" s="315">
        <v>46380</v>
      </c>
      <c r="FL64" s="316"/>
      <c r="FM64" s="315"/>
      <c r="FN64" s="315"/>
      <c r="FO64" s="315"/>
      <c r="FP64" s="315"/>
      <c r="FQ64" s="315">
        <v>67043</v>
      </c>
      <c r="FR64" s="315">
        <v>261540</v>
      </c>
      <c r="FS64" s="315">
        <v>-2889</v>
      </c>
      <c r="FT64" s="315">
        <v>258651</v>
      </c>
      <c r="FU64" s="315"/>
      <c r="FV64" s="315"/>
      <c r="FW64" s="315"/>
      <c r="FX64" s="315">
        <v>72716</v>
      </c>
      <c r="FY64" s="315">
        <v>109420</v>
      </c>
      <c r="FZ64" s="315"/>
      <c r="GA64" s="315"/>
      <c r="GB64" s="315"/>
      <c r="GC64" s="315">
        <v>30351</v>
      </c>
      <c r="GD64" s="315"/>
      <c r="GE64" s="315"/>
      <c r="GF64" s="315"/>
      <c r="GG64" s="315">
        <v>46164</v>
      </c>
      <c r="GH64" s="315">
        <v>738</v>
      </c>
      <c r="GI64" s="315">
        <v>2634</v>
      </c>
      <c r="GJ64" s="315">
        <v>42792</v>
      </c>
      <c r="GL64"/>
      <c r="GM64"/>
      <c r="GN64"/>
      <c r="GO64"/>
    </row>
    <row r="65" spans="1:197">
      <c r="A65" s="98" t="s">
        <v>17</v>
      </c>
      <c r="B65" s="98">
        <v>10</v>
      </c>
      <c r="C65" s="98" t="s">
        <v>226</v>
      </c>
      <c r="D65" s="315">
        <v>17141029</v>
      </c>
      <c r="E65" s="315">
        <v>-2000585</v>
      </c>
      <c r="F65" s="315">
        <v>-10469</v>
      </c>
      <c r="G65" s="315">
        <v>15129975</v>
      </c>
      <c r="H65" s="315">
        <v>14759271</v>
      </c>
      <c r="I65" s="315">
        <v>370704</v>
      </c>
      <c r="J65" s="315">
        <v>370704</v>
      </c>
      <c r="K65" s="315"/>
      <c r="L65" s="315">
        <v>4889150</v>
      </c>
      <c r="M65" s="315">
        <v>3811332</v>
      </c>
      <c r="N65" s="315">
        <v>47011</v>
      </c>
      <c r="O65" s="315"/>
      <c r="P65" s="315"/>
      <c r="Q65" s="315"/>
      <c r="R65" s="315">
        <v>1030807</v>
      </c>
      <c r="S65" s="315">
        <v>-1046243</v>
      </c>
      <c r="T65" s="315">
        <v>-1040941</v>
      </c>
      <c r="U65" s="315"/>
      <c r="V65" s="315"/>
      <c r="W65" s="315">
        <v>-1027839</v>
      </c>
      <c r="X65" s="315">
        <v>0</v>
      </c>
      <c r="Y65" s="315">
        <v>-13102</v>
      </c>
      <c r="Z65" s="315"/>
      <c r="AA65" s="315">
        <v>-5302</v>
      </c>
      <c r="AB65" s="315">
        <v>0</v>
      </c>
      <c r="AC65" s="315">
        <v>-10469</v>
      </c>
      <c r="AD65" s="315">
        <v>3832438</v>
      </c>
      <c r="AE65" s="315">
        <v>3461734</v>
      </c>
      <c r="AF65" s="315">
        <v>370704</v>
      </c>
      <c r="AG65" s="315">
        <v>370704</v>
      </c>
      <c r="AH65" s="315"/>
      <c r="AI65" s="315">
        <v>3806648</v>
      </c>
      <c r="AJ65" s="315">
        <v>519967</v>
      </c>
      <c r="AK65" s="315">
        <v>1040659</v>
      </c>
      <c r="AL65" s="315">
        <v>2194884</v>
      </c>
      <c r="AM65" s="315">
        <v>193412</v>
      </c>
      <c r="AN65" s="315">
        <v>197799</v>
      </c>
      <c r="AO65" s="315">
        <v>57817</v>
      </c>
      <c r="AP65" s="315"/>
      <c r="AQ65" s="315">
        <v>581161</v>
      </c>
      <c r="AR65" s="315">
        <v>-993930</v>
      </c>
      <c r="AS65" s="315"/>
      <c r="AT65" s="315"/>
      <c r="AU65" s="315">
        <v>-10469</v>
      </c>
      <c r="AV65" s="315">
        <v>4482933</v>
      </c>
      <c r="AW65" s="315">
        <v>4172085</v>
      </c>
      <c r="AX65" s="315">
        <v>122534</v>
      </c>
      <c r="AY65" s="315"/>
      <c r="AZ65" s="315"/>
      <c r="BA65" s="315"/>
      <c r="BB65" s="315"/>
      <c r="BC65" s="315"/>
      <c r="BD65" s="315">
        <v>188314</v>
      </c>
      <c r="BE65" s="315">
        <v>-84817</v>
      </c>
      <c r="BF65" s="315">
        <v>-76628</v>
      </c>
      <c r="BG65" s="315">
        <v>-76628</v>
      </c>
      <c r="BH65" s="315"/>
      <c r="BI65" s="315">
        <v>-55774</v>
      </c>
      <c r="BJ65" s="315">
        <v>0</v>
      </c>
      <c r="BK65" s="315">
        <v>-20854</v>
      </c>
      <c r="BL65" s="315">
        <v>-8189</v>
      </c>
      <c r="BM65" s="315">
        <v>0</v>
      </c>
      <c r="BN65" s="315">
        <v>4398116</v>
      </c>
      <c r="BO65" s="315">
        <v>81666</v>
      </c>
      <c r="BP65" s="315">
        <v>81822</v>
      </c>
      <c r="BQ65" s="315">
        <v>24628</v>
      </c>
      <c r="BR65" s="315"/>
      <c r="BS65" s="315">
        <v>4164094</v>
      </c>
      <c r="BT65" s="315"/>
      <c r="BU65" s="315"/>
      <c r="BV65" s="315"/>
      <c r="BW65" s="315"/>
      <c r="BX65" s="315">
        <v>45906</v>
      </c>
      <c r="BY65" s="315"/>
      <c r="BZ65" s="315"/>
      <c r="CA65" s="315">
        <v>86036</v>
      </c>
      <c r="CB65" s="315">
        <v>-11955</v>
      </c>
      <c r="CC65" s="315">
        <v>-11955</v>
      </c>
      <c r="CD65" s="315">
        <v>0</v>
      </c>
      <c r="CE65" s="315">
        <v>74081</v>
      </c>
      <c r="CF65" s="315"/>
      <c r="CG65" s="315"/>
      <c r="CH65" s="315"/>
      <c r="CI65" s="315">
        <v>6050474</v>
      </c>
      <c r="CJ65" s="315">
        <v>750311</v>
      </c>
      <c r="CK65" s="315">
        <v>5300163</v>
      </c>
      <c r="CL65" s="315">
        <v>1367218</v>
      </c>
      <c r="CM65" s="315">
        <v>3920384</v>
      </c>
      <c r="CN65" s="315">
        <v>12561</v>
      </c>
      <c r="CO65" s="315"/>
      <c r="CP65" s="315"/>
      <c r="CQ65" s="315">
        <v>12561</v>
      </c>
      <c r="CR65" s="315">
        <v>-785157</v>
      </c>
      <c r="CS65" s="315">
        <v>-168124</v>
      </c>
      <c r="CT65" s="315">
        <v>-79460</v>
      </c>
      <c r="CU65" s="315">
        <v>0</v>
      </c>
      <c r="CV65" s="315">
        <v>-104</v>
      </c>
      <c r="CW65" s="315">
        <v>-88560</v>
      </c>
      <c r="CX65" s="315">
        <v>-449629</v>
      </c>
      <c r="CY65" s="315">
        <v>-443522</v>
      </c>
      <c r="CZ65" s="315">
        <v>-3717</v>
      </c>
      <c r="DA65" s="315">
        <v>-2390</v>
      </c>
      <c r="DB65" s="315">
        <v>-167404</v>
      </c>
      <c r="DC65" s="315">
        <v>0</v>
      </c>
      <c r="DD65" s="315">
        <v>5265317</v>
      </c>
      <c r="DE65" s="315">
        <v>5265317</v>
      </c>
      <c r="DF65" s="316"/>
      <c r="DG65" s="315"/>
      <c r="DH65" s="315"/>
      <c r="DI65" s="315">
        <v>1383030</v>
      </c>
      <c r="DJ65" s="315">
        <v>62308</v>
      </c>
      <c r="DK65" s="315">
        <v>21423</v>
      </c>
      <c r="DL65" s="315">
        <v>1273</v>
      </c>
      <c r="DM65" s="315">
        <v>761351</v>
      </c>
      <c r="DN65" s="315">
        <v>373051</v>
      </c>
      <c r="DO65" s="315">
        <v>66688</v>
      </c>
      <c r="DP65" s="315"/>
      <c r="DQ65" s="315"/>
      <c r="DR65" s="315">
        <v>96936</v>
      </c>
      <c r="DS65" s="315">
        <v>-63537</v>
      </c>
      <c r="DT65" s="315">
        <v>-11522</v>
      </c>
      <c r="DU65" s="315">
        <v>-2641</v>
      </c>
      <c r="DV65" s="315">
        <v>-65</v>
      </c>
      <c r="DW65" s="315">
        <v>-818</v>
      </c>
      <c r="DX65" s="315"/>
      <c r="DY65" s="315"/>
      <c r="DZ65" s="315"/>
      <c r="EA65" s="315">
        <v>-47068</v>
      </c>
      <c r="EB65" s="315">
        <v>0</v>
      </c>
      <c r="EC65" s="315"/>
      <c r="ED65" s="315"/>
      <c r="EE65" s="315">
        <v>-1423</v>
      </c>
      <c r="EF65" s="315">
        <v>1319493</v>
      </c>
      <c r="EG65" s="315">
        <v>1319493</v>
      </c>
      <c r="EH65" s="316"/>
      <c r="EI65" s="315"/>
      <c r="EJ65" s="315"/>
      <c r="EK65" s="315">
        <v>50786</v>
      </c>
      <c r="EL65" s="315">
        <v>50786</v>
      </c>
      <c r="EM65" s="316"/>
      <c r="EN65" s="315"/>
      <c r="EO65" s="315"/>
      <c r="EP65" s="315">
        <v>18782</v>
      </c>
      <c r="EQ65" s="315">
        <v>18782</v>
      </c>
      <c r="ER65" s="316"/>
      <c r="ES65" s="315"/>
      <c r="ET65" s="315"/>
      <c r="EU65" s="315">
        <v>1208</v>
      </c>
      <c r="EV65" s="315">
        <v>1208</v>
      </c>
      <c r="EW65" s="316"/>
      <c r="EX65" s="315"/>
      <c r="EY65" s="315"/>
      <c r="EZ65" s="315">
        <v>760533</v>
      </c>
      <c r="FA65" s="315">
        <v>760533</v>
      </c>
      <c r="FB65" s="316"/>
      <c r="FC65" s="315"/>
      <c r="FD65" s="315"/>
      <c r="FE65" s="315">
        <v>325983</v>
      </c>
      <c r="FF65" s="315">
        <v>325983</v>
      </c>
      <c r="FG65" s="316"/>
      <c r="FH65" s="315"/>
      <c r="FI65" s="315"/>
      <c r="FJ65" s="315">
        <v>66688</v>
      </c>
      <c r="FK65" s="315">
        <v>66688</v>
      </c>
      <c r="FL65" s="316"/>
      <c r="FM65" s="315"/>
      <c r="FN65" s="315"/>
      <c r="FO65" s="315"/>
      <c r="FP65" s="315"/>
      <c r="FQ65" s="315">
        <v>95513</v>
      </c>
      <c r="FR65" s="315">
        <v>249406</v>
      </c>
      <c r="FS65" s="315">
        <v>-8876</v>
      </c>
      <c r="FT65" s="315">
        <v>240530</v>
      </c>
      <c r="FU65" s="315"/>
      <c r="FV65" s="315"/>
      <c r="FW65" s="315"/>
      <c r="FX65" s="315">
        <v>74928</v>
      </c>
      <c r="FY65" s="315">
        <v>58286</v>
      </c>
      <c r="FZ65" s="315"/>
      <c r="GA65" s="315"/>
      <c r="GB65" s="315"/>
      <c r="GC65" s="315">
        <v>63936</v>
      </c>
      <c r="GD65" s="315"/>
      <c r="GE65" s="315"/>
      <c r="GF65" s="315"/>
      <c r="GG65" s="315">
        <v>43380</v>
      </c>
      <c r="GH65" s="315">
        <v>1256</v>
      </c>
      <c r="GI65" s="315">
        <v>2758</v>
      </c>
      <c r="GJ65" s="315">
        <v>39366</v>
      </c>
      <c r="GL65"/>
      <c r="GM65"/>
      <c r="GN65"/>
      <c r="GO65"/>
    </row>
    <row r="66" spans="1:197">
      <c r="A66" s="98" t="s">
        <v>17</v>
      </c>
      <c r="B66" s="98">
        <v>11</v>
      </c>
      <c r="C66" s="98" t="s">
        <v>227</v>
      </c>
      <c r="D66" s="315">
        <v>8019602</v>
      </c>
      <c r="E66" s="315">
        <v>-1259140</v>
      </c>
      <c r="F66" s="315">
        <v>-10459</v>
      </c>
      <c r="G66" s="315">
        <v>6750003</v>
      </c>
      <c r="H66" s="315">
        <v>6044920</v>
      </c>
      <c r="I66" s="315">
        <v>705083</v>
      </c>
      <c r="J66" s="315">
        <v>705083</v>
      </c>
      <c r="K66" s="315"/>
      <c r="L66" s="315">
        <v>3839249</v>
      </c>
      <c r="M66" s="315">
        <v>1887638</v>
      </c>
      <c r="N66" s="315">
        <v>1654881</v>
      </c>
      <c r="O66" s="315"/>
      <c r="P66" s="315"/>
      <c r="Q66" s="315"/>
      <c r="R66" s="315">
        <v>296730</v>
      </c>
      <c r="S66" s="315">
        <v>-287519</v>
      </c>
      <c r="T66" s="315">
        <v>-283089</v>
      </c>
      <c r="U66" s="315"/>
      <c r="V66" s="315"/>
      <c r="W66" s="315">
        <v>-271862</v>
      </c>
      <c r="X66" s="315">
        <v>0</v>
      </c>
      <c r="Y66" s="315">
        <v>-11227</v>
      </c>
      <c r="Z66" s="315"/>
      <c r="AA66" s="315">
        <v>-4430</v>
      </c>
      <c r="AB66" s="315">
        <v>0</v>
      </c>
      <c r="AC66" s="315">
        <v>-10459</v>
      </c>
      <c r="AD66" s="315">
        <v>3541271</v>
      </c>
      <c r="AE66" s="315">
        <v>2836188</v>
      </c>
      <c r="AF66" s="315">
        <v>705083</v>
      </c>
      <c r="AG66" s="315">
        <v>705083</v>
      </c>
      <c r="AH66" s="315"/>
      <c r="AI66" s="315">
        <v>1884005</v>
      </c>
      <c r="AJ66" s="315">
        <v>818928</v>
      </c>
      <c r="AK66" s="315">
        <v>1006419</v>
      </c>
      <c r="AL66" s="315">
        <v>17724</v>
      </c>
      <c r="AM66" s="315">
        <v>213546</v>
      </c>
      <c r="AN66" s="315">
        <v>11527</v>
      </c>
      <c r="AO66" s="315">
        <v>63317</v>
      </c>
      <c r="AP66" s="315"/>
      <c r="AQ66" s="315">
        <v>7543</v>
      </c>
      <c r="AR66" s="315">
        <v>1371792</v>
      </c>
      <c r="AS66" s="315"/>
      <c r="AT66" s="315"/>
      <c r="AU66" s="315">
        <v>-10459</v>
      </c>
      <c r="AV66" s="315">
        <v>263207</v>
      </c>
      <c r="AW66" s="315">
        <v>11832</v>
      </c>
      <c r="AX66" s="315">
        <v>128695</v>
      </c>
      <c r="AY66" s="315"/>
      <c r="AZ66" s="315"/>
      <c r="BA66" s="315"/>
      <c r="BB66" s="315"/>
      <c r="BC66" s="315"/>
      <c r="BD66" s="315">
        <v>122680</v>
      </c>
      <c r="BE66" s="315">
        <v>-376197</v>
      </c>
      <c r="BF66" s="315">
        <v>-373024</v>
      </c>
      <c r="BG66" s="315">
        <v>-373024</v>
      </c>
      <c r="BH66" s="315"/>
      <c r="BI66" s="315">
        <v>-348503</v>
      </c>
      <c r="BJ66" s="315">
        <v>0</v>
      </c>
      <c r="BK66" s="315">
        <v>-24521</v>
      </c>
      <c r="BL66" s="315">
        <v>-3173</v>
      </c>
      <c r="BM66" s="315">
        <v>0</v>
      </c>
      <c r="BN66" s="315">
        <v>-112990</v>
      </c>
      <c r="BO66" s="315">
        <v>88517</v>
      </c>
      <c r="BP66" s="315">
        <v>6852</v>
      </c>
      <c r="BQ66" s="315">
        <v>27057</v>
      </c>
      <c r="BR66" s="315"/>
      <c r="BS66" s="315">
        <v>8913</v>
      </c>
      <c r="BT66" s="315"/>
      <c r="BU66" s="315"/>
      <c r="BV66" s="315"/>
      <c r="BW66" s="315"/>
      <c r="BX66" s="315">
        <v>-244329</v>
      </c>
      <c r="BY66" s="315"/>
      <c r="BZ66" s="315"/>
      <c r="CA66" s="315">
        <v>145954</v>
      </c>
      <c r="CB66" s="315">
        <v>-7992</v>
      </c>
      <c r="CC66" s="315">
        <v>-5107</v>
      </c>
      <c r="CD66" s="315">
        <v>-2885</v>
      </c>
      <c r="CE66" s="315">
        <v>137962</v>
      </c>
      <c r="CF66" s="315"/>
      <c r="CG66" s="315"/>
      <c r="CH66" s="315"/>
      <c r="CI66" s="315">
        <v>2223032</v>
      </c>
      <c r="CJ66" s="315">
        <v>741447</v>
      </c>
      <c r="CK66" s="315">
        <v>1481585</v>
      </c>
      <c r="CL66" s="315">
        <v>1397365</v>
      </c>
      <c r="CM66" s="315">
        <v>67494</v>
      </c>
      <c r="CN66" s="315">
        <v>16726</v>
      </c>
      <c r="CO66" s="315"/>
      <c r="CP66" s="315"/>
      <c r="CQ66" s="315">
        <v>16726</v>
      </c>
      <c r="CR66" s="315">
        <v>-577918</v>
      </c>
      <c r="CS66" s="315">
        <v>-116016</v>
      </c>
      <c r="CT66" s="315">
        <v>-61514</v>
      </c>
      <c r="CU66" s="315">
        <v>0</v>
      </c>
      <c r="CV66" s="315">
        <v>-129</v>
      </c>
      <c r="CW66" s="315">
        <v>-54373</v>
      </c>
      <c r="CX66" s="315">
        <v>-461902</v>
      </c>
      <c r="CY66" s="315">
        <v>-456859</v>
      </c>
      <c r="CZ66" s="315">
        <v>0</v>
      </c>
      <c r="DA66" s="315">
        <v>-5043</v>
      </c>
      <c r="DB66" s="315">
        <v>0</v>
      </c>
      <c r="DC66" s="315">
        <v>0</v>
      </c>
      <c r="DD66" s="315">
        <v>1645114</v>
      </c>
      <c r="DE66" s="315">
        <v>1645114</v>
      </c>
      <c r="DF66" s="316"/>
      <c r="DG66" s="315"/>
      <c r="DH66" s="315"/>
      <c r="DI66" s="315">
        <v>1333532</v>
      </c>
      <c r="DJ66" s="315">
        <v>77627</v>
      </c>
      <c r="DK66" s="315">
        <v>21726</v>
      </c>
      <c r="DL66" s="315">
        <v>2228</v>
      </c>
      <c r="DM66" s="315">
        <v>730729</v>
      </c>
      <c r="DN66" s="315">
        <v>344118</v>
      </c>
      <c r="DO66" s="315">
        <v>44078</v>
      </c>
      <c r="DP66" s="315"/>
      <c r="DQ66" s="315"/>
      <c r="DR66" s="315">
        <v>113026</v>
      </c>
      <c r="DS66" s="315">
        <v>-5609</v>
      </c>
      <c r="DT66" s="315">
        <v>-2350</v>
      </c>
      <c r="DU66" s="315">
        <v>-180</v>
      </c>
      <c r="DV66" s="315">
        <v>-10</v>
      </c>
      <c r="DW66" s="315">
        <v>-1263</v>
      </c>
      <c r="DX66" s="315"/>
      <c r="DY66" s="315"/>
      <c r="DZ66" s="315"/>
      <c r="EA66" s="315">
        <v>-9</v>
      </c>
      <c r="EB66" s="315">
        <v>0</v>
      </c>
      <c r="EC66" s="315"/>
      <c r="ED66" s="315"/>
      <c r="EE66" s="315">
        <v>-1797</v>
      </c>
      <c r="EF66" s="315">
        <v>1327923</v>
      </c>
      <c r="EG66" s="315">
        <v>1327923</v>
      </c>
      <c r="EH66" s="316"/>
      <c r="EI66" s="315"/>
      <c r="EJ66" s="315"/>
      <c r="EK66" s="315">
        <v>75277</v>
      </c>
      <c r="EL66" s="315">
        <v>75277</v>
      </c>
      <c r="EM66" s="316"/>
      <c r="EN66" s="315"/>
      <c r="EO66" s="315"/>
      <c r="EP66" s="315">
        <v>21546</v>
      </c>
      <c r="EQ66" s="315">
        <v>21546</v>
      </c>
      <c r="ER66" s="316"/>
      <c r="ES66" s="315"/>
      <c r="ET66" s="315"/>
      <c r="EU66" s="315">
        <v>2218</v>
      </c>
      <c r="EV66" s="315">
        <v>2218</v>
      </c>
      <c r="EW66" s="316"/>
      <c r="EX66" s="315"/>
      <c r="EY66" s="315"/>
      <c r="EZ66" s="315">
        <v>729466</v>
      </c>
      <c r="FA66" s="315">
        <v>729466</v>
      </c>
      <c r="FB66" s="316"/>
      <c r="FC66" s="315"/>
      <c r="FD66" s="315"/>
      <c r="FE66" s="315">
        <v>344109</v>
      </c>
      <c r="FF66" s="315">
        <v>344109</v>
      </c>
      <c r="FG66" s="316"/>
      <c r="FH66" s="315"/>
      <c r="FI66" s="315"/>
      <c r="FJ66" s="315">
        <v>44078</v>
      </c>
      <c r="FK66" s="315">
        <v>44078</v>
      </c>
      <c r="FL66" s="316"/>
      <c r="FM66" s="315"/>
      <c r="FN66" s="315"/>
      <c r="FO66" s="315"/>
      <c r="FP66" s="315"/>
      <c r="FQ66" s="315">
        <v>111229</v>
      </c>
      <c r="FR66" s="315">
        <v>214628</v>
      </c>
      <c r="FS66" s="315">
        <v>-3905</v>
      </c>
      <c r="FT66" s="315">
        <v>210723</v>
      </c>
      <c r="FU66" s="315"/>
      <c r="FV66" s="315"/>
      <c r="FW66" s="315"/>
      <c r="FX66" s="315">
        <v>76623</v>
      </c>
      <c r="FY66" s="315">
        <v>57547</v>
      </c>
      <c r="FZ66" s="315"/>
      <c r="GA66" s="315"/>
      <c r="GB66" s="315"/>
      <c r="GC66" s="315">
        <v>34047</v>
      </c>
      <c r="GD66" s="315"/>
      <c r="GE66" s="315"/>
      <c r="GF66" s="315"/>
      <c r="GG66" s="315">
        <v>42506</v>
      </c>
      <c r="GH66" s="315">
        <v>2332</v>
      </c>
      <c r="GI66" s="315">
        <v>2550</v>
      </c>
      <c r="GJ66" s="315">
        <v>37624</v>
      </c>
      <c r="GL66"/>
      <c r="GM66"/>
      <c r="GN66"/>
      <c r="GO66"/>
    </row>
    <row r="67" spans="1:197">
      <c r="A67" s="98" t="s">
        <v>17</v>
      </c>
      <c r="B67" s="98">
        <v>12</v>
      </c>
      <c r="C67" s="98" t="s">
        <v>228</v>
      </c>
      <c r="D67" s="315">
        <v>8872944</v>
      </c>
      <c r="E67" s="315">
        <v>-3314219</v>
      </c>
      <c r="F67" s="315">
        <v>-10471</v>
      </c>
      <c r="G67" s="315">
        <v>5548254</v>
      </c>
      <c r="H67" s="315">
        <v>5177547</v>
      </c>
      <c r="I67" s="315">
        <v>370707</v>
      </c>
      <c r="J67" s="315">
        <v>370707</v>
      </c>
      <c r="K67" s="315"/>
      <c r="L67" s="315">
        <v>2681746</v>
      </c>
      <c r="M67" s="315">
        <v>2311585</v>
      </c>
      <c r="N67" s="315">
        <v>110752</v>
      </c>
      <c r="O67" s="315"/>
      <c r="P67" s="315"/>
      <c r="Q67" s="315"/>
      <c r="R67" s="315">
        <v>259409</v>
      </c>
      <c r="S67" s="315">
        <v>-418091</v>
      </c>
      <c r="T67" s="315">
        <v>-313252</v>
      </c>
      <c r="U67" s="315"/>
      <c r="V67" s="315"/>
      <c r="W67" s="315">
        <v>-232146</v>
      </c>
      <c r="X67" s="315">
        <v>0</v>
      </c>
      <c r="Y67" s="315">
        <v>-81106</v>
      </c>
      <c r="Z67" s="315"/>
      <c r="AA67" s="315">
        <v>-104839</v>
      </c>
      <c r="AB67" s="315">
        <v>0</v>
      </c>
      <c r="AC67" s="315">
        <v>-10471</v>
      </c>
      <c r="AD67" s="315">
        <v>2253184</v>
      </c>
      <c r="AE67" s="315">
        <v>1882477</v>
      </c>
      <c r="AF67" s="315">
        <v>370707</v>
      </c>
      <c r="AG67" s="315">
        <v>370707</v>
      </c>
      <c r="AH67" s="315"/>
      <c r="AI67" s="315">
        <v>2213400</v>
      </c>
      <c r="AJ67" s="315">
        <v>1102269</v>
      </c>
      <c r="AK67" s="315">
        <v>1026877</v>
      </c>
      <c r="AL67" s="315">
        <v>8733</v>
      </c>
      <c r="AM67" s="315">
        <v>160605</v>
      </c>
      <c r="AN67" s="315">
        <v>15191</v>
      </c>
      <c r="AO67" s="315">
        <v>71317</v>
      </c>
      <c r="AP67" s="315"/>
      <c r="AQ67" s="315">
        <v>5642</v>
      </c>
      <c r="AR67" s="315">
        <v>-202500</v>
      </c>
      <c r="AS67" s="315"/>
      <c r="AT67" s="315"/>
      <c r="AU67" s="315">
        <v>-10471</v>
      </c>
      <c r="AV67" s="315">
        <v>2180198</v>
      </c>
      <c r="AW67" s="315">
        <v>2003853</v>
      </c>
      <c r="AX67" s="315">
        <v>76101</v>
      </c>
      <c r="AY67" s="315"/>
      <c r="AZ67" s="315"/>
      <c r="BA67" s="315"/>
      <c r="BB67" s="315"/>
      <c r="BC67" s="315"/>
      <c r="BD67" s="315">
        <v>100244</v>
      </c>
      <c r="BE67" s="315">
        <v>-1717161</v>
      </c>
      <c r="BF67" s="315">
        <v>-1631379</v>
      </c>
      <c r="BG67" s="315">
        <v>-1631379</v>
      </c>
      <c r="BH67" s="315"/>
      <c r="BI67" s="315">
        <v>-1577363</v>
      </c>
      <c r="BJ67" s="315">
        <v>0</v>
      </c>
      <c r="BK67" s="315">
        <v>-54016</v>
      </c>
      <c r="BL67" s="315">
        <v>-85782</v>
      </c>
      <c r="BM67" s="315">
        <v>0</v>
      </c>
      <c r="BN67" s="315">
        <v>463037</v>
      </c>
      <c r="BO67" s="315">
        <v>62438</v>
      </c>
      <c r="BP67" s="315">
        <v>6151</v>
      </c>
      <c r="BQ67" s="315">
        <v>30351</v>
      </c>
      <c r="BR67" s="315"/>
      <c r="BS67" s="315">
        <v>1919375</v>
      </c>
      <c r="BT67" s="315"/>
      <c r="BU67" s="315"/>
      <c r="BV67" s="315"/>
      <c r="BW67" s="315"/>
      <c r="BX67" s="315">
        <v>-1555278</v>
      </c>
      <c r="BY67" s="315"/>
      <c r="BZ67" s="315"/>
      <c r="CA67" s="315">
        <v>70314</v>
      </c>
      <c r="CB67" s="315">
        <v>-79904</v>
      </c>
      <c r="CC67" s="315">
        <v>-13246</v>
      </c>
      <c r="CD67" s="315">
        <v>-66658</v>
      </c>
      <c r="CE67" s="315">
        <v>-9590</v>
      </c>
      <c r="CF67" s="315"/>
      <c r="CG67" s="315"/>
      <c r="CH67" s="315"/>
      <c r="CI67" s="315">
        <v>2229402</v>
      </c>
      <c r="CJ67" s="315">
        <v>775594</v>
      </c>
      <c r="CK67" s="315">
        <v>1453808</v>
      </c>
      <c r="CL67" s="315">
        <v>1374678</v>
      </c>
      <c r="CM67" s="315">
        <v>60389</v>
      </c>
      <c r="CN67" s="315">
        <v>18741</v>
      </c>
      <c r="CO67" s="315"/>
      <c r="CP67" s="315"/>
      <c r="CQ67" s="315">
        <v>18741</v>
      </c>
      <c r="CR67" s="315">
        <v>-935935</v>
      </c>
      <c r="CS67" s="315">
        <v>-143556</v>
      </c>
      <c r="CT67" s="315">
        <v>-47871</v>
      </c>
      <c r="CU67" s="315">
        <v>0</v>
      </c>
      <c r="CV67" s="315">
        <v>-20338</v>
      </c>
      <c r="CW67" s="315">
        <v>-75347</v>
      </c>
      <c r="CX67" s="315">
        <v>-468518</v>
      </c>
      <c r="CY67" s="315">
        <v>-462419</v>
      </c>
      <c r="CZ67" s="315">
        <v>0</v>
      </c>
      <c r="DA67" s="315">
        <v>-6099</v>
      </c>
      <c r="DB67" s="315">
        <v>-265756</v>
      </c>
      <c r="DC67" s="315">
        <v>-58105</v>
      </c>
      <c r="DD67" s="315">
        <v>1293467</v>
      </c>
      <c r="DE67" s="315">
        <v>1293467</v>
      </c>
      <c r="DF67" s="316"/>
      <c r="DG67" s="315"/>
      <c r="DH67" s="315"/>
      <c r="DI67" s="315">
        <v>1426652</v>
      </c>
      <c r="DJ67" s="315">
        <v>69174</v>
      </c>
      <c r="DK67" s="315">
        <v>21297</v>
      </c>
      <c r="DL67" s="315">
        <v>961</v>
      </c>
      <c r="DM67" s="315">
        <v>807180</v>
      </c>
      <c r="DN67" s="315">
        <v>364110</v>
      </c>
      <c r="DO67" s="315">
        <v>53546</v>
      </c>
      <c r="DP67" s="315"/>
      <c r="DQ67" s="315"/>
      <c r="DR67" s="315">
        <v>110384</v>
      </c>
      <c r="DS67" s="315">
        <v>-139592</v>
      </c>
      <c r="DT67" s="315">
        <v>-16267</v>
      </c>
      <c r="DU67" s="315">
        <v>-4825</v>
      </c>
      <c r="DV67" s="315">
        <v>-109</v>
      </c>
      <c r="DW67" s="315">
        <v>-16793</v>
      </c>
      <c r="DX67" s="315"/>
      <c r="DY67" s="315"/>
      <c r="DZ67" s="315"/>
      <c r="EA67" s="315">
        <v>-70544</v>
      </c>
      <c r="EB67" s="315">
        <v>-16217</v>
      </c>
      <c r="EC67" s="315"/>
      <c r="ED67" s="315"/>
      <c r="EE67" s="315">
        <v>-14837</v>
      </c>
      <c r="EF67" s="315">
        <v>1287060</v>
      </c>
      <c r="EG67" s="315">
        <v>1287060</v>
      </c>
      <c r="EH67" s="316"/>
      <c r="EI67" s="315"/>
      <c r="EJ67" s="315"/>
      <c r="EK67" s="315">
        <v>52907</v>
      </c>
      <c r="EL67" s="315">
        <v>52907</v>
      </c>
      <c r="EM67" s="316"/>
      <c r="EN67" s="315"/>
      <c r="EO67" s="315"/>
      <c r="EP67" s="315">
        <v>16472</v>
      </c>
      <c r="EQ67" s="315">
        <v>16472</v>
      </c>
      <c r="ER67" s="316"/>
      <c r="ES67" s="315"/>
      <c r="ET67" s="315"/>
      <c r="EU67" s="315">
        <v>852</v>
      </c>
      <c r="EV67" s="315">
        <v>852</v>
      </c>
      <c r="EW67" s="316"/>
      <c r="EX67" s="315"/>
      <c r="EY67" s="315"/>
      <c r="EZ67" s="315">
        <v>790387</v>
      </c>
      <c r="FA67" s="315">
        <v>790387</v>
      </c>
      <c r="FB67" s="316"/>
      <c r="FC67" s="315"/>
      <c r="FD67" s="315"/>
      <c r="FE67" s="315">
        <v>293566</v>
      </c>
      <c r="FF67" s="315">
        <v>293566</v>
      </c>
      <c r="FG67" s="316"/>
      <c r="FH67" s="315"/>
      <c r="FI67" s="315"/>
      <c r="FJ67" s="315">
        <v>37329</v>
      </c>
      <c r="FK67" s="315">
        <v>37329</v>
      </c>
      <c r="FL67" s="316"/>
      <c r="FM67" s="315"/>
      <c r="FN67" s="315"/>
      <c r="FO67" s="315"/>
      <c r="FP67" s="315"/>
      <c r="FQ67" s="315">
        <v>95547</v>
      </c>
      <c r="FR67" s="315">
        <v>284632</v>
      </c>
      <c r="FS67" s="315">
        <v>-23536</v>
      </c>
      <c r="FT67" s="315">
        <v>261096</v>
      </c>
      <c r="FU67" s="315"/>
      <c r="FV67" s="315"/>
      <c r="FW67" s="315"/>
      <c r="FX67" s="315">
        <v>73331</v>
      </c>
      <c r="FY67" s="315">
        <v>58101</v>
      </c>
      <c r="FZ67" s="315"/>
      <c r="GA67" s="315"/>
      <c r="GB67" s="315"/>
      <c r="GC67" s="315">
        <v>41245</v>
      </c>
      <c r="GD67" s="315"/>
      <c r="GE67" s="315"/>
      <c r="GF67" s="315"/>
      <c r="GG67" s="315">
        <v>88419</v>
      </c>
      <c r="GH67" s="315">
        <v>10193</v>
      </c>
      <c r="GI67" s="315">
        <v>19458</v>
      </c>
      <c r="GJ67" s="315">
        <v>58768</v>
      </c>
      <c r="GL67"/>
      <c r="GM67"/>
      <c r="GN67"/>
      <c r="GO67"/>
    </row>
    <row r="68" spans="1:197">
      <c r="A68" s="96" t="s">
        <v>18</v>
      </c>
      <c r="B68" s="96">
        <v>1</v>
      </c>
      <c r="C68" s="97" t="s">
        <v>217</v>
      </c>
      <c r="D68" s="314">
        <v>10423508</v>
      </c>
      <c r="E68" s="314">
        <v>-1073998</v>
      </c>
      <c r="F68" s="314">
        <v>-10468</v>
      </c>
      <c r="G68" s="314">
        <v>9339042</v>
      </c>
      <c r="H68" s="314">
        <v>8968337</v>
      </c>
      <c r="I68" s="314">
        <v>370705</v>
      </c>
      <c r="J68" s="314">
        <v>370705</v>
      </c>
      <c r="K68" s="314"/>
      <c r="L68" s="314">
        <v>6453588</v>
      </c>
      <c r="M68" s="314">
        <v>5243185</v>
      </c>
      <c r="N68" s="314">
        <v>45944</v>
      </c>
      <c r="O68" s="314"/>
      <c r="P68" s="314"/>
      <c r="Q68" s="314"/>
      <c r="R68" s="314">
        <v>1164459</v>
      </c>
      <c r="S68" s="314">
        <v>-121639</v>
      </c>
      <c r="T68" s="314">
        <v>-88592</v>
      </c>
      <c r="U68" s="314"/>
      <c r="V68" s="314"/>
      <c r="W68" s="314">
        <v>0</v>
      </c>
      <c r="X68" s="314">
        <v>-67121</v>
      </c>
      <c r="Y68" s="314">
        <v>-21471</v>
      </c>
      <c r="Z68" s="314"/>
      <c r="AA68" s="314">
        <v>-33047</v>
      </c>
      <c r="AB68" s="314">
        <v>0</v>
      </c>
      <c r="AC68" s="314">
        <v>-10468</v>
      </c>
      <c r="AD68" s="314">
        <v>6321481</v>
      </c>
      <c r="AE68" s="314">
        <v>5950776</v>
      </c>
      <c r="AF68" s="314">
        <v>370705</v>
      </c>
      <c r="AG68" s="314">
        <v>370705</v>
      </c>
      <c r="AH68" s="314"/>
      <c r="AI68" s="314">
        <v>5212446</v>
      </c>
      <c r="AJ68" s="314">
        <v>487685</v>
      </c>
      <c r="AK68" s="314">
        <v>1744139</v>
      </c>
      <c r="AL68" s="314">
        <v>2940713</v>
      </c>
      <c r="AM68" s="314">
        <v>678099</v>
      </c>
      <c r="AN68" s="314">
        <v>214860</v>
      </c>
      <c r="AO68" s="314">
        <v>120772</v>
      </c>
      <c r="AP68" s="314"/>
      <c r="AQ68" s="314">
        <v>148420</v>
      </c>
      <c r="AR68" s="314">
        <v>-42648</v>
      </c>
      <c r="AS68" s="314"/>
      <c r="AT68" s="314"/>
      <c r="AU68" s="314">
        <v>-10468</v>
      </c>
      <c r="AV68" s="314">
        <v>574650</v>
      </c>
      <c r="AW68" s="314">
        <v>31123</v>
      </c>
      <c r="AX68" s="314">
        <v>118536</v>
      </c>
      <c r="AY68" s="314"/>
      <c r="AZ68" s="314"/>
      <c r="BA68" s="314"/>
      <c r="BB68" s="314"/>
      <c r="BC68" s="314"/>
      <c r="BD68" s="314">
        <v>424991</v>
      </c>
      <c r="BE68" s="314">
        <v>-590524</v>
      </c>
      <c r="BF68" s="314">
        <v>-589663</v>
      </c>
      <c r="BG68" s="314">
        <v>-589663</v>
      </c>
      <c r="BH68" s="314"/>
      <c r="BI68" s="314">
        <v>0</v>
      </c>
      <c r="BJ68" s="314">
        <v>-482090</v>
      </c>
      <c r="BK68" s="314">
        <v>-107573</v>
      </c>
      <c r="BL68" s="314">
        <v>-861</v>
      </c>
      <c r="BM68" s="314">
        <v>0</v>
      </c>
      <c r="BN68" s="314">
        <v>-15874</v>
      </c>
      <c r="BO68" s="314">
        <v>281937</v>
      </c>
      <c r="BP68" s="314">
        <v>91293</v>
      </c>
      <c r="BQ68" s="314">
        <v>51413</v>
      </c>
      <c r="BR68" s="314"/>
      <c r="BS68" s="314">
        <v>30610</v>
      </c>
      <c r="BT68" s="314"/>
      <c r="BU68" s="314"/>
      <c r="BV68" s="314"/>
      <c r="BW68" s="314"/>
      <c r="BX68" s="314">
        <v>-471127</v>
      </c>
      <c r="BY68" s="314"/>
      <c r="BZ68" s="314"/>
      <c r="CA68" s="314">
        <v>678546</v>
      </c>
      <c r="CB68" s="314">
        <v>-7805</v>
      </c>
      <c r="CC68" s="314">
        <v>-5317</v>
      </c>
      <c r="CD68" s="314">
        <v>-2488</v>
      </c>
      <c r="CE68" s="314">
        <v>670741</v>
      </c>
      <c r="CF68" s="314"/>
      <c r="CG68" s="314"/>
      <c r="CH68" s="314"/>
      <c r="CI68" s="314">
        <v>809281</v>
      </c>
      <c r="CJ68" s="314">
        <v>394427</v>
      </c>
      <c r="CK68" s="314">
        <v>414854</v>
      </c>
      <c r="CL68" s="314">
        <v>59284</v>
      </c>
      <c r="CM68" s="314">
        <v>320600</v>
      </c>
      <c r="CN68" s="314">
        <v>34970</v>
      </c>
      <c r="CO68" s="314">
        <v>0</v>
      </c>
      <c r="CP68" s="314">
        <v>0</v>
      </c>
      <c r="CQ68" s="314">
        <v>34970</v>
      </c>
      <c r="CR68" s="314">
        <v>-288469</v>
      </c>
      <c r="CS68" s="314">
        <v>-70810</v>
      </c>
      <c r="CT68" s="314">
        <v>0</v>
      </c>
      <c r="CU68" s="314">
        <v>-26943</v>
      </c>
      <c r="CV68" s="314">
        <v>-2672</v>
      </c>
      <c r="CW68" s="314">
        <v>-41195</v>
      </c>
      <c r="CX68" s="314">
        <v>-217659</v>
      </c>
      <c r="CY68" s="314">
        <v>0</v>
      </c>
      <c r="CZ68" s="314">
        <v>-204320</v>
      </c>
      <c r="DA68" s="314">
        <v>-13339</v>
      </c>
      <c r="DB68" s="314">
        <v>0</v>
      </c>
      <c r="DC68" s="314">
        <v>0</v>
      </c>
      <c r="DD68" s="314">
        <v>520812</v>
      </c>
      <c r="DE68" s="314">
        <v>520812</v>
      </c>
      <c r="DF68" s="271"/>
      <c r="DG68" s="314"/>
      <c r="DH68" s="314"/>
      <c r="DI68" s="314">
        <v>1650783</v>
      </c>
      <c r="DJ68" s="314">
        <v>78379</v>
      </c>
      <c r="DK68" s="314">
        <v>14597</v>
      </c>
      <c r="DL68" s="314">
        <v>783</v>
      </c>
      <c r="DM68" s="314">
        <v>817158</v>
      </c>
      <c r="DN68" s="314">
        <v>571506</v>
      </c>
      <c r="DO68" s="314">
        <v>68295</v>
      </c>
      <c r="DP68" s="314"/>
      <c r="DQ68" s="314"/>
      <c r="DR68" s="314">
        <v>100065</v>
      </c>
      <c r="DS68" s="314">
        <v>-59415</v>
      </c>
      <c r="DT68" s="314">
        <v>-28677</v>
      </c>
      <c r="DU68" s="314">
        <v>-14</v>
      </c>
      <c r="DV68" s="314">
        <v>-5</v>
      </c>
      <c r="DW68" s="314">
        <v>-29008</v>
      </c>
      <c r="DX68" s="314"/>
      <c r="DY68" s="314"/>
      <c r="DZ68" s="314"/>
      <c r="EA68" s="314">
        <v>-8</v>
      </c>
      <c r="EB68" s="314">
        <v>0</v>
      </c>
      <c r="EC68" s="314"/>
      <c r="ED68" s="314"/>
      <c r="EE68" s="314">
        <v>-1703</v>
      </c>
      <c r="EF68" s="314">
        <v>1591368</v>
      </c>
      <c r="EG68" s="314">
        <v>1591368</v>
      </c>
      <c r="EH68" s="271"/>
      <c r="EI68" s="314"/>
      <c r="EJ68" s="314"/>
      <c r="EK68" s="314">
        <v>49702</v>
      </c>
      <c r="EL68" s="314">
        <v>49702</v>
      </c>
      <c r="EM68" s="271"/>
      <c r="EN68" s="314"/>
      <c r="EO68" s="314"/>
      <c r="EP68" s="314">
        <v>14583</v>
      </c>
      <c r="EQ68" s="314">
        <v>14583</v>
      </c>
      <c r="ER68" s="271"/>
      <c r="ES68" s="314"/>
      <c r="ET68" s="314"/>
      <c r="EU68" s="314">
        <v>778</v>
      </c>
      <c r="EV68" s="314">
        <v>778</v>
      </c>
      <c r="EW68" s="271"/>
      <c r="EX68" s="314"/>
      <c r="EY68" s="314"/>
      <c r="EZ68" s="314">
        <v>788150</v>
      </c>
      <c r="FA68" s="314">
        <v>788150</v>
      </c>
      <c r="FB68" s="271"/>
      <c r="FC68" s="314"/>
      <c r="FD68" s="314"/>
      <c r="FE68" s="314">
        <v>571498</v>
      </c>
      <c r="FF68" s="314">
        <v>571498</v>
      </c>
      <c r="FG68" s="271"/>
      <c r="FH68" s="314"/>
      <c r="FI68" s="314"/>
      <c r="FJ68" s="314">
        <v>68295</v>
      </c>
      <c r="FK68" s="314">
        <v>68295</v>
      </c>
      <c r="FL68" s="271"/>
      <c r="FM68" s="314"/>
      <c r="FN68" s="314"/>
      <c r="FO68" s="314"/>
      <c r="FP68" s="314"/>
      <c r="FQ68" s="314">
        <v>98362</v>
      </c>
      <c r="FR68" s="314">
        <v>256660</v>
      </c>
      <c r="FS68" s="314">
        <v>-6146</v>
      </c>
      <c r="FT68" s="314">
        <v>250514</v>
      </c>
      <c r="FU68" s="314"/>
      <c r="FV68" s="314"/>
      <c r="FW68" s="314"/>
      <c r="FX68" s="314">
        <v>73173</v>
      </c>
      <c r="FY68" s="314">
        <v>71018</v>
      </c>
      <c r="FZ68" s="314"/>
      <c r="GA68" s="314"/>
      <c r="GB68" s="314"/>
      <c r="GC68" s="314">
        <v>63525</v>
      </c>
      <c r="GD68" s="314"/>
      <c r="GE68" s="314"/>
      <c r="GF68" s="314"/>
      <c r="GG68" s="314">
        <v>42798</v>
      </c>
      <c r="GH68" s="314">
        <v>1473</v>
      </c>
      <c r="GI68" s="314">
        <v>6317</v>
      </c>
      <c r="GJ68" s="314">
        <v>35008</v>
      </c>
      <c r="GL68"/>
      <c r="GM68"/>
      <c r="GN68"/>
      <c r="GO68"/>
    </row>
    <row r="69" spans="1:197">
      <c r="A69" s="98" t="s">
        <v>18</v>
      </c>
      <c r="B69" s="98">
        <v>2</v>
      </c>
      <c r="C69" s="98" t="s">
        <v>218</v>
      </c>
      <c r="D69" s="315">
        <v>13737440</v>
      </c>
      <c r="E69" s="315">
        <v>-758774</v>
      </c>
      <c r="F69" s="315">
        <v>-10678</v>
      </c>
      <c r="G69" s="315">
        <v>12967988</v>
      </c>
      <c r="H69" s="315">
        <v>12587016</v>
      </c>
      <c r="I69" s="315">
        <v>380972</v>
      </c>
      <c r="J69" s="315">
        <v>380972</v>
      </c>
      <c r="K69" s="315"/>
      <c r="L69" s="315">
        <v>2883868</v>
      </c>
      <c r="M69" s="315">
        <v>1950336</v>
      </c>
      <c r="N69" s="315">
        <v>46546</v>
      </c>
      <c r="O69" s="315"/>
      <c r="P69" s="315"/>
      <c r="Q69" s="315"/>
      <c r="R69" s="315">
        <v>886986</v>
      </c>
      <c r="S69" s="315">
        <v>-80947</v>
      </c>
      <c r="T69" s="315">
        <v>-62402</v>
      </c>
      <c r="U69" s="315"/>
      <c r="V69" s="315"/>
      <c r="W69" s="315">
        <v>0</v>
      </c>
      <c r="X69" s="315">
        <v>-40172</v>
      </c>
      <c r="Y69" s="315">
        <v>-22230</v>
      </c>
      <c r="Z69" s="315"/>
      <c r="AA69" s="315">
        <v>-18545</v>
      </c>
      <c r="AB69" s="315">
        <v>0</v>
      </c>
      <c r="AC69" s="315">
        <v>-10678</v>
      </c>
      <c r="AD69" s="315">
        <v>2792243</v>
      </c>
      <c r="AE69" s="315">
        <v>2411271</v>
      </c>
      <c r="AF69" s="315">
        <v>380972</v>
      </c>
      <c r="AG69" s="315">
        <v>380972</v>
      </c>
      <c r="AH69" s="315"/>
      <c r="AI69" s="315">
        <v>1934688</v>
      </c>
      <c r="AJ69" s="315">
        <v>726337</v>
      </c>
      <c r="AK69" s="315">
        <v>1122723</v>
      </c>
      <c r="AL69" s="315">
        <v>36362</v>
      </c>
      <c r="AM69" s="315">
        <v>286806</v>
      </c>
      <c r="AN69" s="315">
        <v>19154</v>
      </c>
      <c r="AO69" s="315">
        <v>110938</v>
      </c>
      <c r="AP69" s="315"/>
      <c r="AQ69" s="315">
        <v>467191</v>
      </c>
      <c r="AR69" s="315">
        <v>-15856</v>
      </c>
      <c r="AS69" s="315"/>
      <c r="AT69" s="315"/>
      <c r="AU69" s="315">
        <v>-10678</v>
      </c>
      <c r="AV69" s="315">
        <v>309254</v>
      </c>
      <c r="AW69" s="315">
        <v>9822</v>
      </c>
      <c r="AX69" s="315">
        <v>125507</v>
      </c>
      <c r="AY69" s="315"/>
      <c r="AZ69" s="315"/>
      <c r="BA69" s="315"/>
      <c r="BB69" s="315"/>
      <c r="BC69" s="315"/>
      <c r="BD69" s="315">
        <v>173925</v>
      </c>
      <c r="BE69" s="315">
        <v>-114014</v>
      </c>
      <c r="BF69" s="315">
        <v>-111330</v>
      </c>
      <c r="BG69" s="315">
        <v>-111330</v>
      </c>
      <c r="BH69" s="315"/>
      <c r="BI69" s="315">
        <v>0</v>
      </c>
      <c r="BJ69" s="315">
        <v>-94840</v>
      </c>
      <c r="BK69" s="315">
        <v>-16490</v>
      </c>
      <c r="BL69" s="315">
        <v>-2684</v>
      </c>
      <c r="BM69" s="315">
        <v>0</v>
      </c>
      <c r="BN69" s="315">
        <v>195240</v>
      </c>
      <c r="BO69" s="315">
        <v>118829</v>
      </c>
      <c r="BP69" s="315">
        <v>7688</v>
      </c>
      <c r="BQ69" s="315">
        <v>47053</v>
      </c>
      <c r="BR69" s="315"/>
      <c r="BS69" s="315">
        <v>7493</v>
      </c>
      <c r="BT69" s="315"/>
      <c r="BU69" s="315"/>
      <c r="BV69" s="315"/>
      <c r="BW69" s="315"/>
      <c r="BX69" s="315">
        <v>14177</v>
      </c>
      <c r="BY69" s="315"/>
      <c r="BZ69" s="315"/>
      <c r="CA69" s="315">
        <v>402220</v>
      </c>
      <c r="CB69" s="315">
        <v>-240146</v>
      </c>
      <c r="CC69" s="315">
        <v>-11437</v>
      </c>
      <c r="CD69" s="315">
        <v>-228709</v>
      </c>
      <c r="CE69" s="315">
        <v>162074</v>
      </c>
      <c r="CF69" s="315"/>
      <c r="CG69" s="315"/>
      <c r="CH69" s="315"/>
      <c r="CI69" s="315">
        <v>8692211</v>
      </c>
      <c r="CJ69" s="315">
        <v>1165479</v>
      </c>
      <c r="CK69" s="315">
        <v>7526732</v>
      </c>
      <c r="CL69" s="315">
        <v>3072098</v>
      </c>
      <c r="CM69" s="315">
        <v>4427554</v>
      </c>
      <c r="CN69" s="315">
        <v>27080</v>
      </c>
      <c r="CO69" s="315">
        <v>0</v>
      </c>
      <c r="CP69" s="315">
        <v>0</v>
      </c>
      <c r="CQ69" s="315">
        <v>27080</v>
      </c>
      <c r="CR69" s="315">
        <v>-270589</v>
      </c>
      <c r="CS69" s="315">
        <v>-57329</v>
      </c>
      <c r="CT69" s="315">
        <v>-1250</v>
      </c>
      <c r="CU69" s="315">
        <v>-14701</v>
      </c>
      <c r="CV69" s="315">
        <v>-545</v>
      </c>
      <c r="CW69" s="315">
        <v>-40833</v>
      </c>
      <c r="CX69" s="315">
        <v>-213260</v>
      </c>
      <c r="CY69" s="315">
        <v>-87357</v>
      </c>
      <c r="CZ69" s="315">
        <v>-123562</v>
      </c>
      <c r="DA69" s="315">
        <v>-2341</v>
      </c>
      <c r="DB69" s="315">
        <v>0</v>
      </c>
      <c r="DC69" s="315">
        <v>0</v>
      </c>
      <c r="DD69" s="315">
        <v>8421622</v>
      </c>
      <c r="DE69" s="315">
        <v>8421622</v>
      </c>
      <c r="DF69" s="316"/>
      <c r="DG69" s="315"/>
      <c r="DH69" s="315"/>
      <c r="DI69" s="315">
        <v>1235284</v>
      </c>
      <c r="DJ69" s="315">
        <v>134597</v>
      </c>
      <c r="DK69" s="315">
        <v>15713</v>
      </c>
      <c r="DL69" s="315">
        <v>2940</v>
      </c>
      <c r="DM69" s="315">
        <v>676401</v>
      </c>
      <c r="DN69" s="315">
        <v>239613</v>
      </c>
      <c r="DO69" s="315">
        <v>55442</v>
      </c>
      <c r="DP69" s="315"/>
      <c r="DQ69" s="315"/>
      <c r="DR69" s="315">
        <v>110578</v>
      </c>
      <c r="DS69" s="315">
        <v>-44787</v>
      </c>
      <c r="DT69" s="315">
        <v>-32930</v>
      </c>
      <c r="DU69" s="315">
        <v>-41</v>
      </c>
      <c r="DV69" s="315">
        <v>-10</v>
      </c>
      <c r="DW69" s="315">
        <v>-1271</v>
      </c>
      <c r="DX69" s="315"/>
      <c r="DY69" s="315"/>
      <c r="DZ69" s="315"/>
      <c r="EA69" s="315">
        <v>-295</v>
      </c>
      <c r="EB69" s="315">
        <v>0</v>
      </c>
      <c r="EC69" s="315"/>
      <c r="ED69" s="315"/>
      <c r="EE69" s="315">
        <v>-10240</v>
      </c>
      <c r="EF69" s="315">
        <v>1190497</v>
      </c>
      <c r="EG69" s="315">
        <v>1190497</v>
      </c>
      <c r="EH69" s="316"/>
      <c r="EI69" s="315"/>
      <c r="EJ69" s="315"/>
      <c r="EK69" s="315">
        <v>101667</v>
      </c>
      <c r="EL69" s="315">
        <v>101667</v>
      </c>
      <c r="EM69" s="316"/>
      <c r="EN69" s="315"/>
      <c r="EO69" s="315"/>
      <c r="EP69" s="315">
        <v>15672</v>
      </c>
      <c r="EQ69" s="315">
        <v>15672</v>
      </c>
      <c r="ER69" s="316"/>
      <c r="ES69" s="315"/>
      <c r="ET69" s="315"/>
      <c r="EU69" s="315">
        <v>2930</v>
      </c>
      <c r="EV69" s="315">
        <v>2930</v>
      </c>
      <c r="EW69" s="316"/>
      <c r="EX69" s="315"/>
      <c r="EY69" s="315"/>
      <c r="EZ69" s="315">
        <v>675130</v>
      </c>
      <c r="FA69" s="315">
        <v>675130</v>
      </c>
      <c r="FB69" s="316"/>
      <c r="FC69" s="315"/>
      <c r="FD69" s="315"/>
      <c r="FE69" s="315">
        <v>239318</v>
      </c>
      <c r="FF69" s="315">
        <v>239318</v>
      </c>
      <c r="FG69" s="316"/>
      <c r="FH69" s="315"/>
      <c r="FI69" s="315"/>
      <c r="FJ69" s="315">
        <v>55442</v>
      </c>
      <c r="FK69" s="315">
        <v>55442</v>
      </c>
      <c r="FL69" s="316"/>
      <c r="FM69" s="315"/>
      <c r="FN69" s="315"/>
      <c r="FO69" s="315"/>
      <c r="FP69" s="315"/>
      <c r="FQ69" s="315">
        <v>100338</v>
      </c>
      <c r="FR69" s="315">
        <v>214603</v>
      </c>
      <c r="FS69" s="315">
        <v>-8291</v>
      </c>
      <c r="FT69" s="315">
        <v>206312</v>
      </c>
      <c r="FU69" s="315"/>
      <c r="FV69" s="315"/>
      <c r="FW69" s="315"/>
      <c r="FX69" s="315">
        <v>74189</v>
      </c>
      <c r="FY69" s="315">
        <v>56224</v>
      </c>
      <c r="FZ69" s="315"/>
      <c r="GA69" s="315"/>
      <c r="GB69" s="315"/>
      <c r="GC69" s="315">
        <v>39389</v>
      </c>
      <c r="GD69" s="315"/>
      <c r="GE69" s="315"/>
      <c r="GF69" s="315"/>
      <c r="GG69" s="315">
        <v>36510</v>
      </c>
      <c r="GH69" s="315">
        <v>601</v>
      </c>
      <c r="GI69" s="315">
        <v>4434</v>
      </c>
      <c r="GJ69" s="315">
        <v>31475</v>
      </c>
      <c r="GL69"/>
      <c r="GM69"/>
      <c r="GN69"/>
      <c r="GO69"/>
    </row>
    <row r="70" spans="1:197">
      <c r="A70" s="98" t="s">
        <v>18</v>
      </c>
      <c r="B70" s="98">
        <v>3</v>
      </c>
      <c r="C70" s="98" t="s">
        <v>219</v>
      </c>
      <c r="D70" s="315">
        <v>6152641</v>
      </c>
      <c r="E70" s="315">
        <v>-1670440</v>
      </c>
      <c r="F70" s="315">
        <v>-10678</v>
      </c>
      <c r="G70" s="315">
        <v>4471523</v>
      </c>
      <c r="H70" s="315">
        <v>4090550</v>
      </c>
      <c r="I70" s="315">
        <v>380973</v>
      </c>
      <c r="J70" s="315">
        <v>380973</v>
      </c>
      <c r="K70" s="315"/>
      <c r="L70" s="315">
        <v>1747542</v>
      </c>
      <c r="M70" s="315">
        <v>1555298</v>
      </c>
      <c r="N70" s="315">
        <v>56524</v>
      </c>
      <c r="O70" s="315"/>
      <c r="P70" s="315"/>
      <c r="Q70" s="315"/>
      <c r="R70" s="315">
        <v>135720</v>
      </c>
      <c r="S70" s="315">
        <v>-69261</v>
      </c>
      <c r="T70" s="315">
        <v>-44757</v>
      </c>
      <c r="U70" s="315"/>
      <c r="V70" s="315"/>
      <c r="W70" s="315">
        <v>-5277</v>
      </c>
      <c r="X70" s="315">
        <v>-18595</v>
      </c>
      <c r="Y70" s="315">
        <v>-20885</v>
      </c>
      <c r="Z70" s="315"/>
      <c r="AA70" s="315">
        <v>-24504</v>
      </c>
      <c r="AB70" s="315">
        <v>0</v>
      </c>
      <c r="AC70" s="315">
        <v>-10678</v>
      </c>
      <c r="AD70" s="315">
        <v>1667603</v>
      </c>
      <c r="AE70" s="315">
        <v>1286630</v>
      </c>
      <c r="AF70" s="315">
        <v>380973</v>
      </c>
      <c r="AG70" s="315">
        <v>380973</v>
      </c>
      <c r="AH70" s="315"/>
      <c r="AI70" s="315">
        <v>1533455</v>
      </c>
      <c r="AJ70" s="315">
        <v>137526</v>
      </c>
      <c r="AK70" s="315">
        <v>1309297</v>
      </c>
      <c r="AL70" s="315">
        <v>22898</v>
      </c>
      <c r="AM70" s="315">
        <v>-20645</v>
      </c>
      <c r="AN70" s="315">
        <v>17249</v>
      </c>
      <c r="AO70" s="315">
        <v>129150</v>
      </c>
      <c r="AP70" s="315"/>
      <c r="AQ70" s="315">
        <v>7305</v>
      </c>
      <c r="AR70" s="315">
        <v>11767</v>
      </c>
      <c r="AS70" s="315"/>
      <c r="AT70" s="315"/>
      <c r="AU70" s="315">
        <v>-10678</v>
      </c>
      <c r="AV70" s="315">
        <v>573423</v>
      </c>
      <c r="AW70" s="315">
        <v>12718</v>
      </c>
      <c r="AX70" s="315">
        <v>46624</v>
      </c>
      <c r="AY70" s="315"/>
      <c r="AZ70" s="315"/>
      <c r="BA70" s="315"/>
      <c r="BB70" s="315"/>
      <c r="BC70" s="315"/>
      <c r="BD70" s="315">
        <v>514081</v>
      </c>
      <c r="BE70" s="315">
        <v>-508451</v>
      </c>
      <c r="BF70" s="315">
        <v>-39195</v>
      </c>
      <c r="BG70" s="315">
        <v>-39195</v>
      </c>
      <c r="BH70" s="315"/>
      <c r="BI70" s="315">
        <v>0</v>
      </c>
      <c r="BJ70" s="315">
        <v>-23338</v>
      </c>
      <c r="BK70" s="315">
        <v>-15857</v>
      </c>
      <c r="BL70" s="315">
        <v>-2528</v>
      </c>
      <c r="BM70" s="315">
        <v>-466728</v>
      </c>
      <c r="BN70" s="315">
        <v>64972</v>
      </c>
      <c r="BO70" s="315">
        <v>-15221</v>
      </c>
      <c r="BP70" s="315">
        <v>7047</v>
      </c>
      <c r="BQ70" s="315">
        <v>54982</v>
      </c>
      <c r="BR70" s="315"/>
      <c r="BS70" s="315">
        <v>10735</v>
      </c>
      <c r="BT70" s="315"/>
      <c r="BU70" s="315"/>
      <c r="BV70" s="315"/>
      <c r="BW70" s="315"/>
      <c r="BX70" s="315">
        <v>7429</v>
      </c>
      <c r="BY70" s="315"/>
      <c r="BZ70" s="315"/>
      <c r="CA70" s="315">
        <v>-67157</v>
      </c>
      <c r="CB70" s="315">
        <v>-271724</v>
      </c>
      <c r="CC70" s="315">
        <v>-8601</v>
      </c>
      <c r="CD70" s="315">
        <v>-263123</v>
      </c>
      <c r="CE70" s="315">
        <v>-338881</v>
      </c>
      <c r="CF70" s="315"/>
      <c r="CG70" s="315"/>
      <c r="CH70" s="315"/>
      <c r="CI70" s="315">
        <v>2436713</v>
      </c>
      <c r="CJ70" s="315">
        <v>775786</v>
      </c>
      <c r="CK70" s="315">
        <v>1660927</v>
      </c>
      <c r="CL70" s="315">
        <v>1504619</v>
      </c>
      <c r="CM70" s="315">
        <v>142109</v>
      </c>
      <c r="CN70" s="315">
        <v>14199</v>
      </c>
      <c r="CO70" s="315">
        <v>0</v>
      </c>
      <c r="CP70" s="315">
        <v>40988</v>
      </c>
      <c r="CQ70" s="315">
        <v>-26789</v>
      </c>
      <c r="CR70" s="315">
        <v>-761147</v>
      </c>
      <c r="CS70" s="315">
        <v>-136912</v>
      </c>
      <c r="CT70" s="315">
        <v>-105045</v>
      </c>
      <c r="CU70" s="315">
        <v>-6948</v>
      </c>
      <c r="CV70" s="315">
        <v>-3635</v>
      </c>
      <c r="CW70" s="315">
        <v>-21284</v>
      </c>
      <c r="CX70" s="315">
        <v>-564358</v>
      </c>
      <c r="CY70" s="315">
        <v>-330124</v>
      </c>
      <c r="CZ70" s="315">
        <v>-227171</v>
      </c>
      <c r="DA70" s="315">
        <v>-7063</v>
      </c>
      <c r="DB70" s="315">
        <v>0</v>
      </c>
      <c r="DC70" s="315">
        <v>-59877</v>
      </c>
      <c r="DD70" s="315">
        <v>1675566</v>
      </c>
      <c r="DE70" s="315">
        <v>1675566</v>
      </c>
      <c r="DF70" s="316"/>
      <c r="DG70" s="315"/>
      <c r="DH70" s="315"/>
      <c r="DI70" s="315">
        <v>1221344</v>
      </c>
      <c r="DJ70" s="315">
        <v>105110</v>
      </c>
      <c r="DK70" s="315">
        <v>13756</v>
      </c>
      <c r="DL70" s="315">
        <v>1388</v>
      </c>
      <c r="DM70" s="315">
        <v>720170</v>
      </c>
      <c r="DN70" s="315">
        <v>223507</v>
      </c>
      <c r="DO70" s="315">
        <v>53985</v>
      </c>
      <c r="DP70" s="315"/>
      <c r="DQ70" s="315"/>
      <c r="DR70" s="315">
        <v>103428</v>
      </c>
      <c r="DS70" s="315">
        <v>-51501</v>
      </c>
      <c r="DT70" s="315">
        <v>-5275</v>
      </c>
      <c r="DU70" s="315">
        <v>-36</v>
      </c>
      <c r="DV70" s="315">
        <v>-19</v>
      </c>
      <c r="DW70" s="315">
        <v>-23775</v>
      </c>
      <c r="DX70" s="315"/>
      <c r="DY70" s="315"/>
      <c r="DZ70" s="315"/>
      <c r="EA70" s="315">
        <v>-20673</v>
      </c>
      <c r="EB70" s="315">
        <v>0</v>
      </c>
      <c r="EC70" s="315"/>
      <c r="ED70" s="315"/>
      <c r="EE70" s="315">
        <v>-1723</v>
      </c>
      <c r="EF70" s="315">
        <v>1169843</v>
      </c>
      <c r="EG70" s="315">
        <v>1169843</v>
      </c>
      <c r="EH70" s="316"/>
      <c r="EI70" s="315"/>
      <c r="EJ70" s="315"/>
      <c r="EK70" s="315">
        <v>99835</v>
      </c>
      <c r="EL70" s="315">
        <v>99835</v>
      </c>
      <c r="EM70" s="316"/>
      <c r="EN70" s="315"/>
      <c r="EO70" s="315"/>
      <c r="EP70" s="315">
        <v>13720</v>
      </c>
      <c r="EQ70" s="315">
        <v>13720</v>
      </c>
      <c r="ER70" s="316"/>
      <c r="ES70" s="315"/>
      <c r="ET70" s="315"/>
      <c r="EU70" s="315">
        <v>1369</v>
      </c>
      <c r="EV70" s="315">
        <v>1369</v>
      </c>
      <c r="EW70" s="316"/>
      <c r="EX70" s="315"/>
      <c r="EY70" s="315"/>
      <c r="EZ70" s="315">
        <v>696395</v>
      </c>
      <c r="FA70" s="315">
        <v>696395</v>
      </c>
      <c r="FB70" s="316"/>
      <c r="FC70" s="315"/>
      <c r="FD70" s="315"/>
      <c r="FE70" s="315">
        <v>202834</v>
      </c>
      <c r="FF70" s="315">
        <v>202834</v>
      </c>
      <c r="FG70" s="316"/>
      <c r="FH70" s="315"/>
      <c r="FI70" s="315"/>
      <c r="FJ70" s="315">
        <v>53985</v>
      </c>
      <c r="FK70" s="315">
        <v>53985</v>
      </c>
      <c r="FL70" s="316"/>
      <c r="FM70" s="315"/>
      <c r="FN70" s="315"/>
      <c r="FO70" s="315"/>
      <c r="FP70" s="315"/>
      <c r="FQ70" s="315">
        <v>101705</v>
      </c>
      <c r="FR70" s="315">
        <v>240776</v>
      </c>
      <c r="FS70" s="315">
        <v>-8356</v>
      </c>
      <c r="FT70" s="315">
        <v>232420</v>
      </c>
      <c r="FU70" s="315"/>
      <c r="FV70" s="315"/>
      <c r="FW70" s="315"/>
      <c r="FX70" s="315">
        <v>84569</v>
      </c>
      <c r="FY70" s="315">
        <v>63800</v>
      </c>
      <c r="FZ70" s="315"/>
      <c r="GA70" s="315"/>
      <c r="GB70" s="315"/>
      <c r="GC70" s="315">
        <v>35782</v>
      </c>
      <c r="GD70" s="315"/>
      <c r="GE70" s="315"/>
      <c r="GF70" s="315"/>
      <c r="GG70" s="315">
        <v>48269</v>
      </c>
      <c r="GH70" s="315">
        <v>1237</v>
      </c>
      <c r="GI70" s="315">
        <v>1315</v>
      </c>
      <c r="GJ70" s="315">
        <v>45717</v>
      </c>
      <c r="GL70"/>
      <c r="GM70"/>
      <c r="GN70"/>
      <c r="GO70"/>
    </row>
    <row r="71" spans="1:197">
      <c r="A71" s="98" t="s">
        <v>18</v>
      </c>
      <c r="B71" s="98">
        <v>4</v>
      </c>
      <c r="C71" s="98" t="s">
        <v>220</v>
      </c>
      <c r="D71" s="315">
        <v>16102947</v>
      </c>
      <c r="E71" s="315">
        <v>-1459136</v>
      </c>
      <c r="F71" s="315">
        <v>-10678</v>
      </c>
      <c r="G71" s="315">
        <v>14633133</v>
      </c>
      <c r="H71" s="315">
        <v>14252161</v>
      </c>
      <c r="I71" s="315">
        <v>380972</v>
      </c>
      <c r="J71" s="315">
        <v>380972</v>
      </c>
      <c r="K71" s="315"/>
      <c r="L71" s="315">
        <v>5225238</v>
      </c>
      <c r="M71" s="315">
        <v>4066312</v>
      </c>
      <c r="N71" s="315">
        <v>55479</v>
      </c>
      <c r="O71" s="315"/>
      <c r="P71" s="315"/>
      <c r="Q71" s="315"/>
      <c r="R71" s="315">
        <v>1103447</v>
      </c>
      <c r="S71" s="315">
        <v>-178932</v>
      </c>
      <c r="T71" s="315">
        <v>-165255</v>
      </c>
      <c r="U71" s="315"/>
      <c r="V71" s="315"/>
      <c r="W71" s="315">
        <v>-141358</v>
      </c>
      <c r="X71" s="315">
        <v>0</v>
      </c>
      <c r="Y71" s="315">
        <v>-23897</v>
      </c>
      <c r="Z71" s="315"/>
      <c r="AA71" s="315">
        <v>-13677</v>
      </c>
      <c r="AB71" s="315">
        <v>0</v>
      </c>
      <c r="AC71" s="315">
        <v>-10678</v>
      </c>
      <c r="AD71" s="315">
        <v>5035628</v>
      </c>
      <c r="AE71" s="315">
        <v>4654656</v>
      </c>
      <c r="AF71" s="315">
        <v>380972</v>
      </c>
      <c r="AG71" s="315">
        <v>380972</v>
      </c>
      <c r="AH71" s="315"/>
      <c r="AI71" s="315">
        <v>4054668</v>
      </c>
      <c r="AJ71" s="315">
        <v>476302</v>
      </c>
      <c r="AK71" s="315">
        <v>1370048</v>
      </c>
      <c r="AL71" s="315">
        <v>2167554</v>
      </c>
      <c r="AM71" s="315">
        <v>211994</v>
      </c>
      <c r="AN71" s="315">
        <v>193364</v>
      </c>
      <c r="AO71" s="315">
        <v>122883</v>
      </c>
      <c r="AP71" s="315"/>
      <c r="AQ71" s="315">
        <v>573173</v>
      </c>
      <c r="AR71" s="315">
        <v>-109776</v>
      </c>
      <c r="AS71" s="315"/>
      <c r="AT71" s="315"/>
      <c r="AU71" s="315">
        <v>-10678</v>
      </c>
      <c r="AV71" s="315">
        <v>2980746</v>
      </c>
      <c r="AW71" s="315">
        <v>2625936</v>
      </c>
      <c r="AX71" s="315">
        <v>135386</v>
      </c>
      <c r="AY71" s="315"/>
      <c r="AZ71" s="315"/>
      <c r="BA71" s="315"/>
      <c r="BB71" s="315"/>
      <c r="BC71" s="315"/>
      <c r="BD71" s="315">
        <v>219424</v>
      </c>
      <c r="BE71" s="315">
        <v>-53645</v>
      </c>
      <c r="BF71" s="315">
        <v>-49538</v>
      </c>
      <c r="BG71" s="315">
        <v>-49538</v>
      </c>
      <c r="BH71" s="315"/>
      <c r="BI71" s="315">
        <v>0</v>
      </c>
      <c r="BJ71" s="315">
        <v>0</v>
      </c>
      <c r="BK71" s="315">
        <v>-49538</v>
      </c>
      <c r="BL71" s="315">
        <v>-4107</v>
      </c>
      <c r="BM71" s="315">
        <v>0</v>
      </c>
      <c r="BN71" s="315">
        <v>2927101</v>
      </c>
      <c r="BO71" s="315">
        <v>84462</v>
      </c>
      <c r="BP71" s="315">
        <v>82166</v>
      </c>
      <c r="BQ71" s="315">
        <v>52314</v>
      </c>
      <c r="BR71" s="315"/>
      <c r="BS71" s="315">
        <v>2622311</v>
      </c>
      <c r="BT71" s="315"/>
      <c r="BU71" s="315"/>
      <c r="BV71" s="315"/>
      <c r="BW71" s="315"/>
      <c r="BX71" s="315">
        <v>85848</v>
      </c>
      <c r="BY71" s="315"/>
      <c r="BZ71" s="315"/>
      <c r="CA71" s="315">
        <v>128236</v>
      </c>
      <c r="CB71" s="315">
        <v>-91848</v>
      </c>
      <c r="CC71" s="315">
        <v>-5374</v>
      </c>
      <c r="CD71" s="315">
        <v>-86474</v>
      </c>
      <c r="CE71" s="315">
        <v>36388</v>
      </c>
      <c r="CF71" s="315"/>
      <c r="CG71" s="315"/>
      <c r="CH71" s="315"/>
      <c r="CI71" s="315">
        <v>6128300</v>
      </c>
      <c r="CJ71" s="315">
        <v>789447</v>
      </c>
      <c r="CK71" s="315">
        <v>5338853</v>
      </c>
      <c r="CL71" s="315">
        <v>1622642</v>
      </c>
      <c r="CM71" s="315">
        <v>3684762</v>
      </c>
      <c r="CN71" s="315">
        <v>31449</v>
      </c>
      <c r="CO71" s="315">
        <v>0</v>
      </c>
      <c r="CP71" s="315">
        <v>0</v>
      </c>
      <c r="CQ71" s="315">
        <v>31449</v>
      </c>
      <c r="CR71" s="315">
        <v>-1042082</v>
      </c>
      <c r="CS71" s="315">
        <v>-248110</v>
      </c>
      <c r="CT71" s="315">
        <v>-199193</v>
      </c>
      <c r="CU71" s="315">
        <v>0</v>
      </c>
      <c r="CV71" s="315">
        <v>-163</v>
      </c>
      <c r="CW71" s="315">
        <v>-48754</v>
      </c>
      <c r="CX71" s="315">
        <v>-539448</v>
      </c>
      <c r="CY71" s="315">
        <v>-341669</v>
      </c>
      <c r="CZ71" s="315">
        <v>-195371</v>
      </c>
      <c r="DA71" s="315">
        <v>-2408</v>
      </c>
      <c r="DB71" s="315">
        <v>-254524</v>
      </c>
      <c r="DC71" s="315">
        <v>0</v>
      </c>
      <c r="DD71" s="315">
        <v>5086218</v>
      </c>
      <c r="DE71" s="315">
        <v>5086218</v>
      </c>
      <c r="DF71" s="316"/>
      <c r="DG71" s="315"/>
      <c r="DH71" s="315"/>
      <c r="DI71" s="315">
        <v>1394825</v>
      </c>
      <c r="DJ71" s="315">
        <v>34224</v>
      </c>
      <c r="DK71" s="315">
        <v>10774</v>
      </c>
      <c r="DL71" s="315">
        <v>692</v>
      </c>
      <c r="DM71" s="315">
        <v>805240</v>
      </c>
      <c r="DN71" s="315">
        <v>372849</v>
      </c>
      <c r="DO71" s="315">
        <v>57141</v>
      </c>
      <c r="DP71" s="315"/>
      <c r="DQ71" s="315"/>
      <c r="DR71" s="315">
        <v>113905</v>
      </c>
      <c r="DS71" s="315">
        <v>-85362</v>
      </c>
      <c r="DT71" s="315">
        <v>-20476</v>
      </c>
      <c r="DU71" s="315">
        <v>-4834</v>
      </c>
      <c r="DV71" s="315">
        <v>-16</v>
      </c>
      <c r="DW71" s="315">
        <v>-1040</v>
      </c>
      <c r="DX71" s="315"/>
      <c r="DY71" s="315"/>
      <c r="DZ71" s="315"/>
      <c r="EA71" s="315">
        <v>-57527</v>
      </c>
      <c r="EB71" s="315">
        <v>-218</v>
      </c>
      <c r="EC71" s="315"/>
      <c r="ED71" s="315"/>
      <c r="EE71" s="315">
        <v>-1251</v>
      </c>
      <c r="EF71" s="315">
        <v>1309463</v>
      </c>
      <c r="EG71" s="315">
        <v>1309463</v>
      </c>
      <c r="EH71" s="316"/>
      <c r="EI71" s="315"/>
      <c r="EJ71" s="315"/>
      <c r="EK71" s="315">
        <v>13748</v>
      </c>
      <c r="EL71" s="315">
        <v>13748</v>
      </c>
      <c r="EM71" s="316"/>
      <c r="EN71" s="315"/>
      <c r="EO71" s="315"/>
      <c r="EP71" s="315">
        <v>5940</v>
      </c>
      <c r="EQ71" s="315">
        <v>5940</v>
      </c>
      <c r="ER71" s="316"/>
      <c r="ES71" s="315"/>
      <c r="ET71" s="315"/>
      <c r="EU71" s="315">
        <v>676</v>
      </c>
      <c r="EV71" s="315">
        <v>676</v>
      </c>
      <c r="EW71" s="316"/>
      <c r="EX71" s="315"/>
      <c r="EY71" s="315"/>
      <c r="EZ71" s="315">
        <v>804200</v>
      </c>
      <c r="FA71" s="315">
        <v>804200</v>
      </c>
      <c r="FB71" s="316"/>
      <c r="FC71" s="315"/>
      <c r="FD71" s="315"/>
      <c r="FE71" s="315">
        <v>315322</v>
      </c>
      <c r="FF71" s="315">
        <v>315322</v>
      </c>
      <c r="FG71" s="316"/>
      <c r="FH71" s="315"/>
      <c r="FI71" s="315"/>
      <c r="FJ71" s="315">
        <v>56923</v>
      </c>
      <c r="FK71" s="315">
        <v>56923</v>
      </c>
      <c r="FL71" s="316"/>
      <c r="FM71" s="315"/>
      <c r="FN71" s="315"/>
      <c r="FO71" s="315"/>
      <c r="FP71" s="315"/>
      <c r="FQ71" s="315">
        <v>112654</v>
      </c>
      <c r="FR71" s="315">
        <v>245602</v>
      </c>
      <c r="FS71" s="315">
        <v>-7267</v>
      </c>
      <c r="FT71" s="315">
        <v>238335</v>
      </c>
      <c r="FU71" s="315"/>
      <c r="FV71" s="315"/>
      <c r="FW71" s="315"/>
      <c r="FX71" s="315">
        <v>73958</v>
      </c>
      <c r="FY71" s="315">
        <v>68659</v>
      </c>
      <c r="FZ71" s="315"/>
      <c r="GA71" s="315"/>
      <c r="GB71" s="315"/>
      <c r="GC71" s="315">
        <v>58563</v>
      </c>
      <c r="GD71" s="315"/>
      <c r="GE71" s="315"/>
      <c r="GF71" s="315"/>
      <c r="GG71" s="315">
        <v>37155</v>
      </c>
      <c r="GH71" s="315">
        <v>215</v>
      </c>
      <c r="GI71" s="315">
        <v>2110</v>
      </c>
      <c r="GJ71" s="315">
        <v>34830</v>
      </c>
      <c r="GL71"/>
      <c r="GM71"/>
      <c r="GN71"/>
      <c r="GO71"/>
    </row>
    <row r="72" spans="1:197">
      <c r="A72" s="98" t="s">
        <v>18</v>
      </c>
      <c r="B72" s="98">
        <v>5</v>
      </c>
      <c r="C72" s="98" t="s">
        <v>221</v>
      </c>
      <c r="D72" s="315">
        <v>7027201</v>
      </c>
      <c r="E72" s="315">
        <v>-1462547</v>
      </c>
      <c r="F72" s="315">
        <v>-10678</v>
      </c>
      <c r="G72" s="315">
        <v>5553976</v>
      </c>
      <c r="H72" s="315">
        <v>5173003</v>
      </c>
      <c r="I72" s="315">
        <v>380973</v>
      </c>
      <c r="J72" s="315">
        <v>380973</v>
      </c>
      <c r="K72" s="315"/>
      <c r="L72" s="315">
        <v>2521874</v>
      </c>
      <c r="M72" s="315">
        <v>2133125</v>
      </c>
      <c r="N72" s="315">
        <v>96360</v>
      </c>
      <c r="O72" s="315"/>
      <c r="P72" s="315"/>
      <c r="Q72" s="315"/>
      <c r="R72" s="315">
        <v>292389</v>
      </c>
      <c r="S72" s="315">
        <v>-120858</v>
      </c>
      <c r="T72" s="315">
        <v>-114742</v>
      </c>
      <c r="U72" s="315"/>
      <c r="V72" s="315"/>
      <c r="W72" s="315">
        <v>-82862</v>
      </c>
      <c r="X72" s="315">
        <v>0</v>
      </c>
      <c r="Y72" s="315">
        <v>-31880</v>
      </c>
      <c r="Z72" s="315"/>
      <c r="AA72" s="315">
        <v>-6116</v>
      </c>
      <c r="AB72" s="315">
        <v>0</v>
      </c>
      <c r="AC72" s="315">
        <v>-10678</v>
      </c>
      <c r="AD72" s="315">
        <v>2390338</v>
      </c>
      <c r="AE72" s="315">
        <v>2009365</v>
      </c>
      <c r="AF72" s="315">
        <v>380973</v>
      </c>
      <c r="AG72" s="315">
        <v>380973</v>
      </c>
      <c r="AH72" s="315"/>
      <c r="AI72" s="315">
        <v>2128384</v>
      </c>
      <c r="AJ72" s="315">
        <v>733362</v>
      </c>
      <c r="AK72" s="315">
        <v>1305763</v>
      </c>
      <c r="AL72" s="315">
        <v>35152</v>
      </c>
      <c r="AM72" s="315">
        <v>185412</v>
      </c>
      <c r="AN72" s="315">
        <v>20920</v>
      </c>
      <c r="AO72" s="315">
        <v>71876</v>
      </c>
      <c r="AP72" s="315"/>
      <c r="AQ72" s="315">
        <v>12806</v>
      </c>
      <c r="AR72" s="315">
        <v>-18382</v>
      </c>
      <c r="AS72" s="315"/>
      <c r="AT72" s="315"/>
      <c r="AU72" s="315">
        <v>-10678</v>
      </c>
      <c r="AV72" s="315">
        <v>344166</v>
      </c>
      <c r="AW72" s="315">
        <v>27513</v>
      </c>
      <c r="AX72" s="315">
        <v>203218</v>
      </c>
      <c r="AY72" s="315"/>
      <c r="AZ72" s="315"/>
      <c r="BA72" s="315"/>
      <c r="BB72" s="315"/>
      <c r="BC72" s="315"/>
      <c r="BD72" s="315">
        <v>113435</v>
      </c>
      <c r="BE72" s="315">
        <v>-30176</v>
      </c>
      <c r="BF72" s="315">
        <v>-29308</v>
      </c>
      <c r="BG72" s="315">
        <v>-29308</v>
      </c>
      <c r="BH72" s="315"/>
      <c r="BI72" s="315">
        <v>0</v>
      </c>
      <c r="BJ72" s="315">
        <v>0</v>
      </c>
      <c r="BK72" s="315">
        <v>-29308</v>
      </c>
      <c r="BL72" s="315">
        <v>-868</v>
      </c>
      <c r="BM72" s="315">
        <v>0</v>
      </c>
      <c r="BN72" s="315">
        <v>313990</v>
      </c>
      <c r="BO72" s="315">
        <v>74059</v>
      </c>
      <c r="BP72" s="315">
        <v>8479</v>
      </c>
      <c r="BQ72" s="315">
        <v>30598</v>
      </c>
      <c r="BR72" s="315"/>
      <c r="BS72" s="315">
        <v>26944</v>
      </c>
      <c r="BT72" s="315"/>
      <c r="BU72" s="315"/>
      <c r="BV72" s="315"/>
      <c r="BW72" s="315"/>
      <c r="BX72" s="315">
        <v>173910</v>
      </c>
      <c r="BY72" s="315"/>
      <c r="BZ72" s="315"/>
      <c r="CA72" s="315">
        <v>237118</v>
      </c>
      <c r="CB72" s="315">
        <v>-53327</v>
      </c>
      <c r="CC72" s="315">
        <v>-6809</v>
      </c>
      <c r="CD72" s="315">
        <v>-46518</v>
      </c>
      <c r="CE72" s="315">
        <v>183791</v>
      </c>
      <c r="CF72" s="315"/>
      <c r="CG72" s="315"/>
      <c r="CH72" s="315"/>
      <c r="CI72" s="315">
        <v>2423043</v>
      </c>
      <c r="CJ72" s="315">
        <v>847590</v>
      </c>
      <c r="CK72" s="315">
        <v>1575453</v>
      </c>
      <c r="CL72" s="315">
        <v>1470708</v>
      </c>
      <c r="CM72" s="315">
        <v>79449</v>
      </c>
      <c r="CN72" s="315">
        <v>25296</v>
      </c>
      <c r="CO72" s="315">
        <v>0</v>
      </c>
      <c r="CP72" s="315">
        <v>0</v>
      </c>
      <c r="CQ72" s="315">
        <v>25296</v>
      </c>
      <c r="CR72" s="315">
        <v>-1244029</v>
      </c>
      <c r="CS72" s="315">
        <v>-579858</v>
      </c>
      <c r="CT72" s="315">
        <v>-519178</v>
      </c>
      <c r="CU72" s="315">
        <v>0</v>
      </c>
      <c r="CV72" s="315">
        <v>-13751</v>
      </c>
      <c r="CW72" s="315">
        <v>-46929</v>
      </c>
      <c r="CX72" s="315">
        <v>-664171</v>
      </c>
      <c r="CY72" s="315">
        <v>-454612</v>
      </c>
      <c r="CZ72" s="315">
        <v>-200000</v>
      </c>
      <c r="DA72" s="315">
        <v>-9559</v>
      </c>
      <c r="DB72" s="315">
        <v>0</v>
      </c>
      <c r="DC72" s="315">
        <v>0</v>
      </c>
      <c r="DD72" s="315">
        <v>1179014</v>
      </c>
      <c r="DE72" s="315">
        <v>1179014</v>
      </c>
      <c r="DF72" s="316"/>
      <c r="DG72" s="315"/>
      <c r="DH72" s="315"/>
      <c r="DI72" s="315">
        <v>1227201</v>
      </c>
      <c r="DJ72" s="315">
        <v>59070</v>
      </c>
      <c r="DK72" s="315">
        <v>12590</v>
      </c>
      <c r="DL72" s="315">
        <v>1758</v>
      </c>
      <c r="DM72" s="315">
        <v>717592</v>
      </c>
      <c r="DN72" s="315">
        <v>296036</v>
      </c>
      <c r="DO72" s="315">
        <v>46798</v>
      </c>
      <c r="DP72" s="315"/>
      <c r="DQ72" s="315"/>
      <c r="DR72" s="315">
        <v>93357</v>
      </c>
      <c r="DS72" s="315">
        <v>-4801</v>
      </c>
      <c r="DT72" s="315">
        <v>-3488</v>
      </c>
      <c r="DU72" s="315">
        <v>-38</v>
      </c>
      <c r="DV72" s="315">
        <v>0</v>
      </c>
      <c r="DW72" s="315">
        <v>-425</v>
      </c>
      <c r="DX72" s="315"/>
      <c r="DY72" s="315"/>
      <c r="DZ72" s="315"/>
      <c r="EA72" s="315">
        <v>-5</v>
      </c>
      <c r="EB72" s="315">
        <v>0</v>
      </c>
      <c r="EC72" s="315"/>
      <c r="ED72" s="315"/>
      <c r="EE72" s="315">
        <v>-845</v>
      </c>
      <c r="EF72" s="315">
        <v>1222400</v>
      </c>
      <c r="EG72" s="315">
        <v>1222400</v>
      </c>
      <c r="EH72" s="316"/>
      <c r="EI72" s="315"/>
      <c r="EJ72" s="315"/>
      <c r="EK72" s="315">
        <v>55582</v>
      </c>
      <c r="EL72" s="315">
        <v>55582</v>
      </c>
      <c r="EM72" s="316"/>
      <c r="EN72" s="315"/>
      <c r="EO72" s="315"/>
      <c r="EP72" s="315">
        <v>12552</v>
      </c>
      <c r="EQ72" s="315">
        <v>12552</v>
      </c>
      <c r="ER72" s="316"/>
      <c r="ES72" s="315"/>
      <c r="ET72" s="315"/>
      <c r="EU72" s="315">
        <v>1758</v>
      </c>
      <c r="EV72" s="315">
        <v>1758</v>
      </c>
      <c r="EW72" s="316"/>
      <c r="EX72" s="315"/>
      <c r="EY72" s="315"/>
      <c r="EZ72" s="315">
        <v>717167</v>
      </c>
      <c r="FA72" s="315">
        <v>717167</v>
      </c>
      <c r="FB72" s="316"/>
      <c r="FC72" s="315"/>
      <c r="FD72" s="315"/>
      <c r="FE72" s="315">
        <v>296031</v>
      </c>
      <c r="FF72" s="315">
        <v>296031</v>
      </c>
      <c r="FG72" s="316"/>
      <c r="FH72" s="315"/>
      <c r="FI72" s="315"/>
      <c r="FJ72" s="315">
        <v>46798</v>
      </c>
      <c r="FK72" s="315">
        <v>46798</v>
      </c>
      <c r="FL72" s="316"/>
      <c r="FM72" s="315"/>
      <c r="FN72" s="315"/>
      <c r="FO72" s="315"/>
      <c r="FP72" s="315"/>
      <c r="FQ72" s="315">
        <v>92512</v>
      </c>
      <c r="FR72" s="315">
        <v>273799</v>
      </c>
      <c r="FS72" s="315">
        <v>-9356</v>
      </c>
      <c r="FT72" s="315">
        <v>264443</v>
      </c>
      <c r="FU72" s="315"/>
      <c r="FV72" s="315"/>
      <c r="FW72" s="315"/>
      <c r="FX72" s="315">
        <v>79551</v>
      </c>
      <c r="FY72" s="315">
        <v>65515</v>
      </c>
      <c r="FZ72" s="315"/>
      <c r="GA72" s="315"/>
      <c r="GB72" s="315"/>
      <c r="GC72" s="315">
        <v>75567</v>
      </c>
      <c r="GD72" s="315"/>
      <c r="GE72" s="315"/>
      <c r="GF72" s="315"/>
      <c r="GG72" s="315">
        <v>43810</v>
      </c>
      <c r="GH72" s="315">
        <v>2483</v>
      </c>
      <c r="GI72" s="315">
        <v>10766</v>
      </c>
      <c r="GJ72" s="315">
        <v>30561</v>
      </c>
      <c r="GL72"/>
      <c r="GM72"/>
      <c r="GN72"/>
      <c r="GO72"/>
    </row>
    <row r="73" spans="1:197">
      <c r="A73" s="98" t="s">
        <v>18</v>
      </c>
      <c r="B73" s="98">
        <v>6</v>
      </c>
      <c r="C73" s="98" t="s">
        <v>222</v>
      </c>
      <c r="D73" s="315">
        <v>8942199</v>
      </c>
      <c r="E73" s="315">
        <v>-3705407</v>
      </c>
      <c r="F73" s="315">
        <v>-10677</v>
      </c>
      <c r="G73" s="315">
        <v>5226115</v>
      </c>
      <c r="H73" s="315">
        <v>4845143</v>
      </c>
      <c r="I73" s="315">
        <v>380972</v>
      </c>
      <c r="J73" s="315">
        <v>380972</v>
      </c>
      <c r="K73" s="315"/>
      <c r="L73" s="315">
        <v>4232929</v>
      </c>
      <c r="M73" s="315">
        <v>1495717</v>
      </c>
      <c r="N73" s="315">
        <v>2526291</v>
      </c>
      <c r="O73" s="315"/>
      <c r="P73" s="315"/>
      <c r="Q73" s="315"/>
      <c r="R73" s="315">
        <v>210921</v>
      </c>
      <c r="S73" s="315">
        <v>-2118691</v>
      </c>
      <c r="T73" s="315">
        <v>-2113264</v>
      </c>
      <c r="U73" s="315"/>
      <c r="V73" s="315"/>
      <c r="W73" s="315">
        <v>-2089683</v>
      </c>
      <c r="X73" s="315">
        <v>0</v>
      </c>
      <c r="Y73" s="315">
        <v>-23581</v>
      </c>
      <c r="Z73" s="315"/>
      <c r="AA73" s="315">
        <v>-5427</v>
      </c>
      <c r="AB73" s="315">
        <v>0</v>
      </c>
      <c r="AC73" s="315">
        <v>-10677</v>
      </c>
      <c r="AD73" s="315">
        <v>2103561</v>
      </c>
      <c r="AE73" s="315">
        <v>1722589</v>
      </c>
      <c r="AF73" s="315">
        <v>380972</v>
      </c>
      <c r="AG73" s="315">
        <v>380972</v>
      </c>
      <c r="AH73" s="315"/>
      <c r="AI73" s="315">
        <v>1492308</v>
      </c>
      <c r="AJ73" s="315">
        <v>224544</v>
      </c>
      <c r="AK73" s="315">
        <v>1213381</v>
      </c>
      <c r="AL73" s="315">
        <v>15131</v>
      </c>
      <c r="AM73" s="315">
        <v>113484</v>
      </c>
      <c r="AN73" s="315">
        <v>18713</v>
      </c>
      <c r="AO73" s="315">
        <v>70125</v>
      </c>
      <c r="AP73" s="315"/>
      <c r="AQ73" s="315">
        <v>6581</v>
      </c>
      <c r="AR73" s="315">
        <v>413027</v>
      </c>
      <c r="AS73" s="315"/>
      <c r="AT73" s="315"/>
      <c r="AU73" s="315">
        <v>-10677</v>
      </c>
      <c r="AV73" s="315">
        <v>210460</v>
      </c>
      <c r="AW73" s="315">
        <v>39598</v>
      </c>
      <c r="AX73" s="315">
        <v>86227</v>
      </c>
      <c r="AY73" s="315"/>
      <c r="AZ73" s="315"/>
      <c r="BA73" s="315"/>
      <c r="BB73" s="315"/>
      <c r="BC73" s="315"/>
      <c r="BD73" s="315">
        <v>84635</v>
      </c>
      <c r="BE73" s="315">
        <v>-29459</v>
      </c>
      <c r="BF73" s="315">
        <v>-25900</v>
      </c>
      <c r="BG73" s="315">
        <v>-25900</v>
      </c>
      <c r="BH73" s="315"/>
      <c r="BI73" s="315">
        <v>0</v>
      </c>
      <c r="BJ73" s="315">
        <v>0</v>
      </c>
      <c r="BK73" s="315">
        <v>-25900</v>
      </c>
      <c r="BL73" s="315">
        <v>-3559</v>
      </c>
      <c r="BM73" s="315">
        <v>0</v>
      </c>
      <c r="BN73" s="315">
        <v>181001</v>
      </c>
      <c r="BO73" s="315">
        <v>46444</v>
      </c>
      <c r="BP73" s="315">
        <v>7619</v>
      </c>
      <c r="BQ73" s="315">
        <v>29848</v>
      </c>
      <c r="BR73" s="315"/>
      <c r="BS73" s="315">
        <v>36763</v>
      </c>
      <c r="BT73" s="315"/>
      <c r="BU73" s="315"/>
      <c r="BV73" s="315"/>
      <c r="BW73" s="315"/>
      <c r="BX73" s="315">
        <v>60327</v>
      </c>
      <c r="BY73" s="315"/>
      <c r="BZ73" s="315"/>
      <c r="CA73" s="315">
        <v>94415</v>
      </c>
      <c r="CB73" s="315">
        <v>-127503</v>
      </c>
      <c r="CC73" s="315">
        <v>-11303</v>
      </c>
      <c r="CD73" s="315">
        <v>-116200</v>
      </c>
      <c r="CE73" s="315">
        <v>-33088</v>
      </c>
      <c r="CF73" s="315"/>
      <c r="CG73" s="315"/>
      <c r="CH73" s="315"/>
      <c r="CI73" s="315">
        <v>2493650</v>
      </c>
      <c r="CJ73" s="315">
        <v>879464</v>
      </c>
      <c r="CK73" s="315">
        <v>1614186</v>
      </c>
      <c r="CL73" s="315">
        <v>1527756</v>
      </c>
      <c r="CM73" s="315">
        <v>64500</v>
      </c>
      <c r="CN73" s="315">
        <v>21930</v>
      </c>
      <c r="CO73" s="315">
        <v>0</v>
      </c>
      <c r="CP73" s="315">
        <v>0</v>
      </c>
      <c r="CQ73" s="315">
        <v>21930</v>
      </c>
      <c r="CR73" s="315">
        <v>-1406816</v>
      </c>
      <c r="CS73" s="315">
        <v>-724185</v>
      </c>
      <c r="CT73" s="315">
        <v>-645024</v>
      </c>
      <c r="CU73" s="315">
        <v>0</v>
      </c>
      <c r="CV73" s="315">
        <v>-151</v>
      </c>
      <c r="CW73" s="315">
        <v>-79010</v>
      </c>
      <c r="CX73" s="315">
        <v>-612196</v>
      </c>
      <c r="CY73" s="315">
        <v>-495498</v>
      </c>
      <c r="CZ73" s="315">
        <v>-110000</v>
      </c>
      <c r="DA73" s="315">
        <v>-6698</v>
      </c>
      <c r="DB73" s="315">
        <v>0</v>
      </c>
      <c r="DC73" s="315">
        <v>-70435</v>
      </c>
      <c r="DD73" s="315">
        <v>1086834</v>
      </c>
      <c r="DE73" s="315">
        <v>1086834</v>
      </c>
      <c r="DF73" s="316"/>
      <c r="DG73" s="315"/>
      <c r="DH73" s="315"/>
      <c r="DI73" s="315">
        <v>1387450</v>
      </c>
      <c r="DJ73" s="315">
        <v>59176</v>
      </c>
      <c r="DK73" s="315">
        <v>16326</v>
      </c>
      <c r="DL73" s="315">
        <v>916</v>
      </c>
      <c r="DM73" s="315">
        <v>754960</v>
      </c>
      <c r="DN73" s="315">
        <v>392884</v>
      </c>
      <c r="DO73" s="315">
        <v>50362</v>
      </c>
      <c r="DP73" s="315"/>
      <c r="DQ73" s="315"/>
      <c r="DR73" s="315">
        <v>112826</v>
      </c>
      <c r="DS73" s="315">
        <v>-18463</v>
      </c>
      <c r="DT73" s="315">
        <v>-1990</v>
      </c>
      <c r="DU73" s="315">
        <v>-47</v>
      </c>
      <c r="DV73" s="315">
        <v>-6</v>
      </c>
      <c r="DW73" s="315">
        <v>-643</v>
      </c>
      <c r="DX73" s="315"/>
      <c r="DY73" s="315"/>
      <c r="DZ73" s="315"/>
      <c r="EA73" s="315">
        <v>-12789</v>
      </c>
      <c r="EB73" s="315">
        <v>0</v>
      </c>
      <c r="EC73" s="315"/>
      <c r="ED73" s="315"/>
      <c r="EE73" s="315">
        <v>-2988</v>
      </c>
      <c r="EF73" s="315">
        <v>1368987</v>
      </c>
      <c r="EG73" s="315">
        <v>1368987</v>
      </c>
      <c r="EH73" s="316"/>
      <c r="EI73" s="315"/>
      <c r="EJ73" s="315"/>
      <c r="EK73" s="315">
        <v>57186</v>
      </c>
      <c r="EL73" s="315">
        <v>57186</v>
      </c>
      <c r="EM73" s="316"/>
      <c r="EN73" s="315"/>
      <c r="EO73" s="315"/>
      <c r="EP73" s="315">
        <v>16279</v>
      </c>
      <c r="EQ73" s="315">
        <v>16279</v>
      </c>
      <c r="ER73" s="316"/>
      <c r="ES73" s="315"/>
      <c r="ET73" s="315"/>
      <c r="EU73" s="315">
        <v>910</v>
      </c>
      <c r="EV73" s="315">
        <v>910</v>
      </c>
      <c r="EW73" s="316"/>
      <c r="EX73" s="315"/>
      <c r="EY73" s="315"/>
      <c r="EZ73" s="315">
        <v>754317</v>
      </c>
      <c r="FA73" s="315">
        <v>754317</v>
      </c>
      <c r="FB73" s="316"/>
      <c r="FC73" s="315"/>
      <c r="FD73" s="315"/>
      <c r="FE73" s="315">
        <v>380095</v>
      </c>
      <c r="FF73" s="315">
        <v>380095</v>
      </c>
      <c r="FG73" s="316"/>
      <c r="FH73" s="315"/>
      <c r="FI73" s="315"/>
      <c r="FJ73" s="315">
        <v>50362</v>
      </c>
      <c r="FK73" s="315">
        <v>50362</v>
      </c>
      <c r="FL73" s="316"/>
      <c r="FM73" s="315"/>
      <c r="FN73" s="315"/>
      <c r="FO73" s="315"/>
      <c r="FP73" s="315"/>
      <c r="FQ73" s="315">
        <v>109838</v>
      </c>
      <c r="FR73" s="315">
        <v>523295</v>
      </c>
      <c r="FS73" s="315">
        <v>-4475</v>
      </c>
      <c r="FT73" s="315">
        <v>518820</v>
      </c>
      <c r="FU73" s="315"/>
      <c r="FV73" s="315"/>
      <c r="FW73" s="315"/>
      <c r="FX73" s="315">
        <v>83839</v>
      </c>
      <c r="FY73" s="315">
        <v>68645</v>
      </c>
      <c r="FZ73" s="315"/>
      <c r="GA73" s="315"/>
      <c r="GB73" s="315"/>
      <c r="GC73" s="315">
        <v>46505</v>
      </c>
      <c r="GD73" s="315"/>
      <c r="GE73" s="315"/>
      <c r="GF73" s="315"/>
      <c r="GG73" s="315">
        <v>319831</v>
      </c>
      <c r="GH73" s="315">
        <v>271832</v>
      </c>
      <c r="GI73" s="315">
        <v>5001</v>
      </c>
      <c r="GJ73" s="315">
        <v>42998</v>
      </c>
      <c r="GL73"/>
      <c r="GM73"/>
      <c r="GN73"/>
      <c r="GO73"/>
    </row>
    <row r="74" spans="1:197">
      <c r="A74" s="98" t="s">
        <v>18</v>
      </c>
      <c r="B74" s="98">
        <v>7</v>
      </c>
      <c r="C74" s="98" t="s">
        <v>223</v>
      </c>
      <c r="D74" s="315">
        <v>15505939</v>
      </c>
      <c r="E74" s="315">
        <v>-4370504</v>
      </c>
      <c r="F74" s="315">
        <v>-10678</v>
      </c>
      <c r="G74" s="315">
        <v>11124757</v>
      </c>
      <c r="H74" s="315">
        <v>10743784</v>
      </c>
      <c r="I74" s="315">
        <v>380973</v>
      </c>
      <c r="J74" s="315">
        <v>380973</v>
      </c>
      <c r="K74" s="315"/>
      <c r="L74" s="315">
        <v>5946014</v>
      </c>
      <c r="M74" s="315">
        <v>4685701</v>
      </c>
      <c r="N74" s="315">
        <v>69609</v>
      </c>
      <c r="O74" s="315"/>
      <c r="P74" s="315"/>
      <c r="Q74" s="315"/>
      <c r="R74" s="315">
        <v>1190704</v>
      </c>
      <c r="S74" s="315">
        <v>-2164755</v>
      </c>
      <c r="T74" s="315">
        <v>-2155888</v>
      </c>
      <c r="U74" s="315"/>
      <c r="V74" s="315"/>
      <c r="W74" s="315">
        <v>-2134813</v>
      </c>
      <c r="X74" s="315">
        <v>0</v>
      </c>
      <c r="Y74" s="315">
        <v>-21075</v>
      </c>
      <c r="Z74" s="315"/>
      <c r="AA74" s="315">
        <v>-8867</v>
      </c>
      <c r="AB74" s="315">
        <v>0</v>
      </c>
      <c r="AC74" s="315">
        <v>-10678</v>
      </c>
      <c r="AD74" s="315">
        <v>3770581</v>
      </c>
      <c r="AE74" s="315">
        <v>3389608</v>
      </c>
      <c r="AF74" s="315">
        <v>380973</v>
      </c>
      <c r="AG74" s="315">
        <v>380973</v>
      </c>
      <c r="AH74" s="315"/>
      <c r="AI74" s="315">
        <v>4677770</v>
      </c>
      <c r="AJ74" s="315">
        <v>757183</v>
      </c>
      <c r="AK74" s="315">
        <v>1409161</v>
      </c>
      <c r="AL74" s="315">
        <v>2472528</v>
      </c>
      <c r="AM74" s="315">
        <v>319254</v>
      </c>
      <c r="AN74" s="315">
        <v>202511</v>
      </c>
      <c r="AO74" s="315">
        <v>72506</v>
      </c>
      <c r="AP74" s="315"/>
      <c r="AQ74" s="315">
        <v>595497</v>
      </c>
      <c r="AR74" s="315">
        <v>-2086279</v>
      </c>
      <c r="AS74" s="315"/>
      <c r="AT74" s="315"/>
      <c r="AU74" s="315">
        <v>-10678</v>
      </c>
      <c r="AV74" s="315">
        <v>1038403</v>
      </c>
      <c r="AW74" s="315">
        <v>9813</v>
      </c>
      <c r="AX74" s="315">
        <v>782004</v>
      </c>
      <c r="AY74" s="315"/>
      <c r="AZ74" s="315"/>
      <c r="BA74" s="315"/>
      <c r="BB74" s="315"/>
      <c r="BC74" s="315"/>
      <c r="BD74" s="315">
        <v>246586</v>
      </c>
      <c r="BE74" s="315">
        <v>-31977</v>
      </c>
      <c r="BF74" s="315">
        <v>-31044</v>
      </c>
      <c r="BG74" s="315">
        <v>-31044</v>
      </c>
      <c r="BH74" s="315"/>
      <c r="BI74" s="315">
        <v>0</v>
      </c>
      <c r="BJ74" s="315">
        <v>0</v>
      </c>
      <c r="BK74" s="315">
        <v>-31044</v>
      </c>
      <c r="BL74" s="315">
        <v>-933</v>
      </c>
      <c r="BM74" s="315">
        <v>0</v>
      </c>
      <c r="BN74" s="315">
        <v>1006426</v>
      </c>
      <c r="BO74" s="315">
        <v>129843</v>
      </c>
      <c r="BP74" s="315">
        <v>85898</v>
      </c>
      <c r="BQ74" s="315">
        <v>30657</v>
      </c>
      <c r="BR74" s="315"/>
      <c r="BS74" s="315">
        <v>9068</v>
      </c>
      <c r="BT74" s="315"/>
      <c r="BU74" s="315"/>
      <c r="BV74" s="315"/>
      <c r="BW74" s="315"/>
      <c r="BX74" s="315">
        <v>750960</v>
      </c>
      <c r="BY74" s="315"/>
      <c r="BZ74" s="315"/>
      <c r="CA74" s="315">
        <v>317945</v>
      </c>
      <c r="CB74" s="315">
        <v>-27034</v>
      </c>
      <c r="CC74" s="315">
        <v>-3276</v>
      </c>
      <c r="CD74" s="315">
        <v>-23758</v>
      </c>
      <c r="CE74" s="315">
        <v>290911</v>
      </c>
      <c r="CF74" s="315"/>
      <c r="CG74" s="315"/>
      <c r="CH74" s="315"/>
      <c r="CI74" s="315">
        <v>6426084</v>
      </c>
      <c r="CJ74" s="315">
        <v>883639</v>
      </c>
      <c r="CK74" s="315">
        <v>5542445</v>
      </c>
      <c r="CL74" s="315">
        <v>1666098</v>
      </c>
      <c r="CM74" s="315">
        <v>3856983</v>
      </c>
      <c r="CN74" s="315">
        <v>19364</v>
      </c>
      <c r="CO74" s="315">
        <v>0</v>
      </c>
      <c r="CP74" s="315">
        <v>0</v>
      </c>
      <c r="CQ74" s="315">
        <v>19364</v>
      </c>
      <c r="CR74" s="315">
        <v>-2111950</v>
      </c>
      <c r="CS74" s="315">
        <v>-1369712</v>
      </c>
      <c r="CT74" s="315">
        <v>-1266453</v>
      </c>
      <c r="CU74" s="315">
        <v>0</v>
      </c>
      <c r="CV74" s="315">
        <v>-210</v>
      </c>
      <c r="CW74" s="315">
        <v>-103049</v>
      </c>
      <c r="CX74" s="315">
        <v>-509387</v>
      </c>
      <c r="CY74" s="315">
        <v>-437441</v>
      </c>
      <c r="CZ74" s="315">
        <v>-50000</v>
      </c>
      <c r="DA74" s="315">
        <v>-21946</v>
      </c>
      <c r="DB74" s="315">
        <v>-232851</v>
      </c>
      <c r="DC74" s="315">
        <v>0</v>
      </c>
      <c r="DD74" s="315">
        <v>4314134</v>
      </c>
      <c r="DE74" s="315">
        <v>4314134</v>
      </c>
      <c r="DF74" s="316"/>
      <c r="DG74" s="315"/>
      <c r="DH74" s="315"/>
      <c r="DI74" s="315">
        <v>1453984</v>
      </c>
      <c r="DJ74" s="315">
        <v>61648</v>
      </c>
      <c r="DK74" s="315">
        <v>14721</v>
      </c>
      <c r="DL74" s="315">
        <v>1110</v>
      </c>
      <c r="DM74" s="315">
        <v>790107</v>
      </c>
      <c r="DN74" s="315">
        <v>405547</v>
      </c>
      <c r="DO74" s="315">
        <v>53127</v>
      </c>
      <c r="DP74" s="315"/>
      <c r="DQ74" s="315"/>
      <c r="DR74" s="315">
        <v>127724</v>
      </c>
      <c r="DS74" s="315">
        <v>-30156</v>
      </c>
      <c r="DT74" s="315">
        <v>-15719</v>
      </c>
      <c r="DU74" s="315">
        <v>-1864</v>
      </c>
      <c r="DV74" s="315">
        <v>-25</v>
      </c>
      <c r="DW74" s="315">
        <v>-217</v>
      </c>
      <c r="DX74" s="315"/>
      <c r="DY74" s="315"/>
      <c r="DZ74" s="315"/>
      <c r="EA74" s="315">
        <v>-10792</v>
      </c>
      <c r="EB74" s="315">
        <v>-11</v>
      </c>
      <c r="EC74" s="315"/>
      <c r="ED74" s="315"/>
      <c r="EE74" s="315">
        <v>-1528</v>
      </c>
      <c r="EF74" s="315">
        <v>1423828</v>
      </c>
      <c r="EG74" s="315">
        <v>1423828</v>
      </c>
      <c r="EH74" s="316"/>
      <c r="EI74" s="315"/>
      <c r="EJ74" s="315"/>
      <c r="EK74" s="315">
        <v>45929</v>
      </c>
      <c r="EL74" s="315">
        <v>45929</v>
      </c>
      <c r="EM74" s="316"/>
      <c r="EN74" s="315"/>
      <c r="EO74" s="315"/>
      <c r="EP74" s="315">
        <v>12857</v>
      </c>
      <c r="EQ74" s="315">
        <v>12857</v>
      </c>
      <c r="ER74" s="316"/>
      <c r="ES74" s="315"/>
      <c r="ET74" s="315"/>
      <c r="EU74" s="315">
        <v>1085</v>
      </c>
      <c r="EV74" s="315">
        <v>1085</v>
      </c>
      <c r="EW74" s="316"/>
      <c r="EX74" s="315"/>
      <c r="EY74" s="315"/>
      <c r="EZ74" s="315">
        <v>789890</v>
      </c>
      <c r="FA74" s="315">
        <v>789890</v>
      </c>
      <c r="FB74" s="316"/>
      <c r="FC74" s="315"/>
      <c r="FD74" s="315"/>
      <c r="FE74" s="315">
        <v>394755</v>
      </c>
      <c r="FF74" s="315">
        <v>394755</v>
      </c>
      <c r="FG74" s="316"/>
      <c r="FH74" s="315"/>
      <c r="FI74" s="315"/>
      <c r="FJ74" s="315">
        <v>53116</v>
      </c>
      <c r="FK74" s="315">
        <v>53116</v>
      </c>
      <c r="FL74" s="316"/>
      <c r="FM74" s="315"/>
      <c r="FN74" s="315"/>
      <c r="FO74" s="315"/>
      <c r="FP74" s="315"/>
      <c r="FQ74" s="315">
        <v>126196</v>
      </c>
      <c r="FR74" s="315">
        <v>323509</v>
      </c>
      <c r="FS74" s="315">
        <v>-4632</v>
      </c>
      <c r="FT74" s="315">
        <v>318877</v>
      </c>
      <c r="FU74" s="315"/>
      <c r="FV74" s="315"/>
      <c r="FW74" s="315"/>
      <c r="FX74" s="315">
        <v>87844</v>
      </c>
      <c r="FY74" s="315">
        <v>67479</v>
      </c>
      <c r="FZ74" s="315"/>
      <c r="GA74" s="315"/>
      <c r="GB74" s="315"/>
      <c r="GC74" s="315">
        <v>80698</v>
      </c>
      <c r="GD74" s="315"/>
      <c r="GE74" s="315"/>
      <c r="GF74" s="315"/>
      <c r="GG74" s="315">
        <v>82856</v>
      </c>
      <c r="GH74" s="315">
        <v>33682</v>
      </c>
      <c r="GI74" s="315">
        <v>3572</v>
      </c>
      <c r="GJ74" s="315">
        <v>45602</v>
      </c>
      <c r="GL74"/>
      <c r="GM74"/>
      <c r="GN74"/>
      <c r="GO74"/>
    </row>
    <row r="75" spans="1:197">
      <c r="A75" s="98" t="s">
        <v>18</v>
      </c>
      <c r="B75" s="98">
        <v>8</v>
      </c>
      <c r="C75" s="98" t="s">
        <v>224</v>
      </c>
      <c r="D75" s="315">
        <v>9152613</v>
      </c>
      <c r="E75" s="315">
        <v>-1510624</v>
      </c>
      <c r="F75" s="315">
        <v>-10678</v>
      </c>
      <c r="G75" s="315">
        <v>7631311</v>
      </c>
      <c r="H75" s="315">
        <v>7250339</v>
      </c>
      <c r="I75" s="315">
        <v>380972</v>
      </c>
      <c r="J75" s="315">
        <v>380972</v>
      </c>
      <c r="K75" s="315"/>
      <c r="L75" s="315">
        <v>866815</v>
      </c>
      <c r="M75" s="315">
        <v>780518</v>
      </c>
      <c r="N75" s="315">
        <v>35643</v>
      </c>
      <c r="O75" s="315"/>
      <c r="P75" s="315"/>
      <c r="Q75" s="315"/>
      <c r="R75" s="315">
        <v>50654</v>
      </c>
      <c r="S75" s="315">
        <v>-541087</v>
      </c>
      <c r="T75" s="315">
        <v>-527795</v>
      </c>
      <c r="U75" s="315"/>
      <c r="V75" s="315"/>
      <c r="W75" s="315">
        <v>-517093</v>
      </c>
      <c r="X75" s="315">
        <v>0</v>
      </c>
      <c r="Y75" s="315">
        <v>-10702</v>
      </c>
      <c r="Z75" s="315"/>
      <c r="AA75" s="315">
        <v>-13292</v>
      </c>
      <c r="AB75" s="315">
        <v>0</v>
      </c>
      <c r="AC75" s="315">
        <v>-10678</v>
      </c>
      <c r="AD75" s="315">
        <v>315050</v>
      </c>
      <c r="AE75" s="315">
        <v>-65922</v>
      </c>
      <c r="AF75" s="315">
        <v>380972</v>
      </c>
      <c r="AG75" s="315">
        <v>380972</v>
      </c>
      <c r="AH75" s="315"/>
      <c r="AI75" s="315">
        <v>767813</v>
      </c>
      <c r="AJ75" s="315">
        <v>641640</v>
      </c>
      <c r="AK75" s="315">
        <v>53393</v>
      </c>
      <c r="AL75" s="315">
        <v>34179</v>
      </c>
      <c r="AM75" s="315">
        <v>32487</v>
      </c>
      <c r="AN75" s="315">
        <v>3319</v>
      </c>
      <c r="AO75" s="315">
        <v>8083</v>
      </c>
      <c r="AP75" s="315"/>
      <c r="AQ75" s="315">
        <v>6178</v>
      </c>
      <c r="AR75" s="315">
        <v>-492152</v>
      </c>
      <c r="AS75" s="315"/>
      <c r="AT75" s="315"/>
      <c r="AU75" s="315">
        <v>-10678</v>
      </c>
      <c r="AV75" s="315">
        <v>5939947</v>
      </c>
      <c r="AW75" s="315">
        <v>16525</v>
      </c>
      <c r="AX75" s="315">
        <v>5905784</v>
      </c>
      <c r="AY75" s="315"/>
      <c r="AZ75" s="315"/>
      <c r="BA75" s="315"/>
      <c r="BB75" s="315"/>
      <c r="BC75" s="315"/>
      <c r="BD75" s="315">
        <v>17638</v>
      </c>
      <c r="BE75" s="315">
        <v>-15026</v>
      </c>
      <c r="BF75" s="315">
        <v>-5561</v>
      </c>
      <c r="BG75" s="315">
        <v>-5561</v>
      </c>
      <c r="BH75" s="315"/>
      <c r="BI75" s="315">
        <v>0</v>
      </c>
      <c r="BJ75" s="315">
        <v>0</v>
      </c>
      <c r="BK75" s="315">
        <v>-5561</v>
      </c>
      <c r="BL75" s="315">
        <v>-9465</v>
      </c>
      <c r="BM75" s="315">
        <v>0</v>
      </c>
      <c r="BN75" s="315">
        <v>5924921</v>
      </c>
      <c r="BO75" s="315">
        <v>12875</v>
      </c>
      <c r="BP75" s="315">
        <v>1150</v>
      </c>
      <c r="BQ75" s="315">
        <v>3442</v>
      </c>
      <c r="BR75" s="315"/>
      <c r="BS75" s="315">
        <v>7231</v>
      </c>
      <c r="BT75" s="315"/>
      <c r="BU75" s="315"/>
      <c r="BV75" s="315"/>
      <c r="BW75" s="315"/>
      <c r="BX75" s="315">
        <v>5900223</v>
      </c>
      <c r="BY75" s="315"/>
      <c r="BZ75" s="315"/>
      <c r="CA75" s="315">
        <v>121801</v>
      </c>
      <c r="CB75" s="315">
        <v>-104104</v>
      </c>
      <c r="CC75" s="315">
        <v>-5562</v>
      </c>
      <c r="CD75" s="315">
        <v>-98542</v>
      </c>
      <c r="CE75" s="315">
        <v>17697</v>
      </c>
      <c r="CF75" s="315"/>
      <c r="CG75" s="315"/>
      <c r="CH75" s="315"/>
      <c r="CI75" s="315">
        <v>595841</v>
      </c>
      <c r="CJ75" s="315">
        <v>448254</v>
      </c>
      <c r="CK75" s="315">
        <v>147587</v>
      </c>
      <c r="CL75" s="315">
        <v>63093</v>
      </c>
      <c r="CM75" s="315">
        <v>52164</v>
      </c>
      <c r="CN75" s="315">
        <v>32330</v>
      </c>
      <c r="CO75" s="315">
        <v>0</v>
      </c>
      <c r="CP75" s="315">
        <v>0</v>
      </c>
      <c r="CQ75" s="315">
        <v>32330</v>
      </c>
      <c r="CR75" s="315">
        <v>-844456</v>
      </c>
      <c r="CS75" s="315">
        <v>-454106</v>
      </c>
      <c r="CT75" s="315">
        <v>-339536</v>
      </c>
      <c r="CU75" s="315">
        <v>0</v>
      </c>
      <c r="CV75" s="315">
        <v>-29</v>
      </c>
      <c r="CW75" s="315">
        <v>-114541</v>
      </c>
      <c r="CX75" s="315">
        <v>-390350</v>
      </c>
      <c r="CY75" s="315">
        <v>-361076</v>
      </c>
      <c r="CZ75" s="315">
        <v>-21350</v>
      </c>
      <c r="DA75" s="315">
        <v>-7924</v>
      </c>
      <c r="DB75" s="315">
        <v>0</v>
      </c>
      <c r="DC75" s="315">
        <v>0</v>
      </c>
      <c r="DD75" s="315">
        <v>-248615</v>
      </c>
      <c r="DE75" s="315">
        <v>-248615</v>
      </c>
      <c r="DF75" s="316"/>
      <c r="DG75" s="315"/>
      <c r="DH75" s="315"/>
      <c r="DI75" s="315">
        <v>1470760</v>
      </c>
      <c r="DJ75" s="315">
        <v>75318</v>
      </c>
      <c r="DK75" s="315">
        <v>19343</v>
      </c>
      <c r="DL75" s="315">
        <v>2545</v>
      </c>
      <c r="DM75" s="315">
        <v>779101</v>
      </c>
      <c r="DN75" s="315">
        <v>450941</v>
      </c>
      <c r="DO75" s="315">
        <v>44529</v>
      </c>
      <c r="DP75" s="315"/>
      <c r="DQ75" s="315"/>
      <c r="DR75" s="315">
        <v>98983</v>
      </c>
      <c r="DS75" s="315">
        <v>-2769</v>
      </c>
      <c r="DT75" s="315">
        <v>-1579</v>
      </c>
      <c r="DU75" s="315">
        <v>-28</v>
      </c>
      <c r="DV75" s="315">
        <v>0</v>
      </c>
      <c r="DW75" s="315">
        <v>-409</v>
      </c>
      <c r="DX75" s="315"/>
      <c r="DY75" s="315"/>
      <c r="DZ75" s="315"/>
      <c r="EA75" s="315">
        <v>0</v>
      </c>
      <c r="EB75" s="315">
        <v>-5</v>
      </c>
      <c r="EC75" s="315"/>
      <c r="ED75" s="315"/>
      <c r="EE75" s="315">
        <v>-748</v>
      </c>
      <c r="EF75" s="315">
        <v>1467991</v>
      </c>
      <c r="EG75" s="315">
        <v>1467991</v>
      </c>
      <c r="EH75" s="316"/>
      <c r="EI75" s="315"/>
      <c r="EJ75" s="315"/>
      <c r="EK75" s="315">
        <v>73739</v>
      </c>
      <c r="EL75" s="315">
        <v>73739</v>
      </c>
      <c r="EM75" s="316"/>
      <c r="EN75" s="315"/>
      <c r="EO75" s="315"/>
      <c r="EP75" s="315">
        <v>19315</v>
      </c>
      <c r="EQ75" s="315">
        <v>19315</v>
      </c>
      <c r="ER75" s="316"/>
      <c r="ES75" s="315"/>
      <c r="ET75" s="315"/>
      <c r="EU75" s="315">
        <v>2545</v>
      </c>
      <c r="EV75" s="315">
        <v>2545</v>
      </c>
      <c r="EW75" s="316"/>
      <c r="EX75" s="315"/>
      <c r="EY75" s="315"/>
      <c r="EZ75" s="315">
        <v>778692</v>
      </c>
      <c r="FA75" s="315">
        <v>778692</v>
      </c>
      <c r="FB75" s="316"/>
      <c r="FC75" s="315"/>
      <c r="FD75" s="315"/>
      <c r="FE75" s="315">
        <v>450941</v>
      </c>
      <c r="FF75" s="315">
        <v>450941</v>
      </c>
      <c r="FG75" s="316"/>
      <c r="FH75" s="315"/>
      <c r="FI75" s="315"/>
      <c r="FJ75" s="315">
        <v>44524</v>
      </c>
      <c r="FK75" s="315">
        <v>44524</v>
      </c>
      <c r="FL75" s="316"/>
      <c r="FM75" s="315"/>
      <c r="FN75" s="315"/>
      <c r="FO75" s="315"/>
      <c r="FP75" s="315"/>
      <c r="FQ75" s="315">
        <v>98235</v>
      </c>
      <c r="FR75" s="315">
        <v>157449</v>
      </c>
      <c r="FS75" s="315">
        <v>-3182</v>
      </c>
      <c r="FT75" s="315">
        <v>154267</v>
      </c>
      <c r="FU75" s="315"/>
      <c r="FV75" s="315"/>
      <c r="FW75" s="315"/>
      <c r="FX75" s="315">
        <v>82224</v>
      </c>
      <c r="FY75" s="315">
        <v>1505</v>
      </c>
      <c r="FZ75" s="315"/>
      <c r="GA75" s="315"/>
      <c r="GB75" s="315"/>
      <c r="GC75" s="315">
        <v>40317</v>
      </c>
      <c r="GD75" s="315"/>
      <c r="GE75" s="315"/>
      <c r="GF75" s="315"/>
      <c r="GG75" s="315">
        <v>30221</v>
      </c>
      <c r="GH75" s="315">
        <v>1647</v>
      </c>
      <c r="GI75" s="315">
        <v>3168</v>
      </c>
      <c r="GJ75" s="315">
        <v>25406</v>
      </c>
      <c r="GL75"/>
      <c r="GM75"/>
      <c r="GN75"/>
      <c r="GO75"/>
    </row>
    <row r="76" spans="1:197">
      <c r="A76" s="98" t="s">
        <v>18</v>
      </c>
      <c r="B76" s="98">
        <v>9</v>
      </c>
      <c r="C76" s="98" t="s">
        <v>225</v>
      </c>
      <c r="D76" s="315">
        <v>9557884</v>
      </c>
      <c r="E76" s="315">
        <v>-2265658</v>
      </c>
      <c r="F76" s="315">
        <v>-10678</v>
      </c>
      <c r="G76" s="315">
        <v>7281548</v>
      </c>
      <c r="H76" s="315">
        <v>6900575</v>
      </c>
      <c r="I76" s="315">
        <v>380973</v>
      </c>
      <c r="J76" s="315">
        <v>380973</v>
      </c>
      <c r="K76" s="315"/>
      <c r="L76" s="315">
        <v>3237953</v>
      </c>
      <c r="M76" s="315">
        <v>2776020</v>
      </c>
      <c r="N76" s="315">
        <v>37632</v>
      </c>
      <c r="O76" s="315"/>
      <c r="P76" s="315"/>
      <c r="Q76" s="315"/>
      <c r="R76" s="315">
        <v>424301</v>
      </c>
      <c r="S76" s="315">
        <v>-783433</v>
      </c>
      <c r="T76" s="315">
        <v>-780031</v>
      </c>
      <c r="U76" s="315"/>
      <c r="V76" s="315"/>
      <c r="W76" s="315">
        <v>-767078</v>
      </c>
      <c r="X76" s="315">
        <v>0</v>
      </c>
      <c r="Y76" s="315">
        <v>-12953</v>
      </c>
      <c r="Z76" s="315"/>
      <c r="AA76" s="315">
        <v>-3402</v>
      </c>
      <c r="AB76" s="315">
        <v>0</v>
      </c>
      <c r="AC76" s="315">
        <v>-10678</v>
      </c>
      <c r="AD76" s="315">
        <v>2443842</v>
      </c>
      <c r="AE76" s="315">
        <v>2062869</v>
      </c>
      <c r="AF76" s="315">
        <v>380973</v>
      </c>
      <c r="AG76" s="315">
        <v>380973</v>
      </c>
      <c r="AH76" s="315"/>
      <c r="AI76" s="315">
        <v>2773526</v>
      </c>
      <c r="AJ76" s="315">
        <v>288883</v>
      </c>
      <c r="AK76" s="315">
        <v>2451180</v>
      </c>
      <c r="AL76" s="315">
        <v>8365</v>
      </c>
      <c r="AM76" s="315">
        <v>315127</v>
      </c>
      <c r="AN76" s="315">
        <v>26463</v>
      </c>
      <c r="AO76" s="315">
        <v>77031</v>
      </c>
      <c r="AP76" s="315"/>
      <c r="AQ76" s="315">
        <v>4772</v>
      </c>
      <c r="AR76" s="315">
        <v>-742399</v>
      </c>
      <c r="AS76" s="315"/>
      <c r="AT76" s="315"/>
      <c r="AU76" s="315">
        <v>-10678</v>
      </c>
      <c r="AV76" s="315">
        <v>315165</v>
      </c>
      <c r="AW76" s="315">
        <v>2044</v>
      </c>
      <c r="AX76" s="315">
        <v>134995</v>
      </c>
      <c r="AY76" s="315"/>
      <c r="AZ76" s="315"/>
      <c r="BA76" s="315"/>
      <c r="BB76" s="315"/>
      <c r="BC76" s="315"/>
      <c r="BD76" s="315">
        <v>178126</v>
      </c>
      <c r="BE76" s="315">
        <v>-20314</v>
      </c>
      <c r="BF76" s="315">
        <v>-19944</v>
      </c>
      <c r="BG76" s="315">
        <v>-19944</v>
      </c>
      <c r="BH76" s="315"/>
      <c r="BI76" s="315">
        <v>0</v>
      </c>
      <c r="BJ76" s="315">
        <v>0</v>
      </c>
      <c r="BK76" s="315">
        <v>-19944</v>
      </c>
      <c r="BL76" s="315">
        <v>-370</v>
      </c>
      <c r="BM76" s="315">
        <v>0</v>
      </c>
      <c r="BN76" s="315">
        <v>294851</v>
      </c>
      <c r="BO76" s="315">
        <v>134195</v>
      </c>
      <c r="BP76" s="315">
        <v>10957</v>
      </c>
      <c r="BQ76" s="315">
        <v>32798</v>
      </c>
      <c r="BR76" s="315"/>
      <c r="BS76" s="315">
        <v>1850</v>
      </c>
      <c r="BT76" s="315"/>
      <c r="BU76" s="315"/>
      <c r="BV76" s="315"/>
      <c r="BW76" s="315"/>
      <c r="BX76" s="315">
        <v>115051</v>
      </c>
      <c r="BY76" s="315"/>
      <c r="BZ76" s="315"/>
      <c r="CA76" s="315">
        <v>248243</v>
      </c>
      <c r="CB76" s="315">
        <v>-258825</v>
      </c>
      <c r="CC76" s="315">
        <v>-7638</v>
      </c>
      <c r="CD76" s="315">
        <v>-251187</v>
      </c>
      <c r="CE76" s="315">
        <v>-10582</v>
      </c>
      <c r="CF76" s="315"/>
      <c r="CG76" s="315"/>
      <c r="CH76" s="315"/>
      <c r="CI76" s="315">
        <v>4114795</v>
      </c>
      <c r="CJ76" s="315">
        <v>1225803</v>
      </c>
      <c r="CK76" s="315">
        <v>2888992</v>
      </c>
      <c r="CL76" s="315">
        <v>2816390</v>
      </c>
      <c r="CM76" s="315">
        <v>52290</v>
      </c>
      <c r="CN76" s="315">
        <v>20312</v>
      </c>
      <c r="CO76" s="315">
        <v>0</v>
      </c>
      <c r="CP76" s="315">
        <v>0</v>
      </c>
      <c r="CQ76" s="315">
        <v>20312</v>
      </c>
      <c r="CR76" s="315">
        <v>-1175708</v>
      </c>
      <c r="CS76" s="315">
        <v>-394470</v>
      </c>
      <c r="CT76" s="315">
        <v>-213858</v>
      </c>
      <c r="CU76" s="315">
        <v>0</v>
      </c>
      <c r="CV76" s="315">
        <v>-861</v>
      </c>
      <c r="CW76" s="315">
        <v>-179751</v>
      </c>
      <c r="CX76" s="315">
        <v>-721213</v>
      </c>
      <c r="CY76" s="315">
        <v>-688525</v>
      </c>
      <c r="CZ76" s="315">
        <v>-25000</v>
      </c>
      <c r="DA76" s="315">
        <v>-7688</v>
      </c>
      <c r="DB76" s="315">
        <v>0</v>
      </c>
      <c r="DC76" s="315">
        <v>-60025</v>
      </c>
      <c r="DD76" s="315">
        <v>2939087</v>
      </c>
      <c r="DE76" s="315">
        <v>2939087</v>
      </c>
      <c r="DF76" s="316"/>
      <c r="DG76" s="315"/>
      <c r="DH76" s="315"/>
      <c r="DI76" s="315">
        <v>1374902</v>
      </c>
      <c r="DJ76" s="315">
        <v>68822</v>
      </c>
      <c r="DK76" s="315">
        <v>21893</v>
      </c>
      <c r="DL76" s="315">
        <v>1245</v>
      </c>
      <c r="DM76" s="315">
        <v>787282</v>
      </c>
      <c r="DN76" s="315">
        <v>365598</v>
      </c>
      <c r="DO76" s="315">
        <v>57896</v>
      </c>
      <c r="DP76" s="315"/>
      <c r="DQ76" s="315"/>
      <c r="DR76" s="315">
        <v>72166</v>
      </c>
      <c r="DS76" s="315">
        <v>-24134</v>
      </c>
      <c r="DT76" s="315">
        <v>-2408</v>
      </c>
      <c r="DU76" s="315">
        <v>-101</v>
      </c>
      <c r="DV76" s="315">
        <v>-11</v>
      </c>
      <c r="DW76" s="315">
        <v>-855</v>
      </c>
      <c r="DX76" s="315"/>
      <c r="DY76" s="315"/>
      <c r="DZ76" s="315"/>
      <c r="EA76" s="315">
        <v>-18432</v>
      </c>
      <c r="EB76" s="315">
        <v>0</v>
      </c>
      <c r="EC76" s="315"/>
      <c r="ED76" s="315"/>
      <c r="EE76" s="315">
        <v>-2327</v>
      </c>
      <c r="EF76" s="315">
        <v>1350768</v>
      </c>
      <c r="EG76" s="315">
        <v>1350768</v>
      </c>
      <c r="EH76" s="316"/>
      <c r="EI76" s="315"/>
      <c r="EJ76" s="315"/>
      <c r="EK76" s="315">
        <v>66414</v>
      </c>
      <c r="EL76" s="315">
        <v>66414</v>
      </c>
      <c r="EM76" s="316"/>
      <c r="EN76" s="315"/>
      <c r="EO76" s="315"/>
      <c r="EP76" s="315">
        <v>21792</v>
      </c>
      <c r="EQ76" s="315">
        <v>21792</v>
      </c>
      <c r="ER76" s="316"/>
      <c r="ES76" s="315"/>
      <c r="ET76" s="315"/>
      <c r="EU76" s="315">
        <v>1234</v>
      </c>
      <c r="EV76" s="315">
        <v>1234</v>
      </c>
      <c r="EW76" s="316"/>
      <c r="EX76" s="315"/>
      <c r="EY76" s="315"/>
      <c r="EZ76" s="315">
        <v>786427</v>
      </c>
      <c r="FA76" s="315">
        <v>786427</v>
      </c>
      <c r="FB76" s="316"/>
      <c r="FC76" s="315"/>
      <c r="FD76" s="315"/>
      <c r="FE76" s="315">
        <v>347166</v>
      </c>
      <c r="FF76" s="315">
        <v>347166</v>
      </c>
      <c r="FG76" s="316"/>
      <c r="FH76" s="315"/>
      <c r="FI76" s="315"/>
      <c r="FJ76" s="315">
        <v>57896</v>
      </c>
      <c r="FK76" s="315">
        <v>57896</v>
      </c>
      <c r="FL76" s="316"/>
      <c r="FM76" s="315"/>
      <c r="FN76" s="315"/>
      <c r="FO76" s="315"/>
      <c r="FP76" s="315"/>
      <c r="FQ76" s="315">
        <v>69839</v>
      </c>
      <c r="FR76" s="315">
        <v>266826</v>
      </c>
      <c r="FS76" s="315">
        <v>-3244</v>
      </c>
      <c r="FT76" s="315">
        <v>263582</v>
      </c>
      <c r="FU76" s="315"/>
      <c r="FV76" s="315"/>
      <c r="FW76" s="315"/>
      <c r="FX76" s="315">
        <v>71617</v>
      </c>
      <c r="FY76" s="315">
        <v>130656</v>
      </c>
      <c r="FZ76" s="315"/>
      <c r="GA76" s="315"/>
      <c r="GB76" s="315"/>
      <c r="GC76" s="315">
        <v>25811</v>
      </c>
      <c r="GD76" s="315"/>
      <c r="GE76" s="315"/>
      <c r="GF76" s="315"/>
      <c r="GG76" s="315">
        <v>35498</v>
      </c>
      <c r="GH76" s="315">
        <v>1297</v>
      </c>
      <c r="GI76" s="315">
        <v>2657</v>
      </c>
      <c r="GJ76" s="315">
        <v>31544</v>
      </c>
      <c r="GL76"/>
      <c r="GM76"/>
      <c r="GN76"/>
      <c r="GO76"/>
    </row>
    <row r="77" spans="1:197">
      <c r="A77" s="98" t="s">
        <v>18</v>
      </c>
      <c r="B77" s="98">
        <v>10</v>
      </c>
      <c r="C77" s="98" t="s">
        <v>226</v>
      </c>
      <c r="D77" s="315">
        <v>18784052</v>
      </c>
      <c r="E77" s="315">
        <v>-1653278</v>
      </c>
      <c r="F77" s="315">
        <v>-10677</v>
      </c>
      <c r="G77" s="315">
        <v>17120097</v>
      </c>
      <c r="H77" s="315">
        <v>16739125</v>
      </c>
      <c r="I77" s="315">
        <v>380972</v>
      </c>
      <c r="J77" s="315">
        <v>380972</v>
      </c>
      <c r="K77" s="315"/>
      <c r="L77" s="315">
        <v>5308596</v>
      </c>
      <c r="M77" s="315">
        <v>4224996</v>
      </c>
      <c r="N77" s="315">
        <v>40316</v>
      </c>
      <c r="O77" s="315"/>
      <c r="P77" s="315"/>
      <c r="Q77" s="315"/>
      <c r="R77" s="315">
        <v>1043284</v>
      </c>
      <c r="S77" s="315">
        <v>-593705</v>
      </c>
      <c r="T77" s="315">
        <v>-569997</v>
      </c>
      <c r="U77" s="315"/>
      <c r="V77" s="315"/>
      <c r="W77" s="315">
        <v>-554596</v>
      </c>
      <c r="X77" s="315">
        <v>0</v>
      </c>
      <c r="Y77" s="315">
        <v>-15401</v>
      </c>
      <c r="Z77" s="315"/>
      <c r="AA77" s="315">
        <v>-23708</v>
      </c>
      <c r="AB77" s="315">
        <v>0</v>
      </c>
      <c r="AC77" s="315">
        <v>-10677</v>
      </c>
      <c r="AD77" s="315">
        <v>4704214</v>
      </c>
      <c r="AE77" s="315">
        <v>4323242</v>
      </c>
      <c r="AF77" s="315">
        <v>380972</v>
      </c>
      <c r="AG77" s="315">
        <v>380972</v>
      </c>
      <c r="AH77" s="315"/>
      <c r="AI77" s="315">
        <v>4203617</v>
      </c>
      <c r="AJ77" s="315">
        <v>592483</v>
      </c>
      <c r="AK77" s="315">
        <v>1179436</v>
      </c>
      <c r="AL77" s="315">
        <v>2365016</v>
      </c>
      <c r="AM77" s="315">
        <v>210642</v>
      </c>
      <c r="AN77" s="315">
        <v>180346</v>
      </c>
      <c r="AO77" s="315">
        <v>56996</v>
      </c>
      <c r="AP77" s="315"/>
      <c r="AQ77" s="315">
        <v>592971</v>
      </c>
      <c r="AR77" s="315">
        <v>-529681</v>
      </c>
      <c r="AS77" s="315"/>
      <c r="AT77" s="315"/>
      <c r="AU77" s="315">
        <v>-10677</v>
      </c>
      <c r="AV77" s="315">
        <v>5080191</v>
      </c>
      <c r="AW77" s="315">
        <v>4699797</v>
      </c>
      <c r="AX77" s="315">
        <v>190830</v>
      </c>
      <c r="AY77" s="315"/>
      <c r="AZ77" s="315"/>
      <c r="BA77" s="315"/>
      <c r="BB77" s="315"/>
      <c r="BC77" s="315"/>
      <c r="BD77" s="315">
        <v>189564</v>
      </c>
      <c r="BE77" s="315">
        <v>-59376</v>
      </c>
      <c r="BF77" s="315">
        <v>-37125</v>
      </c>
      <c r="BG77" s="315">
        <v>-37125</v>
      </c>
      <c r="BH77" s="315"/>
      <c r="BI77" s="315">
        <v>0</v>
      </c>
      <c r="BJ77" s="315">
        <v>0</v>
      </c>
      <c r="BK77" s="315">
        <v>-37125</v>
      </c>
      <c r="BL77" s="315">
        <v>-22251</v>
      </c>
      <c r="BM77" s="315">
        <v>0</v>
      </c>
      <c r="BN77" s="315">
        <v>5020815</v>
      </c>
      <c r="BO77" s="315">
        <v>87948</v>
      </c>
      <c r="BP77" s="315">
        <v>76512</v>
      </c>
      <c r="BQ77" s="315">
        <v>24258</v>
      </c>
      <c r="BR77" s="315"/>
      <c r="BS77" s="315">
        <v>4678392</v>
      </c>
      <c r="BT77" s="315"/>
      <c r="BU77" s="315"/>
      <c r="BV77" s="315"/>
      <c r="BW77" s="315"/>
      <c r="BX77" s="315">
        <v>153705</v>
      </c>
      <c r="BY77" s="315"/>
      <c r="BZ77" s="315"/>
      <c r="CA77" s="315">
        <v>152055</v>
      </c>
      <c r="CB77" s="315">
        <v>-4615</v>
      </c>
      <c r="CC77" s="315">
        <v>-3750</v>
      </c>
      <c r="CD77" s="315">
        <v>-865</v>
      </c>
      <c r="CE77" s="315">
        <v>147440</v>
      </c>
      <c r="CF77" s="315"/>
      <c r="CG77" s="315"/>
      <c r="CH77" s="315"/>
      <c r="CI77" s="315">
        <v>6493949</v>
      </c>
      <c r="CJ77" s="315">
        <v>987631</v>
      </c>
      <c r="CK77" s="315">
        <v>5506318</v>
      </c>
      <c r="CL77" s="315">
        <v>1589990</v>
      </c>
      <c r="CM77" s="315">
        <v>3906995</v>
      </c>
      <c r="CN77" s="315">
        <v>9333</v>
      </c>
      <c r="CO77" s="315">
        <v>0</v>
      </c>
      <c r="CP77" s="315">
        <v>0</v>
      </c>
      <c r="CQ77" s="315">
        <v>9333</v>
      </c>
      <c r="CR77" s="315">
        <v>-950716</v>
      </c>
      <c r="CS77" s="315">
        <v>-243603</v>
      </c>
      <c r="CT77" s="315">
        <v>-149953</v>
      </c>
      <c r="CU77" s="315">
        <v>0</v>
      </c>
      <c r="CV77" s="315">
        <v>-180</v>
      </c>
      <c r="CW77" s="315">
        <v>-93470</v>
      </c>
      <c r="CX77" s="315">
        <v>-518269</v>
      </c>
      <c r="CY77" s="315">
        <v>-504231</v>
      </c>
      <c r="CZ77" s="315">
        <v>-10000</v>
      </c>
      <c r="DA77" s="315">
        <v>-4038</v>
      </c>
      <c r="DB77" s="315">
        <v>-188844</v>
      </c>
      <c r="DC77" s="315">
        <v>0</v>
      </c>
      <c r="DD77" s="315">
        <v>5543233</v>
      </c>
      <c r="DE77" s="315">
        <v>5543233</v>
      </c>
      <c r="DF77" s="316"/>
      <c r="DG77" s="315"/>
      <c r="DH77" s="315"/>
      <c r="DI77" s="315">
        <v>1443884</v>
      </c>
      <c r="DJ77" s="315">
        <v>83924</v>
      </c>
      <c r="DK77" s="315">
        <v>22202</v>
      </c>
      <c r="DL77" s="315">
        <v>1096</v>
      </c>
      <c r="DM77" s="315">
        <v>804531</v>
      </c>
      <c r="DN77" s="315">
        <v>386032</v>
      </c>
      <c r="DO77" s="315">
        <v>54851</v>
      </c>
      <c r="DP77" s="315"/>
      <c r="DQ77" s="315"/>
      <c r="DR77" s="315">
        <v>91248</v>
      </c>
      <c r="DS77" s="315">
        <v>-37276</v>
      </c>
      <c r="DT77" s="315">
        <v>-21219</v>
      </c>
      <c r="DU77" s="315">
        <v>-2601</v>
      </c>
      <c r="DV77" s="315">
        <v>-8</v>
      </c>
      <c r="DW77" s="315">
        <v>-550</v>
      </c>
      <c r="DX77" s="315"/>
      <c r="DY77" s="315"/>
      <c r="DZ77" s="315"/>
      <c r="EA77" s="315">
        <v>-9702</v>
      </c>
      <c r="EB77" s="315">
        <v>0</v>
      </c>
      <c r="EC77" s="315"/>
      <c r="ED77" s="315"/>
      <c r="EE77" s="315">
        <v>-3196</v>
      </c>
      <c r="EF77" s="315">
        <v>1406608</v>
      </c>
      <c r="EG77" s="315">
        <v>1406608</v>
      </c>
      <c r="EH77" s="316"/>
      <c r="EI77" s="315"/>
      <c r="EJ77" s="315"/>
      <c r="EK77" s="315">
        <v>62705</v>
      </c>
      <c r="EL77" s="315">
        <v>62705</v>
      </c>
      <c r="EM77" s="316"/>
      <c r="EN77" s="315"/>
      <c r="EO77" s="315"/>
      <c r="EP77" s="315">
        <v>19601</v>
      </c>
      <c r="EQ77" s="315">
        <v>19601</v>
      </c>
      <c r="ER77" s="316"/>
      <c r="ES77" s="315"/>
      <c r="ET77" s="315"/>
      <c r="EU77" s="315">
        <v>1088</v>
      </c>
      <c r="EV77" s="315">
        <v>1088</v>
      </c>
      <c r="EW77" s="316"/>
      <c r="EX77" s="315"/>
      <c r="EY77" s="315"/>
      <c r="EZ77" s="315">
        <v>803981</v>
      </c>
      <c r="FA77" s="315">
        <v>803981</v>
      </c>
      <c r="FB77" s="316"/>
      <c r="FC77" s="315"/>
      <c r="FD77" s="315"/>
      <c r="FE77" s="315">
        <v>376330</v>
      </c>
      <c r="FF77" s="315">
        <v>376330</v>
      </c>
      <c r="FG77" s="316"/>
      <c r="FH77" s="315"/>
      <c r="FI77" s="315"/>
      <c r="FJ77" s="315">
        <v>54851</v>
      </c>
      <c r="FK77" s="315">
        <v>54851</v>
      </c>
      <c r="FL77" s="316"/>
      <c r="FM77" s="315"/>
      <c r="FN77" s="315"/>
      <c r="FO77" s="315"/>
      <c r="FP77" s="315"/>
      <c r="FQ77" s="315">
        <v>88052</v>
      </c>
      <c r="FR77" s="315">
        <v>305377</v>
      </c>
      <c r="FS77" s="315">
        <v>-7590</v>
      </c>
      <c r="FT77" s="315">
        <v>297787</v>
      </c>
      <c r="FU77" s="315"/>
      <c r="FV77" s="315"/>
      <c r="FW77" s="315"/>
      <c r="FX77" s="315">
        <v>99252</v>
      </c>
      <c r="FY77" s="315">
        <v>61596</v>
      </c>
      <c r="FZ77" s="315"/>
      <c r="GA77" s="315"/>
      <c r="GB77" s="315"/>
      <c r="GC77" s="315">
        <v>91072</v>
      </c>
      <c r="GD77" s="315"/>
      <c r="GE77" s="315"/>
      <c r="GF77" s="315"/>
      <c r="GG77" s="315">
        <v>45867</v>
      </c>
      <c r="GH77" s="315">
        <v>3106</v>
      </c>
      <c r="GI77" s="315">
        <v>2064</v>
      </c>
      <c r="GJ77" s="315">
        <v>40697</v>
      </c>
      <c r="GL77"/>
      <c r="GM77"/>
      <c r="GN77"/>
      <c r="GO77"/>
    </row>
    <row r="78" spans="1:197">
      <c r="A78" s="98" t="s">
        <v>18</v>
      </c>
      <c r="B78" s="98">
        <v>11</v>
      </c>
      <c r="C78" s="98" t="s">
        <v>227</v>
      </c>
      <c r="D78" s="315">
        <v>8050367</v>
      </c>
      <c r="E78" s="315">
        <v>-1529367</v>
      </c>
      <c r="F78" s="315">
        <v>-10678</v>
      </c>
      <c r="G78" s="315">
        <v>6510322</v>
      </c>
      <c r="H78" s="315">
        <v>6044233</v>
      </c>
      <c r="I78" s="315">
        <v>466089</v>
      </c>
      <c r="J78" s="315">
        <v>466089</v>
      </c>
      <c r="K78" s="315"/>
      <c r="L78" s="315">
        <v>3704780</v>
      </c>
      <c r="M78" s="315">
        <v>2056317</v>
      </c>
      <c r="N78" s="315">
        <v>1410175</v>
      </c>
      <c r="O78" s="315"/>
      <c r="P78" s="315"/>
      <c r="Q78" s="315"/>
      <c r="R78" s="315">
        <v>238288</v>
      </c>
      <c r="S78" s="315">
        <v>-379607</v>
      </c>
      <c r="T78" s="315">
        <v>-338391</v>
      </c>
      <c r="U78" s="315"/>
      <c r="V78" s="315"/>
      <c r="W78" s="315">
        <v>-323651</v>
      </c>
      <c r="X78" s="315">
        <v>0</v>
      </c>
      <c r="Y78" s="315">
        <v>-14740</v>
      </c>
      <c r="Z78" s="315"/>
      <c r="AA78" s="315">
        <v>-41216</v>
      </c>
      <c r="AB78" s="315">
        <v>0</v>
      </c>
      <c r="AC78" s="315">
        <v>-10678</v>
      </c>
      <c r="AD78" s="315">
        <v>3314495</v>
      </c>
      <c r="AE78" s="315">
        <v>2848406</v>
      </c>
      <c r="AF78" s="315">
        <v>466089</v>
      </c>
      <c r="AG78" s="315">
        <v>466089</v>
      </c>
      <c r="AH78" s="315"/>
      <c r="AI78" s="315">
        <v>2016493</v>
      </c>
      <c r="AJ78" s="315">
        <v>777430</v>
      </c>
      <c r="AK78" s="315">
        <v>1160374</v>
      </c>
      <c r="AL78" s="315">
        <v>19686</v>
      </c>
      <c r="AM78" s="315">
        <v>157639</v>
      </c>
      <c r="AN78" s="315">
        <v>17041</v>
      </c>
      <c r="AO78" s="315">
        <v>56109</v>
      </c>
      <c r="AP78" s="315"/>
      <c r="AQ78" s="315">
        <v>6107</v>
      </c>
      <c r="AR78" s="315">
        <v>1071784</v>
      </c>
      <c r="AS78" s="315"/>
      <c r="AT78" s="315"/>
      <c r="AU78" s="315">
        <v>-10678</v>
      </c>
      <c r="AV78" s="315">
        <v>223440</v>
      </c>
      <c r="AW78" s="315">
        <v>18013</v>
      </c>
      <c r="AX78" s="315">
        <v>108258</v>
      </c>
      <c r="AY78" s="315"/>
      <c r="AZ78" s="315"/>
      <c r="BA78" s="315"/>
      <c r="BB78" s="315"/>
      <c r="BC78" s="315"/>
      <c r="BD78" s="315">
        <v>97169</v>
      </c>
      <c r="BE78" s="315">
        <v>-246682</v>
      </c>
      <c r="BF78" s="315">
        <v>-227760</v>
      </c>
      <c r="BG78" s="315">
        <v>-227760</v>
      </c>
      <c r="BH78" s="315"/>
      <c r="BI78" s="315">
        <v>-197354</v>
      </c>
      <c r="BJ78" s="315">
        <v>0</v>
      </c>
      <c r="BK78" s="315">
        <v>-30406</v>
      </c>
      <c r="BL78" s="315">
        <v>-18922</v>
      </c>
      <c r="BM78" s="315">
        <v>0</v>
      </c>
      <c r="BN78" s="315">
        <v>-23242</v>
      </c>
      <c r="BO78" s="315">
        <v>66117</v>
      </c>
      <c r="BP78" s="315">
        <v>6823</v>
      </c>
      <c r="BQ78" s="315">
        <v>23887</v>
      </c>
      <c r="BR78" s="315"/>
      <c r="BS78" s="315">
        <v>-567</v>
      </c>
      <c r="BT78" s="315"/>
      <c r="BU78" s="315"/>
      <c r="BV78" s="315"/>
      <c r="BW78" s="315"/>
      <c r="BX78" s="315">
        <v>-119502</v>
      </c>
      <c r="BY78" s="315"/>
      <c r="BZ78" s="315"/>
      <c r="CA78" s="315">
        <v>110703</v>
      </c>
      <c r="CB78" s="315">
        <v>-33423</v>
      </c>
      <c r="CC78" s="315">
        <v>-6197</v>
      </c>
      <c r="CD78" s="315">
        <v>-27226</v>
      </c>
      <c r="CE78" s="315">
        <v>77280</v>
      </c>
      <c r="CF78" s="315"/>
      <c r="CG78" s="315"/>
      <c r="CH78" s="315"/>
      <c r="CI78" s="315">
        <v>2502499</v>
      </c>
      <c r="CJ78" s="315">
        <v>852741</v>
      </c>
      <c r="CK78" s="315">
        <v>1649758</v>
      </c>
      <c r="CL78" s="315">
        <v>1550136</v>
      </c>
      <c r="CM78" s="315">
        <v>62533</v>
      </c>
      <c r="CN78" s="315">
        <v>37089</v>
      </c>
      <c r="CO78" s="315">
        <v>0</v>
      </c>
      <c r="CP78" s="315">
        <v>0</v>
      </c>
      <c r="CQ78" s="315">
        <v>37089</v>
      </c>
      <c r="CR78" s="315">
        <v>-857661</v>
      </c>
      <c r="CS78" s="315">
        <v>-202725</v>
      </c>
      <c r="CT78" s="315">
        <v>-116699</v>
      </c>
      <c r="CU78" s="315">
        <v>0</v>
      </c>
      <c r="CV78" s="315">
        <v>-167</v>
      </c>
      <c r="CW78" s="315">
        <v>-85859</v>
      </c>
      <c r="CX78" s="315">
        <v>-654936</v>
      </c>
      <c r="CY78" s="315">
        <v>-643685</v>
      </c>
      <c r="CZ78" s="315">
        <v>-5001</v>
      </c>
      <c r="DA78" s="315">
        <v>-6250</v>
      </c>
      <c r="DB78" s="315">
        <v>0</v>
      </c>
      <c r="DC78" s="315">
        <v>0</v>
      </c>
      <c r="DD78" s="315">
        <v>1644838</v>
      </c>
      <c r="DE78" s="315">
        <v>1644838</v>
      </c>
      <c r="DF78" s="316"/>
      <c r="DG78" s="315"/>
      <c r="DH78" s="315"/>
      <c r="DI78" s="315">
        <v>1289662</v>
      </c>
      <c r="DJ78" s="315">
        <v>83055</v>
      </c>
      <c r="DK78" s="315">
        <v>22720</v>
      </c>
      <c r="DL78" s="315">
        <v>2254</v>
      </c>
      <c r="DM78" s="315">
        <v>703167</v>
      </c>
      <c r="DN78" s="315">
        <v>329157</v>
      </c>
      <c r="DO78" s="315">
        <v>52689</v>
      </c>
      <c r="DP78" s="315"/>
      <c r="DQ78" s="315"/>
      <c r="DR78" s="315">
        <v>96620</v>
      </c>
      <c r="DS78" s="315">
        <v>-6700</v>
      </c>
      <c r="DT78" s="315">
        <v>-2314</v>
      </c>
      <c r="DU78" s="315">
        <v>-100</v>
      </c>
      <c r="DV78" s="315">
        <v>-4</v>
      </c>
      <c r="DW78" s="315">
        <v>-752</v>
      </c>
      <c r="DX78" s="315"/>
      <c r="DY78" s="315"/>
      <c r="DZ78" s="315"/>
      <c r="EA78" s="315">
        <v>-8</v>
      </c>
      <c r="EB78" s="315">
        <v>0</v>
      </c>
      <c r="EC78" s="315"/>
      <c r="ED78" s="315"/>
      <c r="EE78" s="315">
        <v>-3522</v>
      </c>
      <c r="EF78" s="315">
        <v>1282962</v>
      </c>
      <c r="EG78" s="315">
        <v>1282962</v>
      </c>
      <c r="EH78" s="316"/>
      <c r="EI78" s="315"/>
      <c r="EJ78" s="315"/>
      <c r="EK78" s="315">
        <v>80741</v>
      </c>
      <c r="EL78" s="315">
        <v>80741</v>
      </c>
      <c r="EM78" s="316"/>
      <c r="EN78" s="315"/>
      <c r="EO78" s="315"/>
      <c r="EP78" s="315">
        <v>22620</v>
      </c>
      <c r="EQ78" s="315">
        <v>22620</v>
      </c>
      <c r="ER78" s="316"/>
      <c r="ES78" s="315"/>
      <c r="ET78" s="315"/>
      <c r="EU78" s="315">
        <v>2250</v>
      </c>
      <c r="EV78" s="315">
        <v>2250</v>
      </c>
      <c r="EW78" s="316"/>
      <c r="EX78" s="315"/>
      <c r="EY78" s="315"/>
      <c r="EZ78" s="315">
        <v>702415</v>
      </c>
      <c r="FA78" s="315">
        <v>702415</v>
      </c>
      <c r="FB78" s="316"/>
      <c r="FC78" s="315"/>
      <c r="FD78" s="315"/>
      <c r="FE78" s="315">
        <v>329149</v>
      </c>
      <c r="FF78" s="315">
        <v>329149</v>
      </c>
      <c r="FG78" s="316"/>
      <c r="FH78" s="315"/>
      <c r="FI78" s="315"/>
      <c r="FJ78" s="315">
        <v>52689</v>
      </c>
      <c r="FK78" s="315">
        <v>52689</v>
      </c>
      <c r="FL78" s="316"/>
      <c r="FM78" s="315"/>
      <c r="FN78" s="315"/>
      <c r="FO78" s="315"/>
      <c r="FP78" s="315"/>
      <c r="FQ78" s="315">
        <v>93098</v>
      </c>
      <c r="FR78" s="315">
        <v>219283</v>
      </c>
      <c r="FS78" s="315">
        <v>-5294</v>
      </c>
      <c r="FT78" s="315">
        <v>213989</v>
      </c>
      <c r="FU78" s="315"/>
      <c r="FV78" s="315"/>
      <c r="FW78" s="315"/>
      <c r="FX78" s="315">
        <v>71636</v>
      </c>
      <c r="FY78" s="315">
        <v>68923</v>
      </c>
      <c r="FZ78" s="315"/>
      <c r="GA78" s="315"/>
      <c r="GB78" s="315"/>
      <c r="GC78" s="315">
        <v>35204</v>
      </c>
      <c r="GD78" s="315"/>
      <c r="GE78" s="315"/>
      <c r="GF78" s="315"/>
      <c r="GG78" s="315">
        <v>38226</v>
      </c>
      <c r="GH78" s="315">
        <v>2026</v>
      </c>
      <c r="GI78" s="315">
        <v>3607</v>
      </c>
      <c r="GJ78" s="315">
        <v>32593</v>
      </c>
      <c r="GL78"/>
      <c r="GM78"/>
      <c r="GN78"/>
      <c r="GO78"/>
    </row>
    <row r="79" spans="1:197">
      <c r="A79" s="98" t="s">
        <v>18</v>
      </c>
      <c r="B79" s="98">
        <v>12</v>
      </c>
      <c r="C79" s="98" t="s">
        <v>228</v>
      </c>
      <c r="D79" s="315">
        <v>9178434</v>
      </c>
      <c r="E79" s="315">
        <v>-3263355</v>
      </c>
      <c r="F79" s="315">
        <v>-10678</v>
      </c>
      <c r="G79" s="315">
        <v>5904401</v>
      </c>
      <c r="H79" s="315">
        <v>5523429</v>
      </c>
      <c r="I79" s="315">
        <v>380972</v>
      </c>
      <c r="J79" s="315">
        <v>380972</v>
      </c>
      <c r="K79" s="315"/>
      <c r="L79" s="315">
        <v>2286127</v>
      </c>
      <c r="M79" s="315">
        <v>1952700</v>
      </c>
      <c r="N79" s="315">
        <v>33312</v>
      </c>
      <c r="O79" s="315"/>
      <c r="P79" s="315"/>
      <c r="Q79" s="315"/>
      <c r="R79" s="315">
        <v>300115</v>
      </c>
      <c r="S79" s="315">
        <v>-368576</v>
      </c>
      <c r="T79" s="315">
        <v>-363782</v>
      </c>
      <c r="U79" s="315"/>
      <c r="V79" s="315"/>
      <c r="W79" s="315">
        <v>-348647</v>
      </c>
      <c r="X79" s="315">
        <v>0</v>
      </c>
      <c r="Y79" s="315">
        <v>-15135</v>
      </c>
      <c r="Z79" s="315"/>
      <c r="AA79" s="315">
        <v>-4794</v>
      </c>
      <c r="AB79" s="315">
        <v>0</v>
      </c>
      <c r="AC79" s="315">
        <v>-10678</v>
      </c>
      <c r="AD79" s="315">
        <v>1906873</v>
      </c>
      <c r="AE79" s="315">
        <v>1525901</v>
      </c>
      <c r="AF79" s="315">
        <v>380972</v>
      </c>
      <c r="AG79" s="315">
        <v>380972</v>
      </c>
      <c r="AH79" s="315"/>
      <c r="AI79" s="315">
        <v>1949011</v>
      </c>
      <c r="AJ79" s="315">
        <v>635335</v>
      </c>
      <c r="AK79" s="315">
        <v>1261290</v>
      </c>
      <c r="AL79" s="315">
        <v>6883</v>
      </c>
      <c r="AM79" s="315">
        <v>231949</v>
      </c>
      <c r="AN79" s="315">
        <v>14985</v>
      </c>
      <c r="AO79" s="315">
        <v>46693</v>
      </c>
      <c r="AP79" s="315"/>
      <c r="AQ79" s="315">
        <v>5383</v>
      </c>
      <c r="AR79" s="315">
        <v>-330470</v>
      </c>
      <c r="AS79" s="315"/>
      <c r="AT79" s="315"/>
      <c r="AU79" s="315">
        <v>-10678</v>
      </c>
      <c r="AV79" s="315">
        <v>2826747</v>
      </c>
      <c r="AW79" s="315">
        <v>2438446</v>
      </c>
      <c r="AX79" s="315">
        <v>68576</v>
      </c>
      <c r="AY79" s="315"/>
      <c r="AZ79" s="315"/>
      <c r="BA79" s="315"/>
      <c r="BB79" s="315"/>
      <c r="BC79" s="315"/>
      <c r="BD79" s="315">
        <v>319725</v>
      </c>
      <c r="BE79" s="315">
        <v>-1510389</v>
      </c>
      <c r="BF79" s="315">
        <v>-1297413</v>
      </c>
      <c r="BG79" s="315">
        <v>-1297413</v>
      </c>
      <c r="BH79" s="315"/>
      <c r="BI79" s="315">
        <v>-1284645</v>
      </c>
      <c r="BJ79" s="315">
        <v>0</v>
      </c>
      <c r="BK79" s="315">
        <v>-12768</v>
      </c>
      <c r="BL79" s="315">
        <v>-2235</v>
      </c>
      <c r="BM79" s="315">
        <v>-210741</v>
      </c>
      <c r="BN79" s="315">
        <v>1316358</v>
      </c>
      <c r="BO79" s="315">
        <v>82775</v>
      </c>
      <c r="BP79" s="315">
        <v>6083</v>
      </c>
      <c r="BQ79" s="315">
        <v>19875</v>
      </c>
      <c r="BR79" s="315"/>
      <c r="BS79" s="315">
        <v>2436462</v>
      </c>
      <c r="BT79" s="315"/>
      <c r="BU79" s="315"/>
      <c r="BV79" s="315"/>
      <c r="BW79" s="315"/>
      <c r="BX79" s="315">
        <v>-1228837</v>
      </c>
      <c r="BY79" s="315"/>
      <c r="BZ79" s="315"/>
      <c r="CA79" s="315">
        <v>-291146</v>
      </c>
      <c r="CB79" s="315">
        <v>185868</v>
      </c>
      <c r="CC79" s="315">
        <v>-24872</v>
      </c>
      <c r="CD79" s="315">
        <v>210740</v>
      </c>
      <c r="CE79" s="315">
        <v>-105278</v>
      </c>
      <c r="CF79" s="315"/>
      <c r="CG79" s="315"/>
      <c r="CH79" s="315"/>
      <c r="CI79" s="315">
        <v>2710023</v>
      </c>
      <c r="CJ79" s="315">
        <v>968363</v>
      </c>
      <c r="CK79" s="315">
        <v>1741660</v>
      </c>
      <c r="CL79" s="315">
        <v>1669928</v>
      </c>
      <c r="CM79" s="315">
        <v>60133</v>
      </c>
      <c r="CN79" s="315">
        <v>11599</v>
      </c>
      <c r="CO79" s="315">
        <v>0</v>
      </c>
      <c r="CP79" s="315">
        <v>0</v>
      </c>
      <c r="CQ79" s="315">
        <v>11599</v>
      </c>
      <c r="CR79" s="315">
        <v>-1483607</v>
      </c>
      <c r="CS79" s="315">
        <v>-130196</v>
      </c>
      <c r="CT79" s="315">
        <v>-63827</v>
      </c>
      <c r="CU79" s="315">
        <v>0</v>
      </c>
      <c r="CV79" s="315">
        <v>-282</v>
      </c>
      <c r="CW79" s="315">
        <v>-66087</v>
      </c>
      <c r="CX79" s="315">
        <v>-910295</v>
      </c>
      <c r="CY79" s="315">
        <v>-906128</v>
      </c>
      <c r="CZ79" s="315">
        <v>0</v>
      </c>
      <c r="DA79" s="315">
        <v>-4167</v>
      </c>
      <c r="DB79" s="315">
        <v>-364271</v>
      </c>
      <c r="DC79" s="315">
        <v>-78845</v>
      </c>
      <c r="DD79" s="315">
        <v>1226416</v>
      </c>
      <c r="DE79" s="315">
        <v>1226416</v>
      </c>
      <c r="DF79" s="316"/>
      <c r="DG79" s="315"/>
      <c r="DH79" s="315"/>
      <c r="DI79" s="315">
        <v>1345829</v>
      </c>
      <c r="DJ79" s="315">
        <v>53739</v>
      </c>
      <c r="DK79" s="315">
        <v>26240</v>
      </c>
      <c r="DL79" s="315">
        <v>1215</v>
      </c>
      <c r="DM79" s="315">
        <v>781150</v>
      </c>
      <c r="DN79" s="315">
        <v>335007</v>
      </c>
      <c r="DO79" s="315">
        <v>54194</v>
      </c>
      <c r="DP79" s="315"/>
      <c r="DQ79" s="315"/>
      <c r="DR79" s="315">
        <v>94284</v>
      </c>
      <c r="DS79" s="315">
        <v>-74101</v>
      </c>
      <c r="DT79" s="315">
        <v>-5638</v>
      </c>
      <c r="DU79" s="315">
        <v>-9511</v>
      </c>
      <c r="DV79" s="315">
        <v>-269</v>
      </c>
      <c r="DW79" s="315">
        <v>-415</v>
      </c>
      <c r="DX79" s="315"/>
      <c r="DY79" s="315"/>
      <c r="DZ79" s="315"/>
      <c r="EA79" s="315">
        <v>-52238</v>
      </c>
      <c r="EB79" s="315">
        <v>-136</v>
      </c>
      <c r="EC79" s="315"/>
      <c r="ED79" s="315"/>
      <c r="EE79" s="315">
        <v>-5894</v>
      </c>
      <c r="EF79" s="315">
        <v>1271728</v>
      </c>
      <c r="EG79" s="315">
        <v>1271728</v>
      </c>
      <c r="EH79" s="316"/>
      <c r="EI79" s="315"/>
      <c r="EJ79" s="315"/>
      <c r="EK79" s="315">
        <v>48101</v>
      </c>
      <c r="EL79" s="315">
        <v>48101</v>
      </c>
      <c r="EM79" s="316"/>
      <c r="EN79" s="315"/>
      <c r="EO79" s="315"/>
      <c r="EP79" s="315">
        <v>16729</v>
      </c>
      <c r="EQ79" s="315">
        <v>16729</v>
      </c>
      <c r="ER79" s="316"/>
      <c r="ES79" s="315"/>
      <c r="ET79" s="315"/>
      <c r="EU79" s="315">
        <v>946</v>
      </c>
      <c r="EV79" s="315">
        <v>946</v>
      </c>
      <c r="EW79" s="316"/>
      <c r="EX79" s="315"/>
      <c r="EY79" s="315"/>
      <c r="EZ79" s="315">
        <v>780735</v>
      </c>
      <c r="FA79" s="315">
        <v>780735</v>
      </c>
      <c r="FB79" s="316"/>
      <c r="FC79" s="315"/>
      <c r="FD79" s="315"/>
      <c r="FE79" s="315">
        <v>282769</v>
      </c>
      <c r="FF79" s="315">
        <v>282769</v>
      </c>
      <c r="FG79" s="316"/>
      <c r="FH79" s="315"/>
      <c r="FI79" s="315"/>
      <c r="FJ79" s="315">
        <v>54058</v>
      </c>
      <c r="FK79" s="315">
        <v>54058</v>
      </c>
      <c r="FL79" s="316"/>
      <c r="FM79" s="315"/>
      <c r="FN79" s="315"/>
      <c r="FO79" s="315"/>
      <c r="FP79" s="315"/>
      <c r="FQ79" s="315">
        <v>88390</v>
      </c>
      <c r="FR79" s="315">
        <v>300854</v>
      </c>
      <c r="FS79" s="315">
        <v>-12550</v>
      </c>
      <c r="FT79" s="315">
        <v>288304</v>
      </c>
      <c r="FU79" s="315"/>
      <c r="FV79" s="315"/>
      <c r="FW79" s="315"/>
      <c r="FX79" s="315">
        <v>87367</v>
      </c>
      <c r="FY79" s="315">
        <v>65140</v>
      </c>
      <c r="FZ79" s="315"/>
      <c r="GA79" s="315"/>
      <c r="GB79" s="315"/>
      <c r="GC79" s="315">
        <v>58913</v>
      </c>
      <c r="GD79" s="315"/>
      <c r="GE79" s="315"/>
      <c r="GF79" s="315"/>
      <c r="GG79" s="315">
        <v>76884</v>
      </c>
      <c r="GH79" s="315">
        <v>12517</v>
      </c>
      <c r="GI79" s="315">
        <v>21056</v>
      </c>
      <c r="GJ79" s="315">
        <v>43311</v>
      </c>
      <c r="GL79"/>
      <c r="GM79"/>
      <c r="GN79"/>
      <c r="GO79"/>
    </row>
    <row r="80" spans="1:197">
      <c r="A80" s="96" t="s">
        <v>19</v>
      </c>
      <c r="B80" s="96">
        <v>1</v>
      </c>
      <c r="C80" s="97" t="s">
        <v>217</v>
      </c>
      <c r="D80" s="314">
        <v>10584867</v>
      </c>
      <c r="E80" s="314">
        <v>-773884</v>
      </c>
      <c r="F80" s="314">
        <v>-10678</v>
      </c>
      <c r="G80" s="314">
        <v>9800305</v>
      </c>
      <c r="H80" s="314">
        <v>9419333</v>
      </c>
      <c r="I80" s="314">
        <v>380972</v>
      </c>
      <c r="J80" s="314">
        <v>380972</v>
      </c>
      <c r="K80" s="314"/>
      <c r="L80" s="314">
        <v>6735346</v>
      </c>
      <c r="M80" s="314">
        <v>5632246</v>
      </c>
      <c r="N80" s="314">
        <v>36661</v>
      </c>
      <c r="O80" s="314"/>
      <c r="P80" s="314"/>
      <c r="Q80" s="314"/>
      <c r="R80" s="314">
        <v>1066439</v>
      </c>
      <c r="S80" s="314">
        <v>-118141</v>
      </c>
      <c r="T80" s="314">
        <v>-107579</v>
      </c>
      <c r="U80" s="314"/>
      <c r="V80" s="314"/>
      <c r="W80" s="314">
        <v>0</v>
      </c>
      <c r="X80" s="314">
        <v>-91522</v>
      </c>
      <c r="Y80" s="314">
        <v>-16057</v>
      </c>
      <c r="Z80" s="314"/>
      <c r="AA80" s="314">
        <v>-10562</v>
      </c>
      <c r="AB80" s="314">
        <v>0</v>
      </c>
      <c r="AC80" s="314">
        <v>-10678</v>
      </c>
      <c r="AD80" s="314">
        <v>6606527</v>
      </c>
      <c r="AE80" s="314">
        <v>6225555</v>
      </c>
      <c r="AF80" s="314">
        <v>380972</v>
      </c>
      <c r="AG80" s="314">
        <v>380972</v>
      </c>
      <c r="AH80" s="314"/>
      <c r="AI80" s="314">
        <v>5624054</v>
      </c>
      <c r="AJ80" s="314">
        <v>595524</v>
      </c>
      <c r="AK80" s="314">
        <v>1887103</v>
      </c>
      <c r="AL80" s="314">
        <v>3108044</v>
      </c>
      <c r="AM80" s="314">
        <v>658422</v>
      </c>
      <c r="AN80" s="314">
        <v>197611</v>
      </c>
      <c r="AO80" s="314">
        <v>59960</v>
      </c>
      <c r="AP80" s="314"/>
      <c r="AQ80" s="314">
        <v>148076</v>
      </c>
      <c r="AR80" s="314">
        <v>-70918</v>
      </c>
      <c r="AS80" s="314"/>
      <c r="AT80" s="314"/>
      <c r="AU80" s="314">
        <v>-10678</v>
      </c>
      <c r="AV80" s="314">
        <v>514917</v>
      </c>
      <c r="AW80" s="314">
        <v>41726</v>
      </c>
      <c r="AX80" s="314">
        <v>89010</v>
      </c>
      <c r="AY80" s="314"/>
      <c r="AZ80" s="314"/>
      <c r="BA80" s="314"/>
      <c r="BB80" s="314"/>
      <c r="BC80" s="314"/>
      <c r="BD80" s="314">
        <v>384181</v>
      </c>
      <c r="BE80" s="314">
        <v>-288657</v>
      </c>
      <c r="BF80" s="314">
        <v>-283028</v>
      </c>
      <c r="BG80" s="314">
        <v>-283028</v>
      </c>
      <c r="BH80" s="314"/>
      <c r="BI80" s="314">
        <v>0</v>
      </c>
      <c r="BJ80" s="314">
        <v>-219262</v>
      </c>
      <c r="BK80" s="314">
        <v>-63766</v>
      </c>
      <c r="BL80" s="314">
        <v>-5629</v>
      </c>
      <c r="BM80" s="314">
        <v>0</v>
      </c>
      <c r="BN80" s="314">
        <v>226260</v>
      </c>
      <c r="BO80" s="314">
        <v>274275</v>
      </c>
      <c r="BP80" s="314">
        <v>83816</v>
      </c>
      <c r="BQ80" s="314">
        <v>25523</v>
      </c>
      <c r="BR80" s="314"/>
      <c r="BS80" s="314">
        <v>36664</v>
      </c>
      <c r="BT80" s="314"/>
      <c r="BU80" s="314"/>
      <c r="BV80" s="314"/>
      <c r="BW80" s="314"/>
      <c r="BX80" s="314">
        <v>-194018</v>
      </c>
      <c r="BY80" s="314"/>
      <c r="BZ80" s="314"/>
      <c r="CA80" s="314">
        <v>769693</v>
      </c>
      <c r="CB80" s="314">
        <v>-6982</v>
      </c>
      <c r="CC80" s="314">
        <v>-4960</v>
      </c>
      <c r="CD80" s="314">
        <v>-2022</v>
      </c>
      <c r="CE80" s="314">
        <v>762711</v>
      </c>
      <c r="CF80" s="314"/>
      <c r="CG80" s="314"/>
      <c r="CH80" s="314"/>
      <c r="CI80" s="314">
        <v>956906</v>
      </c>
      <c r="CJ80" s="314">
        <v>482481</v>
      </c>
      <c r="CK80" s="314">
        <v>474425</v>
      </c>
      <c r="CL80" s="314">
        <v>77456</v>
      </c>
      <c r="CM80" s="314">
        <v>365186</v>
      </c>
      <c r="CN80" s="314">
        <v>31783</v>
      </c>
      <c r="CO80" s="314">
        <v>0</v>
      </c>
      <c r="CP80" s="314">
        <v>0</v>
      </c>
      <c r="CQ80" s="314">
        <v>31783</v>
      </c>
      <c r="CR80" s="314">
        <v>-321255</v>
      </c>
      <c r="CS80" s="314">
        <v>-81470</v>
      </c>
      <c r="CT80" s="314">
        <v>0</v>
      </c>
      <c r="CU80" s="314">
        <v>-23055</v>
      </c>
      <c r="CV80" s="314">
        <v>-3296</v>
      </c>
      <c r="CW80" s="314">
        <v>-55119</v>
      </c>
      <c r="CX80" s="314">
        <v>-239785</v>
      </c>
      <c r="CY80" s="314">
        <v>0</v>
      </c>
      <c r="CZ80" s="314">
        <v>-235026</v>
      </c>
      <c r="DA80" s="314">
        <v>-4759</v>
      </c>
      <c r="DB80" s="314">
        <v>0</v>
      </c>
      <c r="DC80" s="314">
        <v>0</v>
      </c>
      <c r="DD80" s="314">
        <v>635651</v>
      </c>
      <c r="DE80" s="314">
        <v>635651</v>
      </c>
      <c r="DF80" s="271"/>
      <c r="DG80" s="314"/>
      <c r="DH80" s="314"/>
      <c r="DI80" s="314">
        <v>1352699</v>
      </c>
      <c r="DJ80" s="314">
        <v>59006</v>
      </c>
      <c r="DK80" s="314">
        <v>15091</v>
      </c>
      <c r="DL80" s="314">
        <v>1010</v>
      </c>
      <c r="DM80" s="314">
        <v>724822</v>
      </c>
      <c r="DN80" s="314">
        <v>392639</v>
      </c>
      <c r="DO80" s="314">
        <v>53800</v>
      </c>
      <c r="DP80" s="314"/>
      <c r="DQ80" s="314"/>
      <c r="DR80" s="314">
        <v>106331</v>
      </c>
      <c r="DS80" s="314">
        <v>-33663</v>
      </c>
      <c r="DT80" s="314">
        <v>-9482</v>
      </c>
      <c r="DU80" s="314">
        <v>-36</v>
      </c>
      <c r="DV80" s="314">
        <v>-6</v>
      </c>
      <c r="DW80" s="314">
        <v>-1082</v>
      </c>
      <c r="DX80" s="314"/>
      <c r="DY80" s="314"/>
      <c r="DZ80" s="314"/>
      <c r="EA80" s="314">
        <v>-1</v>
      </c>
      <c r="EB80" s="314">
        <v>0</v>
      </c>
      <c r="EC80" s="314"/>
      <c r="ED80" s="314"/>
      <c r="EE80" s="314">
        <v>-23056</v>
      </c>
      <c r="EF80" s="314">
        <v>1319036</v>
      </c>
      <c r="EG80" s="314">
        <v>1319036</v>
      </c>
      <c r="EH80" s="271"/>
      <c r="EI80" s="314"/>
      <c r="EJ80" s="314"/>
      <c r="EK80" s="314">
        <v>49524</v>
      </c>
      <c r="EL80" s="314">
        <v>49524</v>
      </c>
      <c r="EM80" s="271"/>
      <c r="EN80" s="314"/>
      <c r="EO80" s="314"/>
      <c r="EP80" s="314">
        <v>15055</v>
      </c>
      <c r="EQ80" s="314">
        <v>15055</v>
      </c>
      <c r="ER80" s="271"/>
      <c r="ES80" s="314"/>
      <c r="ET80" s="314"/>
      <c r="EU80" s="314">
        <v>1004</v>
      </c>
      <c r="EV80" s="314">
        <v>1004</v>
      </c>
      <c r="EW80" s="271"/>
      <c r="EX80" s="314"/>
      <c r="EY80" s="314"/>
      <c r="EZ80" s="314">
        <v>723740</v>
      </c>
      <c r="FA80" s="314">
        <v>723740</v>
      </c>
      <c r="FB80" s="271"/>
      <c r="FC80" s="314"/>
      <c r="FD80" s="314"/>
      <c r="FE80" s="314">
        <v>392638</v>
      </c>
      <c r="FF80" s="314">
        <v>392638</v>
      </c>
      <c r="FG80" s="271"/>
      <c r="FH80" s="314"/>
      <c r="FI80" s="314"/>
      <c r="FJ80" s="314">
        <v>53800</v>
      </c>
      <c r="FK80" s="314">
        <v>53800</v>
      </c>
      <c r="FL80" s="271"/>
      <c r="FM80" s="314"/>
      <c r="FN80" s="314"/>
      <c r="FO80" s="314"/>
      <c r="FP80" s="314"/>
      <c r="FQ80" s="314">
        <v>83275</v>
      </c>
      <c r="FR80" s="314">
        <v>255306</v>
      </c>
      <c r="FS80" s="314">
        <v>-5186</v>
      </c>
      <c r="FT80" s="314">
        <v>250120</v>
      </c>
      <c r="FU80" s="314"/>
      <c r="FV80" s="314"/>
      <c r="FW80" s="314"/>
      <c r="FX80" s="314">
        <v>77201</v>
      </c>
      <c r="FY80" s="314">
        <v>77916</v>
      </c>
      <c r="FZ80" s="314"/>
      <c r="GA80" s="314"/>
      <c r="GB80" s="314"/>
      <c r="GC80" s="314">
        <v>65065</v>
      </c>
      <c r="GD80" s="314"/>
      <c r="GE80" s="314"/>
      <c r="GF80" s="314"/>
      <c r="GG80" s="314">
        <v>29938</v>
      </c>
      <c r="GH80" s="314">
        <v>983</v>
      </c>
      <c r="GI80" s="314">
        <v>3024</v>
      </c>
      <c r="GJ80" s="314">
        <v>25931</v>
      </c>
      <c r="GL80"/>
      <c r="GM80"/>
      <c r="GN80"/>
      <c r="GO80"/>
    </row>
    <row r="81" spans="1:197">
      <c r="A81" s="98" t="s">
        <v>19</v>
      </c>
      <c r="B81" s="98">
        <v>2</v>
      </c>
      <c r="C81" s="98" t="s">
        <v>218</v>
      </c>
      <c r="D81" s="315">
        <v>15136418</v>
      </c>
      <c r="E81" s="315">
        <v>-916261</v>
      </c>
      <c r="F81" s="315">
        <v>-10891</v>
      </c>
      <c r="G81" s="315">
        <v>14209266</v>
      </c>
      <c r="H81" s="315">
        <v>13786590</v>
      </c>
      <c r="I81" s="315">
        <v>422676</v>
      </c>
      <c r="J81" s="315">
        <v>422676</v>
      </c>
      <c r="K81" s="315"/>
      <c r="L81" s="315">
        <v>3463647</v>
      </c>
      <c r="M81" s="315">
        <v>2522850</v>
      </c>
      <c r="N81" s="315">
        <v>42360</v>
      </c>
      <c r="O81" s="315"/>
      <c r="P81" s="315"/>
      <c r="Q81" s="315"/>
      <c r="R81" s="315">
        <v>898437</v>
      </c>
      <c r="S81" s="315">
        <v>-86040</v>
      </c>
      <c r="T81" s="315">
        <v>-75233</v>
      </c>
      <c r="U81" s="315"/>
      <c r="V81" s="315"/>
      <c r="W81" s="315">
        <v>0</v>
      </c>
      <c r="X81" s="315">
        <v>-60209</v>
      </c>
      <c r="Y81" s="315">
        <v>-15024</v>
      </c>
      <c r="Z81" s="315"/>
      <c r="AA81" s="315">
        <v>-10807</v>
      </c>
      <c r="AB81" s="315">
        <v>0</v>
      </c>
      <c r="AC81" s="315">
        <v>-10891</v>
      </c>
      <c r="AD81" s="315">
        <v>3366716</v>
      </c>
      <c r="AE81" s="315">
        <v>2944040</v>
      </c>
      <c r="AF81" s="315">
        <v>422676</v>
      </c>
      <c r="AG81" s="315">
        <v>422676</v>
      </c>
      <c r="AH81" s="315"/>
      <c r="AI81" s="315">
        <v>2513919</v>
      </c>
      <c r="AJ81" s="315">
        <v>1090680</v>
      </c>
      <c r="AK81" s="315">
        <v>1352193</v>
      </c>
      <c r="AL81" s="315">
        <v>46146</v>
      </c>
      <c r="AM81" s="315">
        <v>348991</v>
      </c>
      <c r="AN81" s="315">
        <v>19528</v>
      </c>
      <c r="AO81" s="315">
        <v>60028</v>
      </c>
      <c r="AP81" s="315"/>
      <c r="AQ81" s="315">
        <v>468014</v>
      </c>
      <c r="AR81" s="315">
        <v>-32873</v>
      </c>
      <c r="AS81" s="315"/>
      <c r="AT81" s="315"/>
      <c r="AU81" s="315">
        <v>-10891</v>
      </c>
      <c r="AV81" s="315">
        <v>346502</v>
      </c>
      <c r="AW81" s="315">
        <v>14585</v>
      </c>
      <c r="AX81" s="315">
        <v>154000</v>
      </c>
      <c r="AY81" s="315"/>
      <c r="AZ81" s="315"/>
      <c r="BA81" s="315"/>
      <c r="BB81" s="315"/>
      <c r="BC81" s="315"/>
      <c r="BD81" s="315">
        <v>177917</v>
      </c>
      <c r="BE81" s="315">
        <v>-163026</v>
      </c>
      <c r="BF81" s="315">
        <v>-158701</v>
      </c>
      <c r="BG81" s="315">
        <v>-158701</v>
      </c>
      <c r="BH81" s="315"/>
      <c r="BI81" s="315">
        <v>0</v>
      </c>
      <c r="BJ81" s="315">
        <v>-143017</v>
      </c>
      <c r="BK81" s="315">
        <v>-15684</v>
      </c>
      <c r="BL81" s="315">
        <v>-4325</v>
      </c>
      <c r="BM81" s="315">
        <v>0</v>
      </c>
      <c r="BN81" s="315">
        <v>183476</v>
      </c>
      <c r="BO81" s="315">
        <v>144660</v>
      </c>
      <c r="BP81" s="315">
        <v>7412</v>
      </c>
      <c r="BQ81" s="315">
        <v>25556</v>
      </c>
      <c r="BR81" s="315"/>
      <c r="BS81" s="315">
        <v>10549</v>
      </c>
      <c r="BT81" s="315"/>
      <c r="BU81" s="315"/>
      <c r="BV81" s="315"/>
      <c r="BW81" s="315"/>
      <c r="BX81" s="315">
        <v>-4701</v>
      </c>
      <c r="BY81" s="315"/>
      <c r="BZ81" s="315"/>
      <c r="CA81" s="315">
        <v>339333</v>
      </c>
      <c r="CB81" s="315">
        <v>-300616</v>
      </c>
      <c r="CC81" s="315">
        <v>-11144</v>
      </c>
      <c r="CD81" s="315">
        <v>-289472</v>
      </c>
      <c r="CE81" s="315">
        <v>38717</v>
      </c>
      <c r="CF81" s="315"/>
      <c r="CG81" s="315"/>
      <c r="CH81" s="315"/>
      <c r="CI81" s="315">
        <v>9457726</v>
      </c>
      <c r="CJ81" s="315">
        <v>1273312</v>
      </c>
      <c r="CK81" s="315">
        <v>8184414</v>
      </c>
      <c r="CL81" s="315">
        <v>3538422</v>
      </c>
      <c r="CM81" s="315">
        <v>4614906</v>
      </c>
      <c r="CN81" s="315">
        <v>31086</v>
      </c>
      <c r="CO81" s="315">
        <v>0</v>
      </c>
      <c r="CP81" s="315">
        <v>0</v>
      </c>
      <c r="CQ81" s="315">
        <v>31086</v>
      </c>
      <c r="CR81" s="315">
        <v>-350679</v>
      </c>
      <c r="CS81" s="315">
        <v>-59605</v>
      </c>
      <c r="CT81" s="315">
        <v>-3564</v>
      </c>
      <c r="CU81" s="315">
        <v>-18716</v>
      </c>
      <c r="CV81" s="315">
        <v>-107</v>
      </c>
      <c r="CW81" s="315">
        <v>-37218</v>
      </c>
      <c r="CX81" s="315">
        <v>-291074</v>
      </c>
      <c r="CY81" s="315">
        <v>-117095</v>
      </c>
      <c r="CZ81" s="315">
        <v>-171036</v>
      </c>
      <c r="DA81" s="315">
        <v>-2943</v>
      </c>
      <c r="DB81" s="315">
        <v>0</v>
      </c>
      <c r="DC81" s="315">
        <v>0</v>
      </c>
      <c r="DD81" s="315">
        <v>9107047</v>
      </c>
      <c r="DE81" s="315">
        <v>9107047</v>
      </c>
      <c r="DF81" s="316"/>
      <c r="DG81" s="315"/>
      <c r="DH81" s="315"/>
      <c r="DI81" s="315">
        <v>1295801</v>
      </c>
      <c r="DJ81" s="315">
        <v>112639</v>
      </c>
      <c r="DK81" s="315">
        <v>16619</v>
      </c>
      <c r="DL81" s="315">
        <v>2953</v>
      </c>
      <c r="DM81" s="315">
        <v>712072</v>
      </c>
      <c r="DN81" s="315">
        <v>293238</v>
      </c>
      <c r="DO81" s="315">
        <v>59592</v>
      </c>
      <c r="DP81" s="315"/>
      <c r="DQ81" s="315"/>
      <c r="DR81" s="315">
        <v>98688</v>
      </c>
      <c r="DS81" s="315">
        <v>-8357</v>
      </c>
      <c r="DT81" s="315">
        <v>-5016</v>
      </c>
      <c r="DU81" s="315">
        <v>-114</v>
      </c>
      <c r="DV81" s="315">
        <v>0</v>
      </c>
      <c r="DW81" s="315">
        <v>-826</v>
      </c>
      <c r="DX81" s="315"/>
      <c r="DY81" s="315"/>
      <c r="DZ81" s="315"/>
      <c r="EA81" s="315">
        <v>-3</v>
      </c>
      <c r="EB81" s="315">
        <v>-30</v>
      </c>
      <c r="EC81" s="315"/>
      <c r="ED81" s="315"/>
      <c r="EE81" s="315">
        <v>-2368</v>
      </c>
      <c r="EF81" s="315">
        <v>1287444</v>
      </c>
      <c r="EG81" s="315">
        <v>1287444</v>
      </c>
      <c r="EH81" s="316"/>
      <c r="EI81" s="315"/>
      <c r="EJ81" s="315"/>
      <c r="EK81" s="315">
        <v>107623</v>
      </c>
      <c r="EL81" s="315">
        <v>107623</v>
      </c>
      <c r="EM81" s="316"/>
      <c r="EN81" s="315"/>
      <c r="EO81" s="315"/>
      <c r="EP81" s="315">
        <v>16505</v>
      </c>
      <c r="EQ81" s="315">
        <v>16505</v>
      </c>
      <c r="ER81" s="316"/>
      <c r="ES81" s="315"/>
      <c r="ET81" s="315"/>
      <c r="EU81" s="315">
        <v>2953</v>
      </c>
      <c r="EV81" s="315">
        <v>2953</v>
      </c>
      <c r="EW81" s="316"/>
      <c r="EX81" s="315"/>
      <c r="EY81" s="315"/>
      <c r="EZ81" s="315">
        <v>711246</v>
      </c>
      <c r="FA81" s="315">
        <v>711246</v>
      </c>
      <c r="FB81" s="316"/>
      <c r="FC81" s="315"/>
      <c r="FD81" s="315"/>
      <c r="FE81" s="315">
        <v>293235</v>
      </c>
      <c r="FF81" s="315">
        <v>293235</v>
      </c>
      <c r="FG81" s="316"/>
      <c r="FH81" s="315"/>
      <c r="FI81" s="315"/>
      <c r="FJ81" s="315">
        <v>59562</v>
      </c>
      <c r="FK81" s="315">
        <v>59562</v>
      </c>
      <c r="FL81" s="316"/>
      <c r="FM81" s="315"/>
      <c r="FN81" s="315"/>
      <c r="FO81" s="315"/>
      <c r="FP81" s="315"/>
      <c r="FQ81" s="315">
        <v>96320</v>
      </c>
      <c r="FR81" s="315">
        <v>233409</v>
      </c>
      <c r="FS81" s="315">
        <v>-7543</v>
      </c>
      <c r="FT81" s="315">
        <v>225866</v>
      </c>
      <c r="FU81" s="315"/>
      <c r="FV81" s="315"/>
      <c r="FW81" s="315"/>
      <c r="FX81" s="315">
        <v>76111</v>
      </c>
      <c r="FY81" s="315">
        <v>65429</v>
      </c>
      <c r="FZ81" s="315"/>
      <c r="GA81" s="315"/>
      <c r="GB81" s="315"/>
      <c r="GC81" s="315">
        <v>39943</v>
      </c>
      <c r="GD81" s="315"/>
      <c r="GE81" s="315"/>
      <c r="GF81" s="315"/>
      <c r="GG81" s="315">
        <v>44383</v>
      </c>
      <c r="GH81" s="315">
        <v>821</v>
      </c>
      <c r="GI81" s="315">
        <v>2962</v>
      </c>
      <c r="GJ81" s="315">
        <v>40600</v>
      </c>
      <c r="GL81"/>
      <c r="GM81"/>
      <c r="GN81"/>
      <c r="GO81"/>
    </row>
    <row r="82" spans="1:197">
      <c r="A82" s="98" t="s">
        <v>19</v>
      </c>
      <c r="B82" s="98">
        <v>3</v>
      </c>
      <c r="C82" s="98" t="s">
        <v>219</v>
      </c>
      <c r="D82" s="315">
        <v>6473532</v>
      </c>
      <c r="E82" s="315">
        <v>-1962564</v>
      </c>
      <c r="F82" s="315">
        <v>-10891</v>
      </c>
      <c r="G82" s="315">
        <v>4500077</v>
      </c>
      <c r="H82" s="315">
        <v>4077402</v>
      </c>
      <c r="I82" s="315">
        <v>422675</v>
      </c>
      <c r="J82" s="315">
        <v>422675</v>
      </c>
      <c r="K82" s="315"/>
      <c r="L82" s="315">
        <v>2107250</v>
      </c>
      <c r="M82" s="315">
        <v>1870564</v>
      </c>
      <c r="N82" s="315">
        <v>60249</v>
      </c>
      <c r="O82" s="315"/>
      <c r="P82" s="315"/>
      <c r="Q82" s="315"/>
      <c r="R82" s="315">
        <v>176437</v>
      </c>
      <c r="S82" s="315">
        <v>-66155</v>
      </c>
      <c r="T82" s="315">
        <v>-55466</v>
      </c>
      <c r="U82" s="315"/>
      <c r="V82" s="315"/>
      <c r="W82" s="315">
        <v>-5836</v>
      </c>
      <c r="X82" s="315">
        <v>-33532</v>
      </c>
      <c r="Y82" s="315">
        <v>-16098</v>
      </c>
      <c r="Z82" s="315"/>
      <c r="AA82" s="315">
        <v>-10689</v>
      </c>
      <c r="AB82" s="315">
        <v>0</v>
      </c>
      <c r="AC82" s="315">
        <v>-10891</v>
      </c>
      <c r="AD82" s="315">
        <v>2030204</v>
      </c>
      <c r="AE82" s="315">
        <v>1607529</v>
      </c>
      <c r="AF82" s="315">
        <v>422675</v>
      </c>
      <c r="AG82" s="315">
        <v>422675</v>
      </c>
      <c r="AH82" s="315"/>
      <c r="AI82" s="315">
        <v>1863158</v>
      </c>
      <c r="AJ82" s="315">
        <v>177642</v>
      </c>
      <c r="AK82" s="315">
        <v>1583723</v>
      </c>
      <c r="AL82" s="315">
        <v>22960</v>
      </c>
      <c r="AM82" s="315">
        <v>109126</v>
      </c>
      <c r="AN82" s="315">
        <v>16855</v>
      </c>
      <c r="AO82" s="315">
        <v>39875</v>
      </c>
      <c r="AP82" s="315"/>
      <c r="AQ82" s="315">
        <v>7298</v>
      </c>
      <c r="AR82" s="315">
        <v>4783</v>
      </c>
      <c r="AS82" s="315"/>
      <c r="AT82" s="315"/>
      <c r="AU82" s="315">
        <v>-10891</v>
      </c>
      <c r="AV82" s="315">
        <v>146754</v>
      </c>
      <c r="AW82" s="315">
        <v>15279</v>
      </c>
      <c r="AX82" s="315">
        <v>60785</v>
      </c>
      <c r="AY82" s="315"/>
      <c r="AZ82" s="315"/>
      <c r="BA82" s="315"/>
      <c r="BB82" s="315"/>
      <c r="BC82" s="315"/>
      <c r="BD82" s="315">
        <v>70690</v>
      </c>
      <c r="BE82" s="315">
        <v>-92637</v>
      </c>
      <c r="BF82" s="315">
        <v>-89270</v>
      </c>
      <c r="BG82" s="315">
        <v>-89270</v>
      </c>
      <c r="BH82" s="315"/>
      <c r="BI82" s="315">
        <v>0</v>
      </c>
      <c r="BJ82" s="315">
        <v>-68612</v>
      </c>
      <c r="BK82" s="315">
        <v>-20658</v>
      </c>
      <c r="BL82" s="315">
        <v>-3367</v>
      </c>
      <c r="BM82" s="315">
        <v>0</v>
      </c>
      <c r="BN82" s="315">
        <v>54117</v>
      </c>
      <c r="BO82" s="315">
        <v>45975</v>
      </c>
      <c r="BP82" s="315">
        <v>6816</v>
      </c>
      <c r="BQ82" s="315">
        <v>16976</v>
      </c>
      <c r="BR82" s="315"/>
      <c r="BS82" s="315">
        <v>12835</v>
      </c>
      <c r="BT82" s="315"/>
      <c r="BU82" s="315"/>
      <c r="BV82" s="315"/>
      <c r="BW82" s="315"/>
      <c r="BX82" s="315">
        <v>-28485</v>
      </c>
      <c r="BY82" s="315"/>
      <c r="BZ82" s="315"/>
      <c r="CA82" s="315">
        <v>50764</v>
      </c>
      <c r="CB82" s="315">
        <v>-813658</v>
      </c>
      <c r="CC82" s="315">
        <v>-29175</v>
      </c>
      <c r="CD82" s="315">
        <v>-784483</v>
      </c>
      <c r="CE82" s="315">
        <v>-762894</v>
      </c>
      <c r="CF82" s="315"/>
      <c r="CG82" s="315"/>
      <c r="CH82" s="315"/>
      <c r="CI82" s="315">
        <v>2652393</v>
      </c>
      <c r="CJ82" s="315">
        <v>868028</v>
      </c>
      <c r="CK82" s="315">
        <v>1784365</v>
      </c>
      <c r="CL82" s="315">
        <v>1551900</v>
      </c>
      <c r="CM82" s="315">
        <v>188263</v>
      </c>
      <c r="CN82" s="315">
        <v>44202</v>
      </c>
      <c r="CO82" s="315">
        <v>0</v>
      </c>
      <c r="CP82" s="315">
        <v>74756</v>
      </c>
      <c r="CQ82" s="315">
        <v>-30554</v>
      </c>
      <c r="CR82" s="315">
        <v>-943166</v>
      </c>
      <c r="CS82" s="315">
        <v>-186583</v>
      </c>
      <c r="CT82" s="315">
        <v>-127655</v>
      </c>
      <c r="CU82" s="315">
        <v>-34576</v>
      </c>
      <c r="CV82" s="315">
        <v>-3578</v>
      </c>
      <c r="CW82" s="315">
        <v>-20774</v>
      </c>
      <c r="CX82" s="315">
        <v>-689754</v>
      </c>
      <c r="CY82" s="315">
        <v>-379082</v>
      </c>
      <c r="CZ82" s="315">
        <v>-303848</v>
      </c>
      <c r="DA82" s="315">
        <v>-6824</v>
      </c>
      <c r="DB82" s="315">
        <v>0</v>
      </c>
      <c r="DC82" s="315">
        <v>-66829</v>
      </c>
      <c r="DD82" s="315">
        <v>1709227</v>
      </c>
      <c r="DE82" s="315">
        <v>1709227</v>
      </c>
      <c r="DF82" s="316"/>
      <c r="DG82" s="315"/>
      <c r="DH82" s="315"/>
      <c r="DI82" s="315">
        <v>1283031</v>
      </c>
      <c r="DJ82" s="315">
        <v>99687</v>
      </c>
      <c r="DK82" s="315">
        <v>13400</v>
      </c>
      <c r="DL82" s="315">
        <v>1722</v>
      </c>
      <c r="DM82" s="315">
        <v>707186</v>
      </c>
      <c r="DN82" s="315">
        <v>308720</v>
      </c>
      <c r="DO82" s="315">
        <v>53267</v>
      </c>
      <c r="DP82" s="315"/>
      <c r="DQ82" s="315"/>
      <c r="DR82" s="315">
        <v>99049</v>
      </c>
      <c r="DS82" s="315">
        <v>-43213</v>
      </c>
      <c r="DT82" s="315">
        <v>-11854</v>
      </c>
      <c r="DU82" s="315">
        <v>-78</v>
      </c>
      <c r="DV82" s="315">
        <v>-6</v>
      </c>
      <c r="DW82" s="315">
        <v>-19153</v>
      </c>
      <c r="DX82" s="315"/>
      <c r="DY82" s="315"/>
      <c r="DZ82" s="315"/>
      <c r="EA82" s="315">
        <v>-9682</v>
      </c>
      <c r="EB82" s="315">
        <v>0</v>
      </c>
      <c r="EC82" s="315"/>
      <c r="ED82" s="315"/>
      <c r="EE82" s="315">
        <v>-2440</v>
      </c>
      <c r="EF82" s="315">
        <v>1239818</v>
      </c>
      <c r="EG82" s="315">
        <v>1239818</v>
      </c>
      <c r="EH82" s="316"/>
      <c r="EI82" s="315"/>
      <c r="EJ82" s="315"/>
      <c r="EK82" s="315">
        <v>87833</v>
      </c>
      <c r="EL82" s="315">
        <v>87833</v>
      </c>
      <c r="EM82" s="316"/>
      <c r="EN82" s="315"/>
      <c r="EO82" s="315"/>
      <c r="EP82" s="315">
        <v>13322</v>
      </c>
      <c r="EQ82" s="315">
        <v>13322</v>
      </c>
      <c r="ER82" s="316"/>
      <c r="ES82" s="315"/>
      <c r="ET82" s="315"/>
      <c r="EU82" s="315">
        <v>1716</v>
      </c>
      <c r="EV82" s="315">
        <v>1716</v>
      </c>
      <c r="EW82" s="316"/>
      <c r="EX82" s="315"/>
      <c r="EY82" s="315"/>
      <c r="EZ82" s="315">
        <v>688033</v>
      </c>
      <c r="FA82" s="315">
        <v>688033</v>
      </c>
      <c r="FB82" s="316"/>
      <c r="FC82" s="315"/>
      <c r="FD82" s="315"/>
      <c r="FE82" s="315">
        <v>299038</v>
      </c>
      <c r="FF82" s="315">
        <v>299038</v>
      </c>
      <c r="FG82" s="316"/>
      <c r="FH82" s="315"/>
      <c r="FI82" s="315"/>
      <c r="FJ82" s="315">
        <v>53267</v>
      </c>
      <c r="FK82" s="315">
        <v>53267</v>
      </c>
      <c r="FL82" s="316"/>
      <c r="FM82" s="315"/>
      <c r="FN82" s="315"/>
      <c r="FO82" s="315"/>
      <c r="FP82" s="315"/>
      <c r="FQ82" s="315">
        <v>96609</v>
      </c>
      <c r="FR82" s="315">
        <v>233340</v>
      </c>
      <c r="FS82" s="315">
        <v>-3735</v>
      </c>
      <c r="FT82" s="315">
        <v>229605</v>
      </c>
      <c r="FU82" s="315"/>
      <c r="FV82" s="315"/>
      <c r="FW82" s="315"/>
      <c r="FX82" s="315">
        <v>82348</v>
      </c>
      <c r="FY82" s="315">
        <v>66714</v>
      </c>
      <c r="FZ82" s="315"/>
      <c r="GA82" s="315"/>
      <c r="GB82" s="315"/>
      <c r="GC82" s="315">
        <v>37564</v>
      </c>
      <c r="GD82" s="315"/>
      <c r="GE82" s="315"/>
      <c r="GF82" s="315"/>
      <c r="GG82" s="315">
        <v>42979</v>
      </c>
      <c r="GH82" s="315">
        <v>1520</v>
      </c>
      <c r="GI82" s="315">
        <v>2271</v>
      </c>
      <c r="GJ82" s="315">
        <v>39188</v>
      </c>
      <c r="GL82"/>
      <c r="GM82"/>
      <c r="GN82"/>
      <c r="GO82"/>
    </row>
    <row r="83" spans="1:197">
      <c r="A83" s="98" t="s">
        <v>19</v>
      </c>
      <c r="B83" s="98">
        <v>4</v>
      </c>
      <c r="C83" s="98" t="s">
        <v>220</v>
      </c>
      <c r="D83" s="315">
        <v>17217727</v>
      </c>
      <c r="E83" s="315">
        <v>-1896803</v>
      </c>
      <c r="F83" s="315">
        <v>-10892</v>
      </c>
      <c r="G83" s="315">
        <v>15310032</v>
      </c>
      <c r="H83" s="315">
        <v>14887357</v>
      </c>
      <c r="I83" s="315">
        <v>422675</v>
      </c>
      <c r="J83" s="315">
        <v>422675</v>
      </c>
      <c r="K83" s="315"/>
      <c r="L83" s="315">
        <v>5677259</v>
      </c>
      <c r="M83" s="315">
        <v>4559584</v>
      </c>
      <c r="N83" s="315">
        <v>33590</v>
      </c>
      <c r="O83" s="315"/>
      <c r="P83" s="315"/>
      <c r="Q83" s="315"/>
      <c r="R83" s="315">
        <v>1084085</v>
      </c>
      <c r="S83" s="315">
        <v>-204782</v>
      </c>
      <c r="T83" s="315">
        <v>-180371</v>
      </c>
      <c r="U83" s="315"/>
      <c r="V83" s="315"/>
      <c r="W83" s="315">
        <v>-150572</v>
      </c>
      <c r="X83" s="315">
        <v>-20000</v>
      </c>
      <c r="Y83" s="315">
        <v>-9799</v>
      </c>
      <c r="Z83" s="315"/>
      <c r="AA83" s="315">
        <v>-24411</v>
      </c>
      <c r="AB83" s="315">
        <v>0</v>
      </c>
      <c r="AC83" s="315">
        <v>-10892</v>
      </c>
      <c r="AD83" s="315">
        <v>5461585</v>
      </c>
      <c r="AE83" s="315">
        <v>5038910</v>
      </c>
      <c r="AF83" s="315">
        <v>422675</v>
      </c>
      <c r="AG83" s="315">
        <v>422675</v>
      </c>
      <c r="AH83" s="315"/>
      <c r="AI83" s="315">
        <v>4536867</v>
      </c>
      <c r="AJ83" s="315">
        <v>468519</v>
      </c>
      <c r="AK83" s="315">
        <v>1514772</v>
      </c>
      <c r="AL83" s="315">
        <v>2492885</v>
      </c>
      <c r="AM83" s="315">
        <v>257682</v>
      </c>
      <c r="AN83" s="315">
        <v>180772</v>
      </c>
      <c r="AO83" s="315">
        <v>55075</v>
      </c>
      <c r="AP83" s="315"/>
      <c r="AQ83" s="315">
        <v>588862</v>
      </c>
      <c r="AR83" s="315">
        <v>-146781</v>
      </c>
      <c r="AS83" s="315"/>
      <c r="AT83" s="315"/>
      <c r="AU83" s="315">
        <v>-10892</v>
      </c>
      <c r="AV83" s="315">
        <v>2980055</v>
      </c>
      <c r="AW83" s="315">
        <v>2607237</v>
      </c>
      <c r="AX83" s="315">
        <v>168562</v>
      </c>
      <c r="AY83" s="315"/>
      <c r="AZ83" s="315"/>
      <c r="BA83" s="315"/>
      <c r="BB83" s="315"/>
      <c r="BC83" s="315"/>
      <c r="BD83" s="315">
        <v>204256</v>
      </c>
      <c r="BE83" s="315">
        <v>-152613</v>
      </c>
      <c r="BF83" s="315">
        <v>-138064</v>
      </c>
      <c r="BG83" s="315">
        <v>-138064</v>
      </c>
      <c r="BH83" s="315"/>
      <c r="BI83" s="315">
        <v>0</v>
      </c>
      <c r="BJ83" s="315">
        <v>-85903</v>
      </c>
      <c r="BK83" s="315">
        <v>-52161</v>
      </c>
      <c r="BL83" s="315">
        <v>-14549</v>
      </c>
      <c r="BM83" s="315">
        <v>0</v>
      </c>
      <c r="BN83" s="315">
        <v>2827442</v>
      </c>
      <c r="BO83" s="315">
        <v>103630</v>
      </c>
      <c r="BP83" s="315">
        <v>76706</v>
      </c>
      <c r="BQ83" s="315">
        <v>23447</v>
      </c>
      <c r="BR83" s="315"/>
      <c r="BS83" s="315">
        <v>2593161</v>
      </c>
      <c r="BT83" s="315"/>
      <c r="BU83" s="315"/>
      <c r="BV83" s="315"/>
      <c r="BW83" s="315"/>
      <c r="BX83" s="315">
        <v>30498</v>
      </c>
      <c r="BY83" s="315"/>
      <c r="BZ83" s="315"/>
      <c r="CA83" s="315">
        <v>196807</v>
      </c>
      <c r="CB83" s="315">
        <v>-24813</v>
      </c>
      <c r="CC83" s="315">
        <v>-16513</v>
      </c>
      <c r="CD83" s="315">
        <v>-8300</v>
      </c>
      <c r="CE83" s="315">
        <v>171994</v>
      </c>
      <c r="CF83" s="315"/>
      <c r="CG83" s="315"/>
      <c r="CH83" s="315"/>
      <c r="CI83" s="315">
        <v>6646553</v>
      </c>
      <c r="CJ83" s="315">
        <v>902918</v>
      </c>
      <c r="CK83" s="315">
        <v>5743635</v>
      </c>
      <c r="CL83" s="315">
        <v>1813036</v>
      </c>
      <c r="CM83" s="315">
        <v>3910254</v>
      </c>
      <c r="CN83" s="315">
        <v>20345</v>
      </c>
      <c r="CO83" s="315">
        <v>6579</v>
      </c>
      <c r="CP83" s="315">
        <v>0</v>
      </c>
      <c r="CQ83" s="315">
        <v>13766</v>
      </c>
      <c r="CR83" s="315">
        <v>-1475569</v>
      </c>
      <c r="CS83" s="315">
        <v>-466243</v>
      </c>
      <c r="CT83" s="315">
        <v>-363823</v>
      </c>
      <c r="CU83" s="315">
        <v>0</v>
      </c>
      <c r="CV83" s="315">
        <v>-539</v>
      </c>
      <c r="CW83" s="315">
        <v>-101881</v>
      </c>
      <c r="CX83" s="315">
        <v>-768813</v>
      </c>
      <c r="CY83" s="315">
        <v>-412523</v>
      </c>
      <c r="CZ83" s="315">
        <v>-351893</v>
      </c>
      <c r="DA83" s="315">
        <v>-4397</v>
      </c>
      <c r="DB83" s="315">
        <v>-240513</v>
      </c>
      <c r="DC83" s="315">
        <v>0</v>
      </c>
      <c r="DD83" s="315">
        <v>5170984</v>
      </c>
      <c r="DE83" s="315">
        <v>5170984</v>
      </c>
      <c r="DF83" s="316"/>
      <c r="DG83" s="315"/>
      <c r="DH83" s="315"/>
      <c r="DI83" s="315">
        <v>1424703</v>
      </c>
      <c r="DJ83" s="315">
        <v>42922</v>
      </c>
      <c r="DK83" s="315">
        <v>13265</v>
      </c>
      <c r="DL83" s="315">
        <v>609</v>
      </c>
      <c r="DM83" s="315">
        <v>804892</v>
      </c>
      <c r="DN83" s="315">
        <v>395194</v>
      </c>
      <c r="DO83" s="315">
        <v>59183</v>
      </c>
      <c r="DP83" s="315"/>
      <c r="DQ83" s="315"/>
      <c r="DR83" s="315">
        <v>108638</v>
      </c>
      <c r="DS83" s="315">
        <v>-30757</v>
      </c>
      <c r="DT83" s="315">
        <v>-14878</v>
      </c>
      <c r="DU83" s="315">
        <v>-5559</v>
      </c>
      <c r="DV83" s="315">
        <v>-926</v>
      </c>
      <c r="DW83" s="315">
        <v>-711</v>
      </c>
      <c r="DX83" s="315"/>
      <c r="DY83" s="315"/>
      <c r="DZ83" s="315"/>
      <c r="EA83" s="315">
        <v>-6387</v>
      </c>
      <c r="EB83" s="315">
        <v>0</v>
      </c>
      <c r="EC83" s="315"/>
      <c r="ED83" s="315"/>
      <c r="EE83" s="315">
        <v>-2296</v>
      </c>
      <c r="EF83" s="315">
        <v>1393946</v>
      </c>
      <c r="EG83" s="315">
        <v>1393946</v>
      </c>
      <c r="EH83" s="316"/>
      <c r="EI83" s="315"/>
      <c r="EJ83" s="315"/>
      <c r="EK83" s="315">
        <v>28044</v>
      </c>
      <c r="EL83" s="315">
        <v>28044</v>
      </c>
      <c r="EM83" s="316"/>
      <c r="EN83" s="315"/>
      <c r="EO83" s="315"/>
      <c r="EP83" s="315">
        <v>7706</v>
      </c>
      <c r="EQ83" s="315">
        <v>7706</v>
      </c>
      <c r="ER83" s="316"/>
      <c r="ES83" s="315"/>
      <c r="ET83" s="315"/>
      <c r="EU83" s="315">
        <v>-317</v>
      </c>
      <c r="EV83" s="315">
        <v>-317</v>
      </c>
      <c r="EW83" s="316"/>
      <c r="EX83" s="315"/>
      <c r="EY83" s="315"/>
      <c r="EZ83" s="315">
        <v>804181</v>
      </c>
      <c r="FA83" s="315">
        <v>804181</v>
      </c>
      <c r="FB83" s="316"/>
      <c r="FC83" s="315"/>
      <c r="FD83" s="315"/>
      <c r="FE83" s="315">
        <v>388807</v>
      </c>
      <c r="FF83" s="315">
        <v>388807</v>
      </c>
      <c r="FG83" s="316"/>
      <c r="FH83" s="315"/>
      <c r="FI83" s="315"/>
      <c r="FJ83" s="315">
        <v>59183</v>
      </c>
      <c r="FK83" s="315">
        <v>59183</v>
      </c>
      <c r="FL83" s="316"/>
      <c r="FM83" s="315"/>
      <c r="FN83" s="315"/>
      <c r="FO83" s="315"/>
      <c r="FP83" s="315"/>
      <c r="FQ83" s="315">
        <v>106342</v>
      </c>
      <c r="FR83" s="315">
        <v>292350</v>
      </c>
      <c r="FS83" s="315">
        <v>-8269</v>
      </c>
      <c r="FT83" s="315">
        <v>284081</v>
      </c>
      <c r="FU83" s="315"/>
      <c r="FV83" s="315"/>
      <c r="FW83" s="315"/>
      <c r="FX83" s="315">
        <v>77430</v>
      </c>
      <c r="FY83" s="315">
        <v>76097</v>
      </c>
      <c r="FZ83" s="315"/>
      <c r="GA83" s="315"/>
      <c r="GB83" s="315"/>
      <c r="GC83" s="315">
        <v>67099</v>
      </c>
      <c r="GD83" s="315"/>
      <c r="GE83" s="315"/>
      <c r="GF83" s="315"/>
      <c r="GG83" s="315">
        <v>63455</v>
      </c>
      <c r="GH83" s="315">
        <v>1602</v>
      </c>
      <c r="GI83" s="315">
        <v>2489</v>
      </c>
      <c r="GJ83" s="315">
        <v>59364</v>
      </c>
      <c r="GL83"/>
      <c r="GM83"/>
      <c r="GN83"/>
      <c r="GO83"/>
    </row>
    <row r="84" spans="1:197">
      <c r="A84" s="98" t="s">
        <v>19</v>
      </c>
      <c r="B84" s="98">
        <v>5</v>
      </c>
      <c r="C84" s="98" t="s">
        <v>221</v>
      </c>
      <c r="D84" s="315">
        <v>7307382</v>
      </c>
      <c r="E84" s="315">
        <v>-2284017</v>
      </c>
      <c r="F84" s="315">
        <v>-10891</v>
      </c>
      <c r="G84" s="315">
        <v>5012474</v>
      </c>
      <c r="H84" s="315">
        <v>4589799</v>
      </c>
      <c r="I84" s="315">
        <v>422675</v>
      </c>
      <c r="J84" s="315">
        <v>422675</v>
      </c>
      <c r="K84" s="315"/>
      <c r="L84" s="315">
        <v>2586843</v>
      </c>
      <c r="M84" s="315">
        <v>2159747</v>
      </c>
      <c r="N84" s="315">
        <v>108521</v>
      </c>
      <c r="O84" s="315"/>
      <c r="P84" s="315"/>
      <c r="Q84" s="315"/>
      <c r="R84" s="315">
        <v>318575</v>
      </c>
      <c r="S84" s="315">
        <v>-764211</v>
      </c>
      <c r="T84" s="315">
        <v>-755255</v>
      </c>
      <c r="U84" s="315"/>
      <c r="V84" s="315"/>
      <c r="W84" s="315">
        <v>-736198</v>
      </c>
      <c r="X84" s="315">
        <v>0</v>
      </c>
      <c r="Y84" s="315">
        <v>-19057</v>
      </c>
      <c r="Z84" s="315"/>
      <c r="AA84" s="315">
        <v>-8956</v>
      </c>
      <c r="AB84" s="315">
        <v>0</v>
      </c>
      <c r="AC84" s="315">
        <v>-10891</v>
      </c>
      <c r="AD84" s="315">
        <v>1811741</v>
      </c>
      <c r="AE84" s="315">
        <v>1389066</v>
      </c>
      <c r="AF84" s="315">
        <v>422675</v>
      </c>
      <c r="AG84" s="315">
        <v>422675</v>
      </c>
      <c r="AH84" s="315"/>
      <c r="AI84" s="315">
        <v>2153198</v>
      </c>
      <c r="AJ84" s="315">
        <v>781999</v>
      </c>
      <c r="AK84" s="315">
        <v>1307208</v>
      </c>
      <c r="AL84" s="315">
        <v>21441</v>
      </c>
      <c r="AM84" s="315">
        <v>259623</v>
      </c>
      <c r="AN84" s="315">
        <v>18513</v>
      </c>
      <c r="AO84" s="315">
        <v>31074</v>
      </c>
      <c r="AP84" s="315"/>
      <c r="AQ84" s="315">
        <v>6958</v>
      </c>
      <c r="AR84" s="315">
        <v>-646734</v>
      </c>
      <c r="AS84" s="315"/>
      <c r="AT84" s="315"/>
      <c r="AU84" s="315">
        <v>-10891</v>
      </c>
      <c r="AV84" s="315">
        <v>377181</v>
      </c>
      <c r="AW84" s="315">
        <v>13096</v>
      </c>
      <c r="AX84" s="315">
        <v>236559</v>
      </c>
      <c r="AY84" s="315"/>
      <c r="AZ84" s="315"/>
      <c r="BA84" s="315"/>
      <c r="BB84" s="315"/>
      <c r="BC84" s="315"/>
      <c r="BD84" s="315">
        <v>127526</v>
      </c>
      <c r="BE84" s="315">
        <v>-45033</v>
      </c>
      <c r="BF84" s="315">
        <v>-40526</v>
      </c>
      <c r="BG84" s="315">
        <v>-40526</v>
      </c>
      <c r="BH84" s="315"/>
      <c r="BI84" s="315">
        <v>0</v>
      </c>
      <c r="BJ84" s="315">
        <v>-25435</v>
      </c>
      <c r="BK84" s="315">
        <v>-15091</v>
      </c>
      <c r="BL84" s="315">
        <v>-4507</v>
      </c>
      <c r="BM84" s="315">
        <v>0</v>
      </c>
      <c r="BN84" s="315">
        <v>332148</v>
      </c>
      <c r="BO84" s="315">
        <v>106093</v>
      </c>
      <c r="BP84" s="315">
        <v>7535</v>
      </c>
      <c r="BQ84" s="315">
        <v>13227</v>
      </c>
      <c r="BR84" s="315"/>
      <c r="BS84" s="315">
        <v>9260</v>
      </c>
      <c r="BT84" s="315"/>
      <c r="BU84" s="315"/>
      <c r="BV84" s="315"/>
      <c r="BW84" s="315"/>
      <c r="BX84" s="315">
        <v>196033</v>
      </c>
      <c r="BY84" s="315"/>
      <c r="BZ84" s="315"/>
      <c r="CA84" s="315">
        <v>123457</v>
      </c>
      <c r="CB84" s="315">
        <v>-93471</v>
      </c>
      <c r="CC84" s="315">
        <v>-11216</v>
      </c>
      <c r="CD84" s="315">
        <v>-82255</v>
      </c>
      <c r="CE84" s="315">
        <v>29986</v>
      </c>
      <c r="CF84" s="315"/>
      <c r="CG84" s="315"/>
      <c r="CH84" s="315"/>
      <c r="CI84" s="315">
        <v>2562639</v>
      </c>
      <c r="CJ84" s="315">
        <v>905812</v>
      </c>
      <c r="CK84" s="315">
        <v>1656827</v>
      </c>
      <c r="CL84" s="315">
        <v>1536688</v>
      </c>
      <c r="CM84" s="315">
        <v>82795</v>
      </c>
      <c r="CN84" s="315">
        <v>37344</v>
      </c>
      <c r="CO84" s="315">
        <v>0</v>
      </c>
      <c r="CP84" s="315">
        <v>0</v>
      </c>
      <c r="CQ84" s="315">
        <v>37344</v>
      </c>
      <c r="CR84" s="315">
        <v>-1352482</v>
      </c>
      <c r="CS84" s="315">
        <v>-641981</v>
      </c>
      <c r="CT84" s="315">
        <v>-586299</v>
      </c>
      <c r="CU84" s="315">
        <v>0</v>
      </c>
      <c r="CV84" s="315">
        <v>-3750</v>
      </c>
      <c r="CW84" s="315">
        <v>-51932</v>
      </c>
      <c r="CX84" s="315">
        <v>-710501</v>
      </c>
      <c r="CY84" s="315">
        <v>-536469</v>
      </c>
      <c r="CZ84" s="315">
        <v>-170000</v>
      </c>
      <c r="DA84" s="315">
        <v>-4032</v>
      </c>
      <c r="DB84" s="315">
        <v>0</v>
      </c>
      <c r="DC84" s="315">
        <v>0</v>
      </c>
      <c r="DD84" s="315">
        <v>1210157</v>
      </c>
      <c r="DE84" s="315">
        <v>1210157</v>
      </c>
      <c r="DF84" s="316"/>
      <c r="DG84" s="315"/>
      <c r="DH84" s="315"/>
      <c r="DI84" s="315">
        <v>1404030</v>
      </c>
      <c r="DJ84" s="315">
        <v>67988</v>
      </c>
      <c r="DK84" s="315">
        <v>13452</v>
      </c>
      <c r="DL84" s="315">
        <v>1788</v>
      </c>
      <c r="DM84" s="315">
        <v>742902</v>
      </c>
      <c r="DN84" s="315">
        <v>428961</v>
      </c>
      <c r="DO84" s="315">
        <v>47385</v>
      </c>
      <c r="DP84" s="315"/>
      <c r="DQ84" s="315"/>
      <c r="DR84" s="315">
        <v>101554</v>
      </c>
      <c r="DS84" s="315">
        <v>-20454</v>
      </c>
      <c r="DT84" s="315">
        <v>-16131</v>
      </c>
      <c r="DU84" s="315">
        <v>-18</v>
      </c>
      <c r="DV84" s="315">
        <v>-204</v>
      </c>
      <c r="DW84" s="315">
        <v>-2346</v>
      </c>
      <c r="DX84" s="315"/>
      <c r="DY84" s="315"/>
      <c r="DZ84" s="315"/>
      <c r="EA84" s="315">
        <v>-12</v>
      </c>
      <c r="EB84" s="315">
        <v>-138</v>
      </c>
      <c r="EC84" s="315"/>
      <c r="ED84" s="315"/>
      <c r="EE84" s="315">
        <v>-1605</v>
      </c>
      <c r="EF84" s="315">
        <v>1383576</v>
      </c>
      <c r="EG84" s="315">
        <v>1383576</v>
      </c>
      <c r="EH84" s="316"/>
      <c r="EI84" s="315"/>
      <c r="EJ84" s="315"/>
      <c r="EK84" s="315">
        <v>51857</v>
      </c>
      <c r="EL84" s="315">
        <v>51857</v>
      </c>
      <c r="EM84" s="316"/>
      <c r="EN84" s="315"/>
      <c r="EO84" s="315"/>
      <c r="EP84" s="315">
        <v>13434</v>
      </c>
      <c r="EQ84" s="315">
        <v>13434</v>
      </c>
      <c r="ER84" s="316"/>
      <c r="ES84" s="315"/>
      <c r="ET84" s="315"/>
      <c r="EU84" s="315">
        <v>1584</v>
      </c>
      <c r="EV84" s="315">
        <v>1584</v>
      </c>
      <c r="EW84" s="316"/>
      <c r="EX84" s="315"/>
      <c r="EY84" s="315"/>
      <c r="EZ84" s="315">
        <v>740556</v>
      </c>
      <c r="FA84" s="315">
        <v>740556</v>
      </c>
      <c r="FB84" s="316"/>
      <c r="FC84" s="315"/>
      <c r="FD84" s="315"/>
      <c r="FE84" s="315">
        <v>428949</v>
      </c>
      <c r="FF84" s="315">
        <v>428949</v>
      </c>
      <c r="FG84" s="316"/>
      <c r="FH84" s="315"/>
      <c r="FI84" s="315"/>
      <c r="FJ84" s="315">
        <v>47247</v>
      </c>
      <c r="FK84" s="315">
        <v>47247</v>
      </c>
      <c r="FL84" s="316"/>
      <c r="FM84" s="315"/>
      <c r="FN84" s="315"/>
      <c r="FO84" s="315"/>
      <c r="FP84" s="315"/>
      <c r="FQ84" s="315">
        <v>99949</v>
      </c>
      <c r="FR84" s="315">
        <v>253232</v>
      </c>
      <c r="FS84" s="315">
        <v>-8366</v>
      </c>
      <c r="FT84" s="315">
        <v>244866</v>
      </c>
      <c r="FU84" s="315"/>
      <c r="FV84" s="315"/>
      <c r="FW84" s="315"/>
      <c r="FX84" s="315">
        <v>77917</v>
      </c>
      <c r="FY84" s="315">
        <v>74050</v>
      </c>
      <c r="FZ84" s="315"/>
      <c r="GA84" s="315"/>
      <c r="GB84" s="315"/>
      <c r="GC84" s="315">
        <v>42152</v>
      </c>
      <c r="GD84" s="315"/>
      <c r="GE84" s="315"/>
      <c r="GF84" s="315"/>
      <c r="GG84" s="315">
        <v>50747</v>
      </c>
      <c r="GH84" s="315">
        <v>3956</v>
      </c>
      <c r="GI84" s="315">
        <v>12078</v>
      </c>
      <c r="GJ84" s="315">
        <v>34713</v>
      </c>
      <c r="GL84"/>
      <c r="GM84"/>
      <c r="GN84"/>
      <c r="GO84"/>
    </row>
    <row r="85" spans="1:197">
      <c r="A85" s="98" t="s">
        <v>19</v>
      </c>
      <c r="B85" s="98">
        <v>6</v>
      </c>
      <c r="C85" s="98" t="s">
        <v>222</v>
      </c>
      <c r="D85" s="315">
        <v>9760525</v>
      </c>
      <c r="E85" s="315">
        <v>-4642413</v>
      </c>
      <c r="F85" s="315">
        <v>-10892</v>
      </c>
      <c r="G85" s="315">
        <v>5107220</v>
      </c>
      <c r="H85" s="315">
        <v>4684545</v>
      </c>
      <c r="I85" s="315">
        <v>422675</v>
      </c>
      <c r="J85" s="315">
        <v>422675</v>
      </c>
      <c r="K85" s="315"/>
      <c r="L85" s="315">
        <v>4606320</v>
      </c>
      <c r="M85" s="315">
        <v>1732177</v>
      </c>
      <c r="N85" s="315">
        <v>2744796</v>
      </c>
      <c r="O85" s="315"/>
      <c r="P85" s="315"/>
      <c r="Q85" s="315"/>
      <c r="R85" s="315">
        <v>129347</v>
      </c>
      <c r="S85" s="315">
        <v>-2193989</v>
      </c>
      <c r="T85" s="315">
        <v>-2182275</v>
      </c>
      <c r="U85" s="315"/>
      <c r="V85" s="315"/>
      <c r="W85" s="315">
        <v>-2166120</v>
      </c>
      <c r="X85" s="315">
        <v>0</v>
      </c>
      <c r="Y85" s="315">
        <v>-16155</v>
      </c>
      <c r="Z85" s="315"/>
      <c r="AA85" s="315">
        <v>-11714</v>
      </c>
      <c r="AB85" s="315">
        <v>0</v>
      </c>
      <c r="AC85" s="315">
        <v>-10892</v>
      </c>
      <c r="AD85" s="315">
        <v>2401439</v>
      </c>
      <c r="AE85" s="315">
        <v>1978764</v>
      </c>
      <c r="AF85" s="315">
        <v>422675</v>
      </c>
      <c r="AG85" s="315">
        <v>422675</v>
      </c>
      <c r="AH85" s="315"/>
      <c r="AI85" s="315">
        <v>1722634</v>
      </c>
      <c r="AJ85" s="315">
        <v>292360</v>
      </c>
      <c r="AK85" s="315">
        <v>1373695</v>
      </c>
      <c r="AL85" s="315">
        <v>18928</v>
      </c>
      <c r="AM85" s="315">
        <v>61674</v>
      </c>
      <c r="AN85" s="315">
        <v>17873</v>
      </c>
      <c r="AO85" s="315">
        <v>40718</v>
      </c>
      <c r="AP85" s="315"/>
      <c r="AQ85" s="315">
        <v>6911</v>
      </c>
      <c r="AR85" s="315">
        <v>562521</v>
      </c>
      <c r="AS85" s="315"/>
      <c r="AT85" s="315"/>
      <c r="AU85" s="315">
        <v>-10892</v>
      </c>
      <c r="AV85" s="315">
        <v>735697</v>
      </c>
      <c r="AW85" s="315">
        <v>69871</v>
      </c>
      <c r="AX85" s="315">
        <v>120607</v>
      </c>
      <c r="AY85" s="315"/>
      <c r="AZ85" s="315"/>
      <c r="BA85" s="315"/>
      <c r="BB85" s="315"/>
      <c r="BC85" s="315"/>
      <c r="BD85" s="315">
        <v>545219</v>
      </c>
      <c r="BE85" s="315">
        <v>-547791</v>
      </c>
      <c r="BF85" s="315">
        <v>-43261</v>
      </c>
      <c r="BG85" s="315">
        <v>-43261</v>
      </c>
      <c r="BH85" s="315"/>
      <c r="BI85" s="315">
        <v>0</v>
      </c>
      <c r="BJ85" s="315">
        <v>-29245</v>
      </c>
      <c r="BK85" s="315">
        <v>-14016</v>
      </c>
      <c r="BL85" s="315">
        <v>-6952</v>
      </c>
      <c r="BM85" s="315">
        <v>-497578</v>
      </c>
      <c r="BN85" s="315">
        <v>187906</v>
      </c>
      <c r="BO85" s="315">
        <v>22407</v>
      </c>
      <c r="BP85" s="315">
        <v>7222</v>
      </c>
      <c r="BQ85" s="315">
        <v>17331</v>
      </c>
      <c r="BR85" s="315"/>
      <c r="BS85" s="315">
        <v>63600</v>
      </c>
      <c r="BT85" s="315"/>
      <c r="BU85" s="315"/>
      <c r="BV85" s="315"/>
      <c r="BW85" s="315"/>
      <c r="BX85" s="315">
        <v>77346</v>
      </c>
      <c r="BY85" s="315"/>
      <c r="BZ85" s="315"/>
      <c r="CA85" s="315">
        <v>-237971</v>
      </c>
      <c r="CB85" s="315">
        <v>442968</v>
      </c>
      <c r="CC85" s="315">
        <v>-22618</v>
      </c>
      <c r="CD85" s="315">
        <v>465586</v>
      </c>
      <c r="CE85" s="315">
        <v>204997</v>
      </c>
      <c r="CF85" s="315"/>
      <c r="CG85" s="315"/>
      <c r="CH85" s="315"/>
      <c r="CI85" s="315">
        <v>2696240</v>
      </c>
      <c r="CJ85" s="315">
        <v>902956</v>
      </c>
      <c r="CK85" s="315">
        <v>1793284</v>
      </c>
      <c r="CL85" s="315">
        <v>1688002</v>
      </c>
      <c r="CM85" s="315">
        <v>80825</v>
      </c>
      <c r="CN85" s="315">
        <v>24457</v>
      </c>
      <c r="CO85" s="315">
        <v>0</v>
      </c>
      <c r="CP85" s="315">
        <v>0</v>
      </c>
      <c r="CQ85" s="315">
        <v>24457</v>
      </c>
      <c r="CR85" s="315">
        <v>-2313295</v>
      </c>
      <c r="CS85" s="315">
        <v>-1381348</v>
      </c>
      <c r="CT85" s="315">
        <v>-1297309</v>
      </c>
      <c r="CU85" s="315">
        <v>0</v>
      </c>
      <c r="CV85" s="315">
        <v>-710</v>
      </c>
      <c r="CW85" s="315">
        <v>-83329</v>
      </c>
      <c r="CX85" s="315">
        <v>-867976</v>
      </c>
      <c r="CY85" s="315">
        <v>-740303</v>
      </c>
      <c r="CZ85" s="315">
        <v>-120000</v>
      </c>
      <c r="DA85" s="315">
        <v>-7673</v>
      </c>
      <c r="DB85" s="315">
        <v>0</v>
      </c>
      <c r="DC85" s="315">
        <v>-63971</v>
      </c>
      <c r="DD85" s="315">
        <v>382945</v>
      </c>
      <c r="DE85" s="315">
        <v>382945</v>
      </c>
      <c r="DF85" s="316"/>
      <c r="DG85" s="315"/>
      <c r="DH85" s="315"/>
      <c r="DI85" s="315">
        <v>1396096</v>
      </c>
      <c r="DJ85" s="315">
        <v>61471</v>
      </c>
      <c r="DK85" s="315">
        <v>15120</v>
      </c>
      <c r="DL85" s="315">
        <v>1078</v>
      </c>
      <c r="DM85" s="315">
        <v>772717</v>
      </c>
      <c r="DN85" s="315">
        <v>374513</v>
      </c>
      <c r="DO85" s="315">
        <v>53837</v>
      </c>
      <c r="DP85" s="315"/>
      <c r="DQ85" s="315"/>
      <c r="DR85" s="315">
        <v>117360</v>
      </c>
      <c r="DS85" s="315">
        <v>-23956</v>
      </c>
      <c r="DT85" s="315">
        <v>-3247</v>
      </c>
      <c r="DU85" s="315">
        <v>-36</v>
      </c>
      <c r="DV85" s="315">
        <v>-12</v>
      </c>
      <c r="DW85" s="315">
        <v>-284</v>
      </c>
      <c r="DX85" s="315"/>
      <c r="DY85" s="315"/>
      <c r="DZ85" s="315"/>
      <c r="EA85" s="315">
        <v>-17877</v>
      </c>
      <c r="EB85" s="315">
        <v>0</v>
      </c>
      <c r="EC85" s="315"/>
      <c r="ED85" s="315"/>
      <c r="EE85" s="315">
        <v>-2500</v>
      </c>
      <c r="EF85" s="315">
        <v>1372140</v>
      </c>
      <c r="EG85" s="315">
        <v>1372140</v>
      </c>
      <c r="EH85" s="316"/>
      <c r="EI85" s="315"/>
      <c r="EJ85" s="315"/>
      <c r="EK85" s="315">
        <v>58224</v>
      </c>
      <c r="EL85" s="315">
        <v>58224</v>
      </c>
      <c r="EM85" s="316"/>
      <c r="EN85" s="315"/>
      <c r="EO85" s="315"/>
      <c r="EP85" s="315">
        <v>15084</v>
      </c>
      <c r="EQ85" s="315">
        <v>15084</v>
      </c>
      <c r="ER85" s="316"/>
      <c r="ES85" s="315"/>
      <c r="ET85" s="315"/>
      <c r="EU85" s="315">
        <v>1066</v>
      </c>
      <c r="EV85" s="315">
        <v>1066</v>
      </c>
      <c r="EW85" s="316"/>
      <c r="EX85" s="315"/>
      <c r="EY85" s="315"/>
      <c r="EZ85" s="315">
        <v>772433</v>
      </c>
      <c r="FA85" s="315">
        <v>772433</v>
      </c>
      <c r="FB85" s="316"/>
      <c r="FC85" s="315"/>
      <c r="FD85" s="315"/>
      <c r="FE85" s="315">
        <v>356636</v>
      </c>
      <c r="FF85" s="315">
        <v>356636</v>
      </c>
      <c r="FG85" s="316"/>
      <c r="FH85" s="315"/>
      <c r="FI85" s="315"/>
      <c r="FJ85" s="315">
        <v>53837</v>
      </c>
      <c r="FK85" s="315">
        <v>53837</v>
      </c>
      <c r="FL85" s="316"/>
      <c r="FM85" s="315"/>
      <c r="FN85" s="315"/>
      <c r="FO85" s="315"/>
      <c r="FP85" s="315"/>
      <c r="FQ85" s="315">
        <v>114860</v>
      </c>
      <c r="FR85" s="315">
        <v>564143</v>
      </c>
      <c r="FS85" s="315">
        <v>-6350</v>
      </c>
      <c r="FT85" s="315">
        <v>557793</v>
      </c>
      <c r="FU85" s="315"/>
      <c r="FV85" s="315"/>
      <c r="FW85" s="315"/>
      <c r="FX85" s="315">
        <v>74519</v>
      </c>
      <c r="FY85" s="315">
        <v>75871</v>
      </c>
      <c r="FZ85" s="315"/>
      <c r="GA85" s="315"/>
      <c r="GB85" s="315"/>
      <c r="GC85" s="315">
        <v>62218</v>
      </c>
      <c r="GD85" s="315"/>
      <c r="GE85" s="315"/>
      <c r="GF85" s="315"/>
      <c r="GG85" s="315">
        <v>345185</v>
      </c>
      <c r="GH85" s="315">
        <v>288477</v>
      </c>
      <c r="GI85" s="315">
        <v>5246</v>
      </c>
      <c r="GJ85" s="315">
        <v>51462</v>
      </c>
      <c r="GL85"/>
      <c r="GM85"/>
      <c r="GN85"/>
      <c r="GO85"/>
    </row>
    <row r="86" spans="1:197">
      <c r="A86" s="98" t="s">
        <v>19</v>
      </c>
      <c r="B86" s="98">
        <v>7</v>
      </c>
      <c r="C86" s="98" t="s">
        <v>223</v>
      </c>
      <c r="D86" s="315">
        <v>16906926</v>
      </c>
      <c r="E86" s="315">
        <v>-4959497</v>
      </c>
      <c r="F86" s="315">
        <v>-10891</v>
      </c>
      <c r="G86" s="315">
        <v>11936538</v>
      </c>
      <c r="H86" s="315">
        <v>11513863</v>
      </c>
      <c r="I86" s="315">
        <v>422675</v>
      </c>
      <c r="J86" s="315">
        <v>422675</v>
      </c>
      <c r="K86" s="315"/>
      <c r="L86" s="315">
        <v>6540543</v>
      </c>
      <c r="M86" s="315">
        <v>5205482</v>
      </c>
      <c r="N86" s="315">
        <v>70395</v>
      </c>
      <c r="O86" s="315"/>
      <c r="P86" s="315"/>
      <c r="Q86" s="315"/>
      <c r="R86" s="315">
        <v>1264666</v>
      </c>
      <c r="S86" s="315">
        <v>-2465302</v>
      </c>
      <c r="T86" s="315">
        <v>-2457614</v>
      </c>
      <c r="U86" s="315"/>
      <c r="V86" s="315"/>
      <c r="W86" s="315">
        <v>-2439652</v>
      </c>
      <c r="X86" s="315">
        <v>0</v>
      </c>
      <c r="Y86" s="315">
        <v>-17962</v>
      </c>
      <c r="Z86" s="315"/>
      <c r="AA86" s="315">
        <v>-7688</v>
      </c>
      <c r="AB86" s="315">
        <v>0</v>
      </c>
      <c r="AC86" s="315">
        <v>-10891</v>
      </c>
      <c r="AD86" s="315">
        <v>4064350</v>
      </c>
      <c r="AE86" s="315">
        <v>3641675</v>
      </c>
      <c r="AF86" s="315">
        <v>422675</v>
      </c>
      <c r="AG86" s="315">
        <v>422675</v>
      </c>
      <c r="AH86" s="315"/>
      <c r="AI86" s="315">
        <v>5198768</v>
      </c>
      <c r="AJ86" s="315">
        <v>687571</v>
      </c>
      <c r="AK86" s="315">
        <v>1658402</v>
      </c>
      <c r="AL86" s="315">
        <v>2808297</v>
      </c>
      <c r="AM86" s="315">
        <v>415580</v>
      </c>
      <c r="AN86" s="315">
        <v>188705</v>
      </c>
      <c r="AO86" s="315">
        <v>47542</v>
      </c>
      <c r="AP86" s="315"/>
      <c r="AQ86" s="315">
        <v>611865</v>
      </c>
      <c r="AR86" s="315">
        <v>-2387219</v>
      </c>
      <c r="AS86" s="315"/>
      <c r="AT86" s="315"/>
      <c r="AU86" s="315">
        <v>-10891</v>
      </c>
      <c r="AV86" s="315">
        <v>1113137</v>
      </c>
      <c r="AW86" s="315">
        <v>9845</v>
      </c>
      <c r="AX86" s="315">
        <v>833388</v>
      </c>
      <c r="AY86" s="315"/>
      <c r="AZ86" s="315"/>
      <c r="BA86" s="315"/>
      <c r="BB86" s="315"/>
      <c r="BC86" s="315"/>
      <c r="BD86" s="315">
        <v>269904</v>
      </c>
      <c r="BE86" s="315">
        <v>-53678</v>
      </c>
      <c r="BF86" s="315">
        <v>-52408</v>
      </c>
      <c r="BG86" s="315">
        <v>-52408</v>
      </c>
      <c r="BH86" s="315"/>
      <c r="BI86" s="315">
        <v>0</v>
      </c>
      <c r="BJ86" s="315">
        <v>0</v>
      </c>
      <c r="BK86" s="315">
        <v>-52408</v>
      </c>
      <c r="BL86" s="315">
        <v>-1270</v>
      </c>
      <c r="BM86" s="315">
        <v>0</v>
      </c>
      <c r="BN86" s="315">
        <v>1059459</v>
      </c>
      <c r="BO86" s="315">
        <v>169259</v>
      </c>
      <c r="BP86" s="315">
        <v>80075</v>
      </c>
      <c r="BQ86" s="315">
        <v>20240</v>
      </c>
      <c r="BR86" s="315"/>
      <c r="BS86" s="315">
        <v>8905</v>
      </c>
      <c r="BT86" s="315"/>
      <c r="BU86" s="315"/>
      <c r="BV86" s="315"/>
      <c r="BW86" s="315"/>
      <c r="BX86" s="315">
        <v>780980</v>
      </c>
      <c r="BY86" s="315"/>
      <c r="BZ86" s="315"/>
      <c r="CA86" s="315">
        <v>457101</v>
      </c>
      <c r="CB86" s="315">
        <v>-39629</v>
      </c>
      <c r="CC86" s="315">
        <v>-9765</v>
      </c>
      <c r="CD86" s="315">
        <v>-29864</v>
      </c>
      <c r="CE86" s="315">
        <v>417472</v>
      </c>
      <c r="CF86" s="315"/>
      <c r="CG86" s="315"/>
      <c r="CH86" s="315"/>
      <c r="CI86" s="315">
        <v>6959043</v>
      </c>
      <c r="CJ86" s="315">
        <v>965909</v>
      </c>
      <c r="CK86" s="315">
        <v>5993134</v>
      </c>
      <c r="CL86" s="315">
        <v>1814548</v>
      </c>
      <c r="CM86" s="315">
        <v>4150303</v>
      </c>
      <c r="CN86" s="315">
        <v>28283</v>
      </c>
      <c r="CO86" s="315">
        <v>0</v>
      </c>
      <c r="CP86" s="315">
        <v>0</v>
      </c>
      <c r="CQ86" s="315">
        <v>28283</v>
      </c>
      <c r="CR86" s="315">
        <v>-2364423</v>
      </c>
      <c r="CS86" s="315">
        <v>-1407609</v>
      </c>
      <c r="CT86" s="315">
        <v>-1161786</v>
      </c>
      <c r="CU86" s="315">
        <v>0</v>
      </c>
      <c r="CV86" s="315">
        <v>-235</v>
      </c>
      <c r="CW86" s="315">
        <v>-245588</v>
      </c>
      <c r="CX86" s="315">
        <v>-721199</v>
      </c>
      <c r="CY86" s="315">
        <v>-625395</v>
      </c>
      <c r="CZ86" s="315">
        <v>-70000</v>
      </c>
      <c r="DA86" s="315">
        <v>-25804</v>
      </c>
      <c r="DB86" s="315">
        <v>-235615</v>
      </c>
      <c r="DC86" s="315">
        <v>0</v>
      </c>
      <c r="DD86" s="315">
        <v>4594620</v>
      </c>
      <c r="DE86" s="315">
        <v>4594620</v>
      </c>
      <c r="DF86" s="316"/>
      <c r="DG86" s="315"/>
      <c r="DH86" s="315"/>
      <c r="DI86" s="315">
        <v>1517743</v>
      </c>
      <c r="DJ86" s="315">
        <v>54813</v>
      </c>
      <c r="DK86" s="315">
        <v>16853</v>
      </c>
      <c r="DL86" s="315">
        <v>1088</v>
      </c>
      <c r="DM86" s="315">
        <v>806481</v>
      </c>
      <c r="DN86" s="315">
        <v>451368</v>
      </c>
      <c r="DO86" s="315">
        <v>54643</v>
      </c>
      <c r="DP86" s="315"/>
      <c r="DQ86" s="315"/>
      <c r="DR86" s="315">
        <v>132497</v>
      </c>
      <c r="DS86" s="315">
        <v>-25856</v>
      </c>
      <c r="DT86" s="315">
        <v>-11163</v>
      </c>
      <c r="DU86" s="315">
        <v>-1569</v>
      </c>
      <c r="DV86" s="315">
        <v>-36</v>
      </c>
      <c r="DW86" s="315">
        <v>-1962</v>
      </c>
      <c r="DX86" s="315"/>
      <c r="DY86" s="315"/>
      <c r="DZ86" s="315"/>
      <c r="EA86" s="315">
        <v>-9491</v>
      </c>
      <c r="EB86" s="315">
        <v>0</v>
      </c>
      <c r="EC86" s="315"/>
      <c r="ED86" s="315"/>
      <c r="EE86" s="315">
        <v>-1635</v>
      </c>
      <c r="EF86" s="315">
        <v>1491887</v>
      </c>
      <c r="EG86" s="315">
        <v>1491887</v>
      </c>
      <c r="EH86" s="316"/>
      <c r="EI86" s="315"/>
      <c r="EJ86" s="315"/>
      <c r="EK86" s="315">
        <v>43650</v>
      </c>
      <c r="EL86" s="315">
        <v>43650</v>
      </c>
      <c r="EM86" s="316"/>
      <c r="EN86" s="315"/>
      <c r="EO86" s="315"/>
      <c r="EP86" s="315">
        <v>15284</v>
      </c>
      <c r="EQ86" s="315">
        <v>15284</v>
      </c>
      <c r="ER86" s="316"/>
      <c r="ES86" s="315"/>
      <c r="ET86" s="315"/>
      <c r="EU86" s="315">
        <v>1052</v>
      </c>
      <c r="EV86" s="315">
        <v>1052</v>
      </c>
      <c r="EW86" s="316"/>
      <c r="EX86" s="315"/>
      <c r="EY86" s="315"/>
      <c r="EZ86" s="315">
        <v>804519</v>
      </c>
      <c r="FA86" s="315">
        <v>804519</v>
      </c>
      <c r="FB86" s="316"/>
      <c r="FC86" s="315"/>
      <c r="FD86" s="315"/>
      <c r="FE86" s="315">
        <v>441877</v>
      </c>
      <c r="FF86" s="315">
        <v>441877</v>
      </c>
      <c r="FG86" s="316"/>
      <c r="FH86" s="315"/>
      <c r="FI86" s="315"/>
      <c r="FJ86" s="315">
        <v>54643</v>
      </c>
      <c r="FK86" s="315">
        <v>54643</v>
      </c>
      <c r="FL86" s="316"/>
      <c r="FM86" s="315"/>
      <c r="FN86" s="315"/>
      <c r="FO86" s="315"/>
      <c r="FP86" s="315"/>
      <c r="FQ86" s="315">
        <v>130862</v>
      </c>
      <c r="FR86" s="315">
        <v>319359</v>
      </c>
      <c r="FS86" s="315">
        <v>-10609</v>
      </c>
      <c r="FT86" s="315">
        <v>308750</v>
      </c>
      <c r="FU86" s="315"/>
      <c r="FV86" s="315"/>
      <c r="FW86" s="315"/>
      <c r="FX86" s="315">
        <v>85403</v>
      </c>
      <c r="FY86" s="315">
        <v>76117</v>
      </c>
      <c r="FZ86" s="315"/>
      <c r="GA86" s="315"/>
      <c r="GB86" s="315"/>
      <c r="GC86" s="315">
        <v>65275.999999999993</v>
      </c>
      <c r="GD86" s="315"/>
      <c r="GE86" s="315"/>
      <c r="GF86" s="315"/>
      <c r="GG86" s="315">
        <v>81954</v>
      </c>
      <c r="GH86" s="315">
        <v>29244</v>
      </c>
      <c r="GI86" s="315">
        <v>-2323</v>
      </c>
      <c r="GJ86" s="315">
        <v>55033</v>
      </c>
      <c r="GL86"/>
      <c r="GM86"/>
      <c r="GN86"/>
      <c r="GO86"/>
    </row>
    <row r="87" spans="1:197">
      <c r="A87" s="98" t="s">
        <v>19</v>
      </c>
      <c r="B87" s="98">
        <v>8</v>
      </c>
      <c r="C87" s="98" t="s">
        <v>224</v>
      </c>
      <c r="D87" s="315">
        <v>9203350</v>
      </c>
      <c r="E87" s="315">
        <v>-1936356</v>
      </c>
      <c r="F87" s="315">
        <v>-10891</v>
      </c>
      <c r="G87" s="315">
        <v>7256103</v>
      </c>
      <c r="H87" s="315">
        <v>6833428</v>
      </c>
      <c r="I87" s="315">
        <v>422675</v>
      </c>
      <c r="J87" s="315">
        <v>422675</v>
      </c>
      <c r="K87" s="315"/>
      <c r="L87" s="315">
        <v>1041680</v>
      </c>
      <c r="M87" s="315">
        <v>952102</v>
      </c>
      <c r="N87" s="315">
        <v>39419</v>
      </c>
      <c r="O87" s="315"/>
      <c r="P87" s="315"/>
      <c r="Q87" s="315"/>
      <c r="R87" s="315">
        <v>50159</v>
      </c>
      <c r="S87" s="315">
        <v>-608543</v>
      </c>
      <c r="T87" s="315">
        <v>-595118</v>
      </c>
      <c r="U87" s="315"/>
      <c r="V87" s="315"/>
      <c r="W87" s="315">
        <v>-585272</v>
      </c>
      <c r="X87" s="315">
        <v>0</v>
      </c>
      <c r="Y87" s="315">
        <v>-9846</v>
      </c>
      <c r="Z87" s="315"/>
      <c r="AA87" s="315">
        <v>-13425</v>
      </c>
      <c r="AB87" s="315">
        <v>0</v>
      </c>
      <c r="AC87" s="315">
        <v>-10891</v>
      </c>
      <c r="AD87" s="315">
        <v>422246</v>
      </c>
      <c r="AE87" s="315">
        <v>-429</v>
      </c>
      <c r="AF87" s="315">
        <v>422675</v>
      </c>
      <c r="AG87" s="315">
        <v>422675</v>
      </c>
      <c r="AH87" s="315"/>
      <c r="AI87" s="315">
        <v>939253</v>
      </c>
      <c r="AJ87" s="315">
        <v>823485</v>
      </c>
      <c r="AK87" s="315">
        <v>63051</v>
      </c>
      <c r="AL87" s="315">
        <v>13076</v>
      </c>
      <c r="AM87" s="315">
        <v>34746</v>
      </c>
      <c r="AN87" s="315">
        <v>3442</v>
      </c>
      <c r="AO87" s="315">
        <v>5085</v>
      </c>
      <c r="AP87" s="315"/>
      <c r="AQ87" s="315">
        <v>6310</v>
      </c>
      <c r="AR87" s="315">
        <v>-555699</v>
      </c>
      <c r="AS87" s="315"/>
      <c r="AT87" s="315"/>
      <c r="AU87" s="315">
        <v>-10891</v>
      </c>
      <c r="AV87" s="315">
        <v>5751179</v>
      </c>
      <c r="AW87" s="315">
        <v>4540</v>
      </c>
      <c r="AX87" s="315">
        <v>5730379</v>
      </c>
      <c r="AY87" s="315"/>
      <c r="AZ87" s="315"/>
      <c r="BA87" s="315"/>
      <c r="BB87" s="315"/>
      <c r="BC87" s="315"/>
      <c r="BD87" s="315">
        <v>16260</v>
      </c>
      <c r="BE87" s="315">
        <v>-20825</v>
      </c>
      <c r="BF87" s="315">
        <v>-17657</v>
      </c>
      <c r="BG87" s="315">
        <v>-17657</v>
      </c>
      <c r="BH87" s="315"/>
      <c r="BI87" s="315">
        <v>0</v>
      </c>
      <c r="BJ87" s="315">
        <v>0</v>
      </c>
      <c r="BK87" s="315">
        <v>-17657</v>
      </c>
      <c r="BL87" s="315">
        <v>-3168</v>
      </c>
      <c r="BM87" s="315">
        <v>0</v>
      </c>
      <c r="BN87" s="315">
        <v>5730354</v>
      </c>
      <c r="BO87" s="315">
        <v>12888</v>
      </c>
      <c r="BP87" s="315">
        <v>1072</v>
      </c>
      <c r="BQ87" s="315">
        <v>2164</v>
      </c>
      <c r="BR87" s="315"/>
      <c r="BS87" s="315">
        <v>1508</v>
      </c>
      <c r="BT87" s="315"/>
      <c r="BU87" s="315"/>
      <c r="BV87" s="315"/>
      <c r="BW87" s="315"/>
      <c r="BX87" s="315">
        <v>5712722</v>
      </c>
      <c r="BY87" s="315"/>
      <c r="BZ87" s="315"/>
      <c r="CA87" s="315">
        <v>147012</v>
      </c>
      <c r="CB87" s="315">
        <v>-210706</v>
      </c>
      <c r="CC87" s="315">
        <v>-17084</v>
      </c>
      <c r="CD87" s="315">
        <v>-193622</v>
      </c>
      <c r="CE87" s="315">
        <v>-63694</v>
      </c>
      <c r="CF87" s="315"/>
      <c r="CG87" s="315"/>
      <c r="CH87" s="315"/>
      <c r="CI87" s="315">
        <v>638951</v>
      </c>
      <c r="CJ87" s="315">
        <v>486576</v>
      </c>
      <c r="CK87" s="315">
        <v>152375</v>
      </c>
      <c r="CL87" s="315">
        <v>70365</v>
      </c>
      <c r="CM87" s="315">
        <v>56314</v>
      </c>
      <c r="CN87" s="315">
        <v>25696</v>
      </c>
      <c r="CO87" s="315">
        <v>0</v>
      </c>
      <c r="CP87" s="315">
        <v>0</v>
      </c>
      <c r="CQ87" s="315">
        <v>25696</v>
      </c>
      <c r="CR87" s="315">
        <v>-1086467</v>
      </c>
      <c r="CS87" s="315">
        <v>-769214</v>
      </c>
      <c r="CT87" s="315">
        <v>-522316</v>
      </c>
      <c r="CU87" s="315">
        <v>0</v>
      </c>
      <c r="CV87" s="315">
        <v>-49</v>
      </c>
      <c r="CW87" s="315">
        <v>-246849</v>
      </c>
      <c r="CX87" s="315">
        <v>-317253</v>
      </c>
      <c r="CY87" s="315">
        <v>-273094</v>
      </c>
      <c r="CZ87" s="315">
        <v>-22464</v>
      </c>
      <c r="DA87" s="315">
        <v>-21695</v>
      </c>
      <c r="DB87" s="315">
        <v>0</v>
      </c>
      <c r="DC87" s="315">
        <v>0</v>
      </c>
      <c r="DD87" s="315">
        <v>-447516</v>
      </c>
      <c r="DE87" s="315">
        <v>-447516</v>
      </c>
      <c r="DF87" s="316"/>
      <c r="DG87" s="315"/>
      <c r="DH87" s="315"/>
      <c r="DI87" s="315">
        <v>1462443</v>
      </c>
      <c r="DJ87" s="315">
        <v>79821</v>
      </c>
      <c r="DK87" s="315">
        <v>20069</v>
      </c>
      <c r="DL87" s="315">
        <v>2238</v>
      </c>
      <c r="DM87" s="315">
        <v>813273</v>
      </c>
      <c r="DN87" s="315">
        <v>394921</v>
      </c>
      <c r="DO87" s="315">
        <v>54275</v>
      </c>
      <c r="DP87" s="315"/>
      <c r="DQ87" s="315"/>
      <c r="DR87" s="315">
        <v>97846</v>
      </c>
      <c r="DS87" s="315">
        <v>-6062</v>
      </c>
      <c r="DT87" s="315">
        <v>-655</v>
      </c>
      <c r="DU87" s="315">
        <v>-84</v>
      </c>
      <c r="DV87" s="315">
        <v>-6</v>
      </c>
      <c r="DW87" s="315">
        <v>-3875</v>
      </c>
      <c r="DX87" s="315"/>
      <c r="DY87" s="315"/>
      <c r="DZ87" s="315"/>
      <c r="EA87" s="315">
        <v>0</v>
      </c>
      <c r="EB87" s="315">
        <v>0</v>
      </c>
      <c r="EC87" s="315"/>
      <c r="ED87" s="315"/>
      <c r="EE87" s="315">
        <v>-1442</v>
      </c>
      <c r="EF87" s="315">
        <v>1456381</v>
      </c>
      <c r="EG87" s="315">
        <v>1456381</v>
      </c>
      <c r="EH87" s="316"/>
      <c r="EI87" s="315"/>
      <c r="EJ87" s="315"/>
      <c r="EK87" s="315">
        <v>79166</v>
      </c>
      <c r="EL87" s="315">
        <v>79166</v>
      </c>
      <c r="EM87" s="316"/>
      <c r="EN87" s="315"/>
      <c r="EO87" s="315"/>
      <c r="EP87" s="315">
        <v>19985</v>
      </c>
      <c r="EQ87" s="315">
        <v>19985</v>
      </c>
      <c r="ER87" s="316"/>
      <c r="ES87" s="315"/>
      <c r="ET87" s="315"/>
      <c r="EU87" s="315">
        <v>2232</v>
      </c>
      <c r="EV87" s="315">
        <v>2232</v>
      </c>
      <c r="EW87" s="316"/>
      <c r="EX87" s="315"/>
      <c r="EY87" s="315"/>
      <c r="EZ87" s="315">
        <v>809398</v>
      </c>
      <c r="FA87" s="315">
        <v>809398</v>
      </c>
      <c r="FB87" s="316"/>
      <c r="FC87" s="315"/>
      <c r="FD87" s="315"/>
      <c r="FE87" s="315">
        <v>394921</v>
      </c>
      <c r="FF87" s="315">
        <v>394921</v>
      </c>
      <c r="FG87" s="316"/>
      <c r="FH87" s="315"/>
      <c r="FI87" s="315"/>
      <c r="FJ87" s="315">
        <v>54275</v>
      </c>
      <c r="FK87" s="315">
        <v>54275</v>
      </c>
      <c r="FL87" s="316"/>
      <c r="FM87" s="315"/>
      <c r="FN87" s="315"/>
      <c r="FO87" s="315"/>
      <c r="FP87" s="315"/>
      <c r="FQ87" s="315">
        <v>96404</v>
      </c>
      <c r="FR87" s="315">
        <v>162085</v>
      </c>
      <c r="FS87" s="315">
        <v>-3753</v>
      </c>
      <c r="FT87" s="315">
        <v>158332</v>
      </c>
      <c r="FU87" s="315"/>
      <c r="FV87" s="315"/>
      <c r="FW87" s="315"/>
      <c r="FX87" s="315">
        <v>89440</v>
      </c>
      <c r="FY87" s="315">
        <v>1546</v>
      </c>
      <c r="FZ87" s="315"/>
      <c r="GA87" s="315"/>
      <c r="GB87" s="315"/>
      <c r="GC87" s="315">
        <v>34586</v>
      </c>
      <c r="GD87" s="315"/>
      <c r="GE87" s="315"/>
      <c r="GF87" s="315"/>
      <c r="GG87" s="315">
        <v>32760</v>
      </c>
      <c r="GH87" s="315">
        <v>1380</v>
      </c>
      <c r="GI87" s="315">
        <v>3940</v>
      </c>
      <c r="GJ87" s="315">
        <v>27440</v>
      </c>
      <c r="GL87"/>
      <c r="GM87"/>
      <c r="GN87"/>
      <c r="GO87"/>
    </row>
    <row r="88" spans="1:197">
      <c r="A88" s="98" t="s">
        <v>19</v>
      </c>
      <c r="B88" s="98">
        <v>9</v>
      </c>
      <c r="C88" s="98" t="s">
        <v>225</v>
      </c>
      <c r="D88" s="315">
        <v>10691915</v>
      </c>
      <c r="E88" s="315">
        <v>-1831415</v>
      </c>
      <c r="F88" s="315">
        <v>-10892</v>
      </c>
      <c r="G88" s="315">
        <v>8849608</v>
      </c>
      <c r="H88" s="315">
        <v>8426933</v>
      </c>
      <c r="I88" s="315">
        <v>422675</v>
      </c>
      <c r="J88" s="315">
        <v>422675</v>
      </c>
      <c r="K88" s="315"/>
      <c r="L88" s="315">
        <v>3686266</v>
      </c>
      <c r="M88" s="315">
        <v>3128087</v>
      </c>
      <c r="N88" s="315">
        <v>38894</v>
      </c>
      <c r="O88" s="315"/>
      <c r="P88" s="315"/>
      <c r="Q88" s="315"/>
      <c r="R88" s="315">
        <v>519285</v>
      </c>
      <c r="S88" s="315">
        <v>-574256</v>
      </c>
      <c r="T88" s="315">
        <v>-567908</v>
      </c>
      <c r="U88" s="315"/>
      <c r="V88" s="315"/>
      <c r="W88" s="315">
        <v>-554890</v>
      </c>
      <c r="X88" s="315">
        <v>0</v>
      </c>
      <c r="Y88" s="315">
        <v>-13018</v>
      </c>
      <c r="Z88" s="315"/>
      <c r="AA88" s="315">
        <v>-6348</v>
      </c>
      <c r="AB88" s="315">
        <v>0</v>
      </c>
      <c r="AC88" s="315">
        <v>-10892</v>
      </c>
      <c r="AD88" s="315">
        <v>3101118</v>
      </c>
      <c r="AE88" s="315">
        <v>2678443</v>
      </c>
      <c r="AF88" s="315">
        <v>422675</v>
      </c>
      <c r="AG88" s="315">
        <v>422675</v>
      </c>
      <c r="AH88" s="315"/>
      <c r="AI88" s="315">
        <v>3123031</v>
      </c>
      <c r="AJ88" s="315">
        <v>266110</v>
      </c>
      <c r="AK88" s="315">
        <v>2806714</v>
      </c>
      <c r="AL88" s="315">
        <v>8017</v>
      </c>
      <c r="AM88" s="315">
        <v>431429</v>
      </c>
      <c r="AN88" s="315">
        <v>31298</v>
      </c>
      <c r="AO88" s="315">
        <v>50420</v>
      </c>
      <c r="AP88" s="315"/>
      <c r="AQ88" s="315">
        <v>4846</v>
      </c>
      <c r="AR88" s="315">
        <v>-529014</v>
      </c>
      <c r="AS88" s="315"/>
      <c r="AT88" s="315"/>
      <c r="AU88" s="315">
        <v>-10892</v>
      </c>
      <c r="AV88" s="315">
        <v>407087</v>
      </c>
      <c r="AW88" s="315">
        <v>1794</v>
      </c>
      <c r="AX88" s="315">
        <v>186793</v>
      </c>
      <c r="AY88" s="315"/>
      <c r="AZ88" s="315"/>
      <c r="BA88" s="315"/>
      <c r="BB88" s="315"/>
      <c r="BC88" s="315"/>
      <c r="BD88" s="315">
        <v>218500</v>
      </c>
      <c r="BE88" s="315">
        <v>-46450</v>
      </c>
      <c r="BF88" s="315">
        <v>-36790</v>
      </c>
      <c r="BG88" s="315">
        <v>-36790</v>
      </c>
      <c r="BH88" s="315"/>
      <c r="BI88" s="315">
        <v>0</v>
      </c>
      <c r="BJ88" s="315">
        <v>0</v>
      </c>
      <c r="BK88" s="315">
        <v>-36790</v>
      </c>
      <c r="BL88" s="315">
        <v>-9660</v>
      </c>
      <c r="BM88" s="315">
        <v>0</v>
      </c>
      <c r="BN88" s="315">
        <v>360637</v>
      </c>
      <c r="BO88" s="315">
        <v>183712</v>
      </c>
      <c r="BP88" s="315">
        <v>12934</v>
      </c>
      <c r="BQ88" s="315">
        <v>21466</v>
      </c>
      <c r="BR88" s="315"/>
      <c r="BS88" s="315">
        <v>-7478</v>
      </c>
      <c r="BT88" s="315"/>
      <c r="BU88" s="315"/>
      <c r="BV88" s="315"/>
      <c r="BW88" s="315"/>
      <c r="BX88" s="315">
        <v>150003</v>
      </c>
      <c r="BY88" s="315"/>
      <c r="BZ88" s="315"/>
      <c r="CA88" s="315">
        <v>165212</v>
      </c>
      <c r="CB88" s="315">
        <v>-6534</v>
      </c>
      <c r="CC88" s="315">
        <v>-6534</v>
      </c>
      <c r="CD88" s="315">
        <v>0</v>
      </c>
      <c r="CE88" s="315">
        <v>158678</v>
      </c>
      <c r="CF88" s="315"/>
      <c r="CG88" s="315"/>
      <c r="CH88" s="315"/>
      <c r="CI88" s="315">
        <v>4580906</v>
      </c>
      <c r="CJ88" s="315">
        <v>1259946</v>
      </c>
      <c r="CK88" s="315">
        <v>3320960</v>
      </c>
      <c r="CL88" s="315">
        <v>3232321</v>
      </c>
      <c r="CM88" s="315">
        <v>58185</v>
      </c>
      <c r="CN88" s="315">
        <v>30454</v>
      </c>
      <c r="CO88" s="315">
        <v>0</v>
      </c>
      <c r="CP88" s="315">
        <v>0</v>
      </c>
      <c r="CQ88" s="315">
        <v>30454</v>
      </c>
      <c r="CR88" s="315">
        <v>-1161549</v>
      </c>
      <c r="CS88" s="315">
        <v>-426519</v>
      </c>
      <c r="CT88" s="315">
        <v>-238019</v>
      </c>
      <c r="CU88" s="315">
        <v>0</v>
      </c>
      <c r="CV88" s="315">
        <v>-112</v>
      </c>
      <c r="CW88" s="315">
        <v>-188388</v>
      </c>
      <c r="CX88" s="315">
        <v>-675550</v>
      </c>
      <c r="CY88" s="315">
        <v>-652507</v>
      </c>
      <c r="CZ88" s="315">
        <v>-20000</v>
      </c>
      <c r="DA88" s="315">
        <v>-3043</v>
      </c>
      <c r="DB88" s="315">
        <v>0</v>
      </c>
      <c r="DC88" s="315">
        <v>-59480</v>
      </c>
      <c r="DD88" s="315">
        <v>3419357</v>
      </c>
      <c r="DE88" s="315">
        <v>3419357</v>
      </c>
      <c r="DF88" s="316"/>
      <c r="DG88" s="315"/>
      <c r="DH88" s="315"/>
      <c r="DI88" s="315">
        <v>1537856</v>
      </c>
      <c r="DJ88" s="315">
        <v>77149</v>
      </c>
      <c r="DK88" s="315">
        <v>21053</v>
      </c>
      <c r="DL88" s="315">
        <v>1419</v>
      </c>
      <c r="DM88" s="315">
        <v>814062</v>
      </c>
      <c r="DN88" s="315">
        <v>492791</v>
      </c>
      <c r="DO88" s="315">
        <v>54813</v>
      </c>
      <c r="DP88" s="315"/>
      <c r="DQ88" s="315"/>
      <c r="DR88" s="315">
        <v>76569</v>
      </c>
      <c r="DS88" s="315">
        <v>-38209</v>
      </c>
      <c r="DT88" s="315">
        <v>-5495</v>
      </c>
      <c r="DU88" s="315">
        <v>-90</v>
      </c>
      <c r="DV88" s="315">
        <v>-6</v>
      </c>
      <c r="DW88" s="315">
        <v>-548</v>
      </c>
      <c r="DX88" s="315"/>
      <c r="DY88" s="315"/>
      <c r="DZ88" s="315"/>
      <c r="EA88" s="315">
        <v>-29215</v>
      </c>
      <c r="EB88" s="315">
        <v>-48</v>
      </c>
      <c r="EC88" s="315"/>
      <c r="ED88" s="315"/>
      <c r="EE88" s="315">
        <v>-2807</v>
      </c>
      <c r="EF88" s="315">
        <v>1499647</v>
      </c>
      <c r="EG88" s="315">
        <v>1499647</v>
      </c>
      <c r="EH88" s="316"/>
      <c r="EI88" s="315"/>
      <c r="EJ88" s="315"/>
      <c r="EK88" s="315">
        <v>71654</v>
      </c>
      <c r="EL88" s="315">
        <v>71654</v>
      </c>
      <c r="EM88" s="316"/>
      <c r="EN88" s="315"/>
      <c r="EO88" s="315"/>
      <c r="EP88" s="315">
        <v>20963</v>
      </c>
      <c r="EQ88" s="315">
        <v>20963</v>
      </c>
      <c r="ER88" s="316"/>
      <c r="ES88" s="315"/>
      <c r="ET88" s="315"/>
      <c r="EU88" s="315">
        <v>1413</v>
      </c>
      <c r="EV88" s="315">
        <v>1413</v>
      </c>
      <c r="EW88" s="316"/>
      <c r="EX88" s="315"/>
      <c r="EY88" s="315"/>
      <c r="EZ88" s="315">
        <v>813514</v>
      </c>
      <c r="FA88" s="315">
        <v>813514</v>
      </c>
      <c r="FB88" s="316"/>
      <c r="FC88" s="315"/>
      <c r="FD88" s="315"/>
      <c r="FE88" s="315">
        <v>463576</v>
      </c>
      <c r="FF88" s="315">
        <v>463576</v>
      </c>
      <c r="FG88" s="316"/>
      <c r="FH88" s="315"/>
      <c r="FI88" s="315"/>
      <c r="FJ88" s="315">
        <v>54765</v>
      </c>
      <c r="FK88" s="315">
        <v>54765</v>
      </c>
      <c r="FL88" s="316"/>
      <c r="FM88" s="315"/>
      <c r="FN88" s="315"/>
      <c r="FO88" s="315"/>
      <c r="FP88" s="315"/>
      <c r="FQ88" s="315">
        <v>73762</v>
      </c>
      <c r="FR88" s="315">
        <v>314588</v>
      </c>
      <c r="FS88" s="315">
        <v>-4417</v>
      </c>
      <c r="FT88" s="315">
        <v>310171</v>
      </c>
      <c r="FU88" s="315"/>
      <c r="FV88" s="315"/>
      <c r="FW88" s="315"/>
      <c r="FX88" s="315">
        <v>75513</v>
      </c>
      <c r="FY88" s="315">
        <v>148032</v>
      </c>
      <c r="FZ88" s="315"/>
      <c r="GA88" s="315"/>
      <c r="GB88" s="315"/>
      <c r="GC88" s="315">
        <v>42429</v>
      </c>
      <c r="GD88" s="315"/>
      <c r="GE88" s="315"/>
      <c r="GF88" s="315"/>
      <c r="GG88" s="315">
        <v>44197</v>
      </c>
      <c r="GH88" s="315">
        <v>1149</v>
      </c>
      <c r="GI88" s="315">
        <v>1514</v>
      </c>
      <c r="GJ88" s="315">
        <v>41534</v>
      </c>
      <c r="GL88"/>
      <c r="GM88"/>
      <c r="GN88"/>
      <c r="GO88"/>
    </row>
    <row r="89" spans="1:197">
      <c r="A89" s="98" t="s">
        <v>19</v>
      </c>
      <c r="B89" s="98">
        <v>10</v>
      </c>
      <c r="C89" s="98" t="s">
        <v>226</v>
      </c>
      <c r="D89" s="315">
        <v>19386768</v>
      </c>
      <c r="E89" s="315">
        <v>-1955107</v>
      </c>
      <c r="F89" s="315">
        <v>-10891</v>
      </c>
      <c r="G89" s="315">
        <v>17420770</v>
      </c>
      <c r="H89" s="315">
        <v>16998095</v>
      </c>
      <c r="I89" s="315">
        <v>422675</v>
      </c>
      <c r="J89" s="315">
        <v>422675</v>
      </c>
      <c r="K89" s="315"/>
      <c r="L89" s="315">
        <v>5787148</v>
      </c>
      <c r="M89" s="315">
        <v>4618063</v>
      </c>
      <c r="N89" s="315">
        <v>45405</v>
      </c>
      <c r="O89" s="315"/>
      <c r="P89" s="315"/>
      <c r="Q89" s="315"/>
      <c r="R89" s="315">
        <v>1123680</v>
      </c>
      <c r="S89" s="315">
        <v>-352700</v>
      </c>
      <c r="T89" s="315">
        <v>-341599</v>
      </c>
      <c r="U89" s="315"/>
      <c r="V89" s="315"/>
      <c r="W89" s="315">
        <v>-327089</v>
      </c>
      <c r="X89" s="315">
        <v>0</v>
      </c>
      <c r="Y89" s="315">
        <v>-14510</v>
      </c>
      <c r="Z89" s="315"/>
      <c r="AA89" s="315">
        <v>-11101</v>
      </c>
      <c r="AB89" s="315">
        <v>0</v>
      </c>
      <c r="AC89" s="315">
        <v>-10891</v>
      </c>
      <c r="AD89" s="315">
        <v>5423557</v>
      </c>
      <c r="AE89" s="315">
        <v>5000882</v>
      </c>
      <c r="AF89" s="315">
        <v>422675</v>
      </c>
      <c r="AG89" s="315">
        <v>422675</v>
      </c>
      <c r="AH89" s="315"/>
      <c r="AI89" s="315">
        <v>4610650</v>
      </c>
      <c r="AJ89" s="315">
        <v>487553</v>
      </c>
      <c r="AK89" s="315">
        <v>1358364</v>
      </c>
      <c r="AL89" s="315">
        <v>2674165</v>
      </c>
      <c r="AM89" s="315">
        <v>265289</v>
      </c>
      <c r="AN89" s="315">
        <v>194343</v>
      </c>
      <c r="AO89" s="315">
        <v>48300</v>
      </c>
      <c r="AP89" s="315"/>
      <c r="AQ89" s="315">
        <v>612060</v>
      </c>
      <c r="AR89" s="315">
        <v>-296194</v>
      </c>
      <c r="AS89" s="315"/>
      <c r="AT89" s="315"/>
      <c r="AU89" s="315">
        <v>-10891</v>
      </c>
      <c r="AV89" s="315">
        <v>4919287</v>
      </c>
      <c r="AW89" s="315">
        <v>4526200</v>
      </c>
      <c r="AX89" s="315">
        <v>177606</v>
      </c>
      <c r="AY89" s="315"/>
      <c r="AZ89" s="315"/>
      <c r="BA89" s="315"/>
      <c r="BB89" s="315"/>
      <c r="BC89" s="315"/>
      <c r="BD89" s="315">
        <v>215481</v>
      </c>
      <c r="BE89" s="315">
        <v>-46581</v>
      </c>
      <c r="BF89" s="315">
        <v>-42108</v>
      </c>
      <c r="BG89" s="315">
        <v>-42108</v>
      </c>
      <c r="BH89" s="315"/>
      <c r="BI89" s="315">
        <v>-2200</v>
      </c>
      <c r="BJ89" s="315">
        <v>0</v>
      </c>
      <c r="BK89" s="315">
        <v>-39908</v>
      </c>
      <c r="BL89" s="315">
        <v>-4473</v>
      </c>
      <c r="BM89" s="315">
        <v>0</v>
      </c>
      <c r="BN89" s="315">
        <v>4872706</v>
      </c>
      <c r="BO89" s="315">
        <v>111219</v>
      </c>
      <c r="BP89" s="315">
        <v>82317</v>
      </c>
      <c r="BQ89" s="315">
        <v>20559</v>
      </c>
      <c r="BR89" s="315"/>
      <c r="BS89" s="315">
        <v>4523113</v>
      </c>
      <c r="BT89" s="315"/>
      <c r="BU89" s="315"/>
      <c r="BV89" s="315"/>
      <c r="BW89" s="315"/>
      <c r="BX89" s="315">
        <v>135498</v>
      </c>
      <c r="BY89" s="315"/>
      <c r="BZ89" s="315"/>
      <c r="CA89" s="315">
        <v>138804</v>
      </c>
      <c r="CB89" s="315">
        <v>-385139</v>
      </c>
      <c r="CC89" s="315">
        <v>-14248</v>
      </c>
      <c r="CD89" s="315">
        <v>-370891</v>
      </c>
      <c r="CE89" s="315">
        <v>-246335</v>
      </c>
      <c r="CF89" s="315"/>
      <c r="CG89" s="315"/>
      <c r="CH89" s="315"/>
      <c r="CI89" s="315">
        <v>6780230</v>
      </c>
      <c r="CJ89" s="315">
        <v>939049</v>
      </c>
      <c r="CK89" s="315">
        <v>5841181</v>
      </c>
      <c r="CL89" s="315">
        <v>1652902</v>
      </c>
      <c r="CM89" s="315">
        <v>4181156</v>
      </c>
      <c r="CN89" s="315">
        <v>7123</v>
      </c>
      <c r="CO89" s="315">
        <v>0</v>
      </c>
      <c r="CP89" s="315">
        <v>0</v>
      </c>
      <c r="CQ89" s="315">
        <v>7123</v>
      </c>
      <c r="CR89" s="315">
        <v>-1132957</v>
      </c>
      <c r="CS89" s="315">
        <v>-300442</v>
      </c>
      <c r="CT89" s="315">
        <v>-226311</v>
      </c>
      <c r="CU89" s="315">
        <v>0</v>
      </c>
      <c r="CV89" s="315">
        <v>-268</v>
      </c>
      <c r="CW89" s="315">
        <v>-73863</v>
      </c>
      <c r="CX89" s="315">
        <v>-634071</v>
      </c>
      <c r="CY89" s="315">
        <v>-599486</v>
      </c>
      <c r="CZ89" s="315">
        <v>-29999</v>
      </c>
      <c r="DA89" s="315">
        <v>-4586</v>
      </c>
      <c r="DB89" s="315">
        <v>-198444</v>
      </c>
      <c r="DC89" s="315">
        <v>0</v>
      </c>
      <c r="DD89" s="315">
        <v>5647273</v>
      </c>
      <c r="DE89" s="315">
        <v>5647273</v>
      </c>
      <c r="DF89" s="316"/>
      <c r="DG89" s="315"/>
      <c r="DH89" s="315"/>
      <c r="DI89" s="315">
        <v>1474913</v>
      </c>
      <c r="DJ89" s="315">
        <v>74725</v>
      </c>
      <c r="DK89" s="315">
        <v>21264</v>
      </c>
      <c r="DL89" s="315">
        <v>1561</v>
      </c>
      <c r="DM89" s="315">
        <v>758325</v>
      </c>
      <c r="DN89" s="315">
        <v>464000</v>
      </c>
      <c r="DO89" s="315">
        <v>55556</v>
      </c>
      <c r="DP89" s="315"/>
      <c r="DQ89" s="315"/>
      <c r="DR89" s="315">
        <v>99482</v>
      </c>
      <c r="DS89" s="315">
        <v>-33163</v>
      </c>
      <c r="DT89" s="315">
        <v>-13113</v>
      </c>
      <c r="DU89" s="315">
        <v>-2662</v>
      </c>
      <c r="DV89" s="315">
        <v>-30</v>
      </c>
      <c r="DW89" s="315">
        <v>-721</v>
      </c>
      <c r="DX89" s="315"/>
      <c r="DY89" s="315"/>
      <c r="DZ89" s="315"/>
      <c r="EA89" s="315">
        <v>-12610</v>
      </c>
      <c r="EB89" s="315">
        <v>0</v>
      </c>
      <c r="EC89" s="315"/>
      <c r="ED89" s="315"/>
      <c r="EE89" s="315">
        <v>-4027</v>
      </c>
      <c r="EF89" s="315">
        <v>1441750</v>
      </c>
      <c r="EG89" s="315">
        <v>1441750</v>
      </c>
      <c r="EH89" s="316"/>
      <c r="EI89" s="315"/>
      <c r="EJ89" s="315"/>
      <c r="EK89" s="315">
        <v>61612</v>
      </c>
      <c r="EL89" s="315">
        <v>61612</v>
      </c>
      <c r="EM89" s="316"/>
      <c r="EN89" s="315"/>
      <c r="EO89" s="315"/>
      <c r="EP89" s="315">
        <v>18602</v>
      </c>
      <c r="EQ89" s="315">
        <v>18602</v>
      </c>
      <c r="ER89" s="316"/>
      <c r="ES89" s="315"/>
      <c r="ET89" s="315"/>
      <c r="EU89" s="315">
        <v>1531</v>
      </c>
      <c r="EV89" s="315">
        <v>1531</v>
      </c>
      <c r="EW89" s="316"/>
      <c r="EX89" s="315"/>
      <c r="EY89" s="315"/>
      <c r="EZ89" s="315">
        <v>757604</v>
      </c>
      <c r="FA89" s="315">
        <v>757604</v>
      </c>
      <c r="FB89" s="316"/>
      <c r="FC89" s="315"/>
      <c r="FD89" s="315"/>
      <c r="FE89" s="315">
        <v>451390</v>
      </c>
      <c r="FF89" s="315">
        <v>451390</v>
      </c>
      <c r="FG89" s="316"/>
      <c r="FH89" s="315"/>
      <c r="FI89" s="315"/>
      <c r="FJ89" s="315">
        <v>55556</v>
      </c>
      <c r="FK89" s="315">
        <v>55556</v>
      </c>
      <c r="FL89" s="316"/>
      <c r="FM89" s="315"/>
      <c r="FN89" s="315"/>
      <c r="FO89" s="315"/>
      <c r="FP89" s="315"/>
      <c r="FQ89" s="315">
        <v>95455</v>
      </c>
      <c r="FR89" s="315">
        <v>286386</v>
      </c>
      <c r="FS89" s="315">
        <v>-4567</v>
      </c>
      <c r="FT89" s="315">
        <v>281819</v>
      </c>
      <c r="FU89" s="315"/>
      <c r="FV89" s="315"/>
      <c r="FW89" s="315"/>
      <c r="FX89" s="315">
        <v>93310</v>
      </c>
      <c r="FY89" s="315">
        <v>69000</v>
      </c>
      <c r="FZ89" s="315"/>
      <c r="GA89" s="315"/>
      <c r="GB89" s="315"/>
      <c r="GC89" s="315">
        <v>62552</v>
      </c>
      <c r="GD89" s="315"/>
      <c r="GE89" s="315"/>
      <c r="GF89" s="315"/>
      <c r="GG89" s="315">
        <v>56957</v>
      </c>
      <c r="GH89" s="315">
        <v>2238</v>
      </c>
      <c r="GI89" s="315">
        <v>329</v>
      </c>
      <c r="GJ89" s="315">
        <v>54390</v>
      </c>
      <c r="GL89"/>
      <c r="GM89"/>
      <c r="GN89"/>
      <c r="GO89"/>
    </row>
    <row r="90" spans="1:197">
      <c r="A90" s="98" t="s">
        <v>19</v>
      </c>
      <c r="B90" s="98">
        <v>11</v>
      </c>
      <c r="C90" s="98" t="s">
        <v>227</v>
      </c>
      <c r="D90" s="315">
        <v>8880164</v>
      </c>
      <c r="E90" s="315">
        <v>-1492035</v>
      </c>
      <c r="F90" s="315">
        <v>-10891</v>
      </c>
      <c r="G90" s="315">
        <v>7377238</v>
      </c>
      <c r="H90" s="315">
        <v>6954563</v>
      </c>
      <c r="I90" s="315">
        <v>422675</v>
      </c>
      <c r="J90" s="315">
        <v>422675</v>
      </c>
      <c r="K90" s="315"/>
      <c r="L90" s="315">
        <v>4197756</v>
      </c>
      <c r="M90" s="315">
        <v>2379895</v>
      </c>
      <c r="N90" s="315">
        <v>1547163</v>
      </c>
      <c r="O90" s="315"/>
      <c r="P90" s="315"/>
      <c r="Q90" s="315"/>
      <c r="R90" s="315">
        <v>270698</v>
      </c>
      <c r="S90" s="315">
        <v>-287319</v>
      </c>
      <c r="T90" s="315">
        <v>-261227</v>
      </c>
      <c r="U90" s="315"/>
      <c r="V90" s="315"/>
      <c r="W90" s="315">
        <v>-244347</v>
      </c>
      <c r="X90" s="315">
        <v>0</v>
      </c>
      <c r="Y90" s="315">
        <v>-16880</v>
      </c>
      <c r="Z90" s="315"/>
      <c r="AA90" s="315">
        <v>-26092</v>
      </c>
      <c r="AB90" s="315">
        <v>0</v>
      </c>
      <c r="AC90" s="315">
        <v>-10891</v>
      </c>
      <c r="AD90" s="315">
        <v>3899546</v>
      </c>
      <c r="AE90" s="315">
        <v>3476871</v>
      </c>
      <c r="AF90" s="315">
        <v>422675</v>
      </c>
      <c r="AG90" s="315">
        <v>422675</v>
      </c>
      <c r="AH90" s="315"/>
      <c r="AI90" s="315">
        <v>2356656</v>
      </c>
      <c r="AJ90" s="315">
        <v>973857</v>
      </c>
      <c r="AK90" s="315">
        <v>1315146</v>
      </c>
      <c r="AL90" s="315">
        <v>23340</v>
      </c>
      <c r="AM90" s="315">
        <v>206637</v>
      </c>
      <c r="AN90" s="315">
        <v>19581</v>
      </c>
      <c r="AO90" s="315">
        <v>35040</v>
      </c>
      <c r="AP90" s="315"/>
      <c r="AQ90" s="315">
        <v>6587</v>
      </c>
      <c r="AR90" s="315">
        <v>1285936</v>
      </c>
      <c r="AS90" s="315"/>
      <c r="AT90" s="315"/>
      <c r="AU90" s="315">
        <v>-10891</v>
      </c>
      <c r="AV90" s="315">
        <v>254573</v>
      </c>
      <c r="AW90" s="315">
        <v>20859</v>
      </c>
      <c r="AX90" s="315">
        <v>123624</v>
      </c>
      <c r="AY90" s="315"/>
      <c r="AZ90" s="315"/>
      <c r="BA90" s="315"/>
      <c r="BB90" s="315"/>
      <c r="BC90" s="315"/>
      <c r="BD90" s="315">
        <v>110090</v>
      </c>
      <c r="BE90" s="315">
        <v>-297753</v>
      </c>
      <c r="BF90" s="315">
        <v>-293915</v>
      </c>
      <c r="BG90" s="315">
        <v>-293915</v>
      </c>
      <c r="BH90" s="315"/>
      <c r="BI90" s="315">
        <v>-267048</v>
      </c>
      <c r="BJ90" s="315">
        <v>0</v>
      </c>
      <c r="BK90" s="315">
        <v>-26867</v>
      </c>
      <c r="BL90" s="315">
        <v>-3838</v>
      </c>
      <c r="BM90" s="315">
        <v>0</v>
      </c>
      <c r="BN90" s="315">
        <v>-43180</v>
      </c>
      <c r="BO90" s="315">
        <v>86532</v>
      </c>
      <c r="BP90" s="315">
        <v>7752</v>
      </c>
      <c r="BQ90" s="315">
        <v>14917</v>
      </c>
      <c r="BR90" s="315"/>
      <c r="BS90" s="315">
        <v>17910</v>
      </c>
      <c r="BT90" s="315"/>
      <c r="BU90" s="315"/>
      <c r="BV90" s="315"/>
      <c r="BW90" s="315"/>
      <c r="BX90" s="315">
        <v>-170291</v>
      </c>
      <c r="BY90" s="315"/>
      <c r="BZ90" s="315"/>
      <c r="CA90" s="315">
        <v>79556</v>
      </c>
      <c r="CB90" s="315">
        <v>-35459</v>
      </c>
      <c r="CC90" s="315">
        <v>-11010</v>
      </c>
      <c r="CD90" s="315">
        <v>-24449</v>
      </c>
      <c r="CE90" s="315">
        <v>44097</v>
      </c>
      <c r="CF90" s="315"/>
      <c r="CG90" s="315"/>
      <c r="CH90" s="315"/>
      <c r="CI90" s="315">
        <v>2732133</v>
      </c>
      <c r="CJ90" s="315">
        <v>888585</v>
      </c>
      <c r="CK90" s="315">
        <v>1843548</v>
      </c>
      <c r="CL90" s="315">
        <v>1736704</v>
      </c>
      <c r="CM90" s="315">
        <v>77664</v>
      </c>
      <c r="CN90" s="315">
        <v>29180</v>
      </c>
      <c r="CO90" s="315">
        <v>0</v>
      </c>
      <c r="CP90" s="315">
        <v>0</v>
      </c>
      <c r="CQ90" s="315">
        <v>29180</v>
      </c>
      <c r="CR90" s="315">
        <v>-857794</v>
      </c>
      <c r="CS90" s="315">
        <v>-243933</v>
      </c>
      <c r="CT90" s="315">
        <v>-123574</v>
      </c>
      <c r="CU90" s="315">
        <v>0</v>
      </c>
      <c r="CV90" s="315">
        <v>-145</v>
      </c>
      <c r="CW90" s="315">
        <v>-120214</v>
      </c>
      <c r="CX90" s="315">
        <v>-613861</v>
      </c>
      <c r="CY90" s="315">
        <v>-605141</v>
      </c>
      <c r="CZ90" s="315">
        <v>0</v>
      </c>
      <c r="DA90" s="315">
        <v>-8720</v>
      </c>
      <c r="DB90" s="315">
        <v>0</v>
      </c>
      <c r="DC90" s="315">
        <v>0</v>
      </c>
      <c r="DD90" s="315">
        <v>1874339</v>
      </c>
      <c r="DE90" s="315">
        <v>1874339</v>
      </c>
      <c r="DF90" s="316"/>
      <c r="DG90" s="315"/>
      <c r="DH90" s="315"/>
      <c r="DI90" s="315">
        <v>1355711</v>
      </c>
      <c r="DJ90" s="315">
        <v>91600</v>
      </c>
      <c r="DK90" s="315">
        <v>26202</v>
      </c>
      <c r="DL90" s="315">
        <v>1580</v>
      </c>
      <c r="DM90" s="315">
        <v>790138</v>
      </c>
      <c r="DN90" s="315">
        <v>291792</v>
      </c>
      <c r="DO90" s="315">
        <v>55653</v>
      </c>
      <c r="DP90" s="315"/>
      <c r="DQ90" s="315"/>
      <c r="DR90" s="315">
        <v>98746</v>
      </c>
      <c r="DS90" s="315">
        <v>-7335</v>
      </c>
      <c r="DT90" s="315">
        <v>-3242</v>
      </c>
      <c r="DU90" s="315">
        <v>-114</v>
      </c>
      <c r="DV90" s="315">
        <v>-24</v>
      </c>
      <c r="DW90" s="315">
        <v>-812</v>
      </c>
      <c r="DX90" s="315"/>
      <c r="DY90" s="315"/>
      <c r="DZ90" s="315"/>
      <c r="EA90" s="315">
        <v>0</v>
      </c>
      <c r="EB90" s="315">
        <v>-258</v>
      </c>
      <c r="EC90" s="315"/>
      <c r="ED90" s="315"/>
      <c r="EE90" s="315">
        <v>-2885</v>
      </c>
      <c r="EF90" s="315">
        <v>1348376</v>
      </c>
      <c r="EG90" s="315">
        <v>1348376</v>
      </c>
      <c r="EH90" s="316"/>
      <c r="EI90" s="315"/>
      <c r="EJ90" s="315"/>
      <c r="EK90" s="315">
        <v>88358</v>
      </c>
      <c r="EL90" s="315">
        <v>88358</v>
      </c>
      <c r="EM90" s="316"/>
      <c r="EN90" s="315"/>
      <c r="EO90" s="315"/>
      <c r="EP90" s="315">
        <v>26088</v>
      </c>
      <c r="EQ90" s="315">
        <v>26088</v>
      </c>
      <c r="ER90" s="316"/>
      <c r="ES90" s="315"/>
      <c r="ET90" s="315"/>
      <c r="EU90" s="315">
        <v>1556</v>
      </c>
      <c r="EV90" s="315">
        <v>1556</v>
      </c>
      <c r="EW90" s="316"/>
      <c r="EX90" s="315"/>
      <c r="EY90" s="315"/>
      <c r="EZ90" s="315">
        <v>789326</v>
      </c>
      <c r="FA90" s="315">
        <v>789326</v>
      </c>
      <c r="FB90" s="316"/>
      <c r="FC90" s="315"/>
      <c r="FD90" s="315"/>
      <c r="FE90" s="315">
        <v>291792</v>
      </c>
      <c r="FF90" s="315">
        <v>291792</v>
      </c>
      <c r="FG90" s="316"/>
      <c r="FH90" s="315"/>
      <c r="FI90" s="315"/>
      <c r="FJ90" s="315">
        <v>55395</v>
      </c>
      <c r="FK90" s="315">
        <v>55395</v>
      </c>
      <c r="FL90" s="316"/>
      <c r="FM90" s="315"/>
      <c r="FN90" s="315"/>
      <c r="FO90" s="315"/>
      <c r="FP90" s="315"/>
      <c r="FQ90" s="315">
        <v>95861</v>
      </c>
      <c r="FR90" s="315">
        <v>260435</v>
      </c>
      <c r="FS90" s="315">
        <v>-6375</v>
      </c>
      <c r="FT90" s="315">
        <v>254060</v>
      </c>
      <c r="FU90" s="315"/>
      <c r="FV90" s="315"/>
      <c r="FW90" s="315"/>
      <c r="FX90" s="315">
        <v>79118</v>
      </c>
      <c r="FY90" s="315">
        <v>76370</v>
      </c>
      <c r="FZ90" s="315"/>
      <c r="GA90" s="315"/>
      <c r="GB90" s="315"/>
      <c r="GC90" s="315">
        <v>46033</v>
      </c>
      <c r="GD90" s="315"/>
      <c r="GE90" s="315"/>
      <c r="GF90" s="315"/>
      <c r="GG90" s="315">
        <v>52539</v>
      </c>
      <c r="GH90" s="315">
        <v>11633</v>
      </c>
      <c r="GI90" s="315">
        <v>1516</v>
      </c>
      <c r="GJ90" s="315">
        <v>39390</v>
      </c>
      <c r="GL90"/>
      <c r="GM90"/>
      <c r="GN90"/>
      <c r="GO90"/>
    </row>
    <row r="91" spans="1:197">
      <c r="A91" s="98" t="s">
        <v>19</v>
      </c>
      <c r="B91" s="98">
        <v>12</v>
      </c>
      <c r="C91" s="98" t="s">
        <v>228</v>
      </c>
      <c r="D91" s="315">
        <v>10573618</v>
      </c>
      <c r="E91" s="315">
        <v>-2790586</v>
      </c>
      <c r="F91" s="315">
        <v>-10892</v>
      </c>
      <c r="G91" s="315">
        <v>7772140</v>
      </c>
      <c r="H91" s="315">
        <v>7135757</v>
      </c>
      <c r="I91" s="315">
        <v>636383</v>
      </c>
      <c r="J91" s="315">
        <v>636383</v>
      </c>
      <c r="K91" s="315"/>
      <c r="L91" s="315">
        <v>2907284</v>
      </c>
      <c r="M91" s="315">
        <v>2743777</v>
      </c>
      <c r="N91" s="315">
        <v>41321</v>
      </c>
      <c r="O91" s="315"/>
      <c r="P91" s="315"/>
      <c r="Q91" s="315"/>
      <c r="R91" s="315">
        <v>122186</v>
      </c>
      <c r="S91" s="315">
        <v>-113986</v>
      </c>
      <c r="T91" s="315">
        <v>-108466</v>
      </c>
      <c r="U91" s="315"/>
      <c r="V91" s="315"/>
      <c r="W91" s="315">
        <v>-96318</v>
      </c>
      <c r="X91" s="315">
        <v>0</v>
      </c>
      <c r="Y91" s="315">
        <v>-12148</v>
      </c>
      <c r="Z91" s="315"/>
      <c r="AA91" s="315">
        <v>-5520</v>
      </c>
      <c r="AB91" s="315">
        <v>0</v>
      </c>
      <c r="AC91" s="315">
        <v>-10892</v>
      </c>
      <c r="AD91" s="315">
        <v>2782406</v>
      </c>
      <c r="AE91" s="315">
        <v>2146023</v>
      </c>
      <c r="AF91" s="315">
        <v>636383</v>
      </c>
      <c r="AG91" s="315">
        <v>636383</v>
      </c>
      <c r="AH91" s="315"/>
      <c r="AI91" s="315">
        <v>2740575</v>
      </c>
      <c r="AJ91" s="315">
        <v>1262612</v>
      </c>
      <c r="AK91" s="315">
        <v>1422871</v>
      </c>
      <c r="AL91" s="315">
        <v>10831</v>
      </c>
      <c r="AM91" s="315">
        <v>67361</v>
      </c>
      <c r="AN91" s="315">
        <v>17370</v>
      </c>
      <c r="AO91" s="315">
        <v>31033</v>
      </c>
      <c r="AP91" s="315"/>
      <c r="AQ91" s="315">
        <v>4104</v>
      </c>
      <c r="AR91" s="315">
        <v>-67145</v>
      </c>
      <c r="AS91" s="315"/>
      <c r="AT91" s="315"/>
      <c r="AU91" s="315">
        <v>-10892</v>
      </c>
      <c r="AV91" s="315">
        <v>2969091</v>
      </c>
      <c r="AW91" s="315">
        <v>2565620</v>
      </c>
      <c r="AX91" s="315">
        <v>70088</v>
      </c>
      <c r="AY91" s="315"/>
      <c r="AZ91" s="315"/>
      <c r="BA91" s="315"/>
      <c r="BB91" s="315"/>
      <c r="BC91" s="315"/>
      <c r="BD91" s="315">
        <v>333383</v>
      </c>
      <c r="BE91" s="315">
        <v>-1545212</v>
      </c>
      <c r="BF91" s="315">
        <v>-1233303</v>
      </c>
      <c r="BG91" s="315">
        <v>-1233303</v>
      </c>
      <c r="BH91" s="315"/>
      <c r="BI91" s="315">
        <v>-1207749</v>
      </c>
      <c r="BJ91" s="315">
        <v>0</v>
      </c>
      <c r="BK91" s="315">
        <v>-25554</v>
      </c>
      <c r="BL91" s="315">
        <v>-17558</v>
      </c>
      <c r="BM91" s="315">
        <v>-294351</v>
      </c>
      <c r="BN91" s="315">
        <v>1423879</v>
      </c>
      <c r="BO91" s="315">
        <v>18242</v>
      </c>
      <c r="BP91" s="315">
        <v>6807</v>
      </c>
      <c r="BQ91" s="315">
        <v>13208</v>
      </c>
      <c r="BR91" s="315"/>
      <c r="BS91" s="315">
        <v>2548837</v>
      </c>
      <c r="BT91" s="315"/>
      <c r="BU91" s="315"/>
      <c r="BV91" s="315"/>
      <c r="BW91" s="315"/>
      <c r="BX91" s="315">
        <v>-1163215</v>
      </c>
      <c r="BY91" s="315"/>
      <c r="BZ91" s="315"/>
      <c r="CA91" s="315">
        <v>-121646</v>
      </c>
      <c r="CB91" s="315">
        <v>271606</v>
      </c>
      <c r="CC91" s="315">
        <v>-22722</v>
      </c>
      <c r="CD91" s="315">
        <v>294328</v>
      </c>
      <c r="CE91" s="315">
        <v>149960</v>
      </c>
      <c r="CF91" s="315"/>
      <c r="CG91" s="315"/>
      <c r="CH91" s="315"/>
      <c r="CI91" s="315">
        <v>2709958</v>
      </c>
      <c r="CJ91" s="315">
        <v>820398</v>
      </c>
      <c r="CK91" s="315">
        <v>1889560</v>
      </c>
      <c r="CL91" s="315">
        <v>1801751</v>
      </c>
      <c r="CM91" s="315">
        <v>57872</v>
      </c>
      <c r="CN91" s="315">
        <v>29937</v>
      </c>
      <c r="CO91" s="315">
        <v>0</v>
      </c>
      <c r="CP91" s="315">
        <v>0</v>
      </c>
      <c r="CQ91" s="315">
        <v>29937</v>
      </c>
      <c r="CR91" s="315">
        <v>-1341349</v>
      </c>
      <c r="CS91" s="315">
        <v>-197616</v>
      </c>
      <c r="CT91" s="315">
        <v>-132553</v>
      </c>
      <c r="CU91" s="315">
        <v>0</v>
      </c>
      <c r="CV91" s="315">
        <v>-201</v>
      </c>
      <c r="CW91" s="315">
        <v>-64862</v>
      </c>
      <c r="CX91" s="315">
        <v>-749362</v>
      </c>
      <c r="CY91" s="315">
        <v>-743800</v>
      </c>
      <c r="CZ91" s="315">
        <v>0</v>
      </c>
      <c r="DA91" s="315">
        <v>-5562</v>
      </c>
      <c r="DB91" s="315">
        <v>-326872</v>
      </c>
      <c r="DC91" s="315">
        <v>-67499</v>
      </c>
      <c r="DD91" s="315">
        <v>1368609</v>
      </c>
      <c r="DE91" s="315">
        <v>1368609</v>
      </c>
      <c r="DF91" s="316"/>
      <c r="DG91" s="315"/>
      <c r="DH91" s="315"/>
      <c r="DI91" s="315">
        <v>1395116</v>
      </c>
      <c r="DJ91" s="315">
        <v>59240</v>
      </c>
      <c r="DK91" s="315">
        <v>19687</v>
      </c>
      <c r="DL91" s="315">
        <v>1061</v>
      </c>
      <c r="DM91" s="315">
        <v>830328</v>
      </c>
      <c r="DN91" s="315">
        <v>309982</v>
      </c>
      <c r="DO91" s="315">
        <v>57318</v>
      </c>
      <c r="DP91" s="315"/>
      <c r="DQ91" s="315"/>
      <c r="DR91" s="315">
        <v>117500</v>
      </c>
      <c r="DS91" s="315">
        <v>-52955</v>
      </c>
      <c r="DT91" s="315">
        <v>-8251</v>
      </c>
      <c r="DU91" s="315">
        <v>-3612</v>
      </c>
      <c r="DV91" s="315">
        <v>-213</v>
      </c>
      <c r="DW91" s="315">
        <v>-743</v>
      </c>
      <c r="DX91" s="315"/>
      <c r="DY91" s="315"/>
      <c r="DZ91" s="315"/>
      <c r="EA91" s="315">
        <v>-35665</v>
      </c>
      <c r="EB91" s="315">
        <v>-907</v>
      </c>
      <c r="EC91" s="315"/>
      <c r="ED91" s="315"/>
      <c r="EE91" s="315">
        <v>-3564</v>
      </c>
      <c r="EF91" s="315">
        <v>1342161</v>
      </c>
      <c r="EG91" s="315">
        <v>1342161</v>
      </c>
      <c r="EH91" s="316"/>
      <c r="EI91" s="315"/>
      <c r="EJ91" s="315"/>
      <c r="EK91" s="315">
        <v>50989</v>
      </c>
      <c r="EL91" s="315">
        <v>50989</v>
      </c>
      <c r="EM91" s="316"/>
      <c r="EN91" s="315"/>
      <c r="EO91" s="315"/>
      <c r="EP91" s="315">
        <v>16075</v>
      </c>
      <c r="EQ91" s="315">
        <v>16075</v>
      </c>
      <c r="ER91" s="316"/>
      <c r="ES91" s="315"/>
      <c r="ET91" s="315"/>
      <c r="EU91" s="315">
        <v>848</v>
      </c>
      <c r="EV91" s="315">
        <v>848</v>
      </c>
      <c r="EW91" s="316"/>
      <c r="EX91" s="315"/>
      <c r="EY91" s="315"/>
      <c r="EZ91" s="315">
        <v>829585</v>
      </c>
      <c r="FA91" s="315">
        <v>829585</v>
      </c>
      <c r="FB91" s="316"/>
      <c r="FC91" s="315"/>
      <c r="FD91" s="315"/>
      <c r="FE91" s="315">
        <v>274317</v>
      </c>
      <c r="FF91" s="315">
        <v>274317</v>
      </c>
      <c r="FG91" s="316"/>
      <c r="FH91" s="315"/>
      <c r="FI91" s="315"/>
      <c r="FJ91" s="315">
        <v>56411</v>
      </c>
      <c r="FK91" s="315">
        <v>56411</v>
      </c>
      <c r="FL91" s="316"/>
      <c r="FM91" s="315"/>
      <c r="FN91" s="315"/>
      <c r="FO91" s="315"/>
      <c r="FP91" s="315"/>
      <c r="FQ91" s="315">
        <v>113936</v>
      </c>
      <c r="FR91" s="315">
        <v>713815</v>
      </c>
      <c r="FS91" s="315">
        <v>-8690</v>
      </c>
      <c r="FT91" s="315">
        <v>705125</v>
      </c>
      <c r="FU91" s="315"/>
      <c r="FV91" s="315"/>
      <c r="FW91" s="315"/>
      <c r="FX91" s="315">
        <v>64474</v>
      </c>
      <c r="FY91" s="315">
        <v>71318</v>
      </c>
      <c r="FZ91" s="315"/>
      <c r="GA91" s="315"/>
      <c r="GB91" s="315"/>
      <c r="GC91" s="315">
        <v>510900</v>
      </c>
      <c r="GD91" s="315"/>
      <c r="GE91" s="315"/>
      <c r="GF91" s="315"/>
      <c r="GG91" s="315">
        <v>58433</v>
      </c>
      <c r="GH91" s="315">
        <v>6454</v>
      </c>
      <c r="GI91" s="315">
        <v>6465</v>
      </c>
      <c r="GJ91" s="315">
        <v>45514</v>
      </c>
      <c r="GL91"/>
      <c r="GM91"/>
      <c r="GN91"/>
      <c r="GO91"/>
    </row>
    <row r="92" spans="1:197">
      <c r="A92" s="96" t="s">
        <v>20</v>
      </c>
      <c r="B92" s="96">
        <v>1</v>
      </c>
      <c r="C92" s="97" t="s">
        <v>217</v>
      </c>
      <c r="D92" s="314">
        <v>11101710</v>
      </c>
      <c r="E92" s="314">
        <v>-131058</v>
      </c>
      <c r="F92" s="314">
        <v>-10891</v>
      </c>
      <c r="G92" s="314">
        <v>10959761</v>
      </c>
      <c r="H92" s="314">
        <v>8983357</v>
      </c>
      <c r="I92" s="314">
        <v>1976404</v>
      </c>
      <c r="J92" s="314">
        <v>1976404</v>
      </c>
      <c r="K92" s="314"/>
      <c r="L92" s="314">
        <v>7047683</v>
      </c>
      <c r="M92" s="314">
        <v>6154232</v>
      </c>
      <c r="N92" s="314">
        <v>28946</v>
      </c>
      <c r="O92" s="314"/>
      <c r="P92" s="314"/>
      <c r="Q92" s="314"/>
      <c r="R92" s="314">
        <v>864505</v>
      </c>
      <c r="S92" s="314">
        <v>-592</v>
      </c>
      <c r="T92" s="314">
        <v>-592</v>
      </c>
      <c r="U92" s="314"/>
      <c r="V92" s="314"/>
      <c r="W92" s="314">
        <v>0</v>
      </c>
      <c r="X92" s="314">
        <v>-233</v>
      </c>
      <c r="Y92" s="314">
        <v>-359</v>
      </c>
      <c r="Z92" s="314"/>
      <c r="AA92" s="314">
        <v>0</v>
      </c>
      <c r="AB92" s="314">
        <v>0</v>
      </c>
      <c r="AC92" s="314">
        <v>-10891</v>
      </c>
      <c r="AD92" s="314">
        <v>7036200</v>
      </c>
      <c r="AE92" s="314">
        <v>5999144</v>
      </c>
      <c r="AF92" s="314">
        <v>1037056</v>
      </c>
      <c r="AG92" s="314">
        <v>1037056</v>
      </c>
      <c r="AH92" s="314"/>
      <c r="AI92" s="314">
        <v>6154232</v>
      </c>
      <c r="AJ92" s="314">
        <v>552795</v>
      </c>
      <c r="AK92" s="314">
        <v>2136290</v>
      </c>
      <c r="AL92" s="314">
        <v>3434009</v>
      </c>
      <c r="AM92" s="314">
        <v>474404</v>
      </c>
      <c r="AN92" s="314">
        <v>212279</v>
      </c>
      <c r="AO92" s="314">
        <v>43839</v>
      </c>
      <c r="AP92" s="314"/>
      <c r="AQ92" s="314">
        <v>133983</v>
      </c>
      <c r="AR92" s="314">
        <v>28354</v>
      </c>
      <c r="AS92" s="314"/>
      <c r="AT92" s="314"/>
      <c r="AU92" s="314">
        <v>-10891</v>
      </c>
      <c r="AV92" s="314">
        <v>873951</v>
      </c>
      <c r="AW92" s="314">
        <v>27572</v>
      </c>
      <c r="AX92" s="314">
        <v>76365</v>
      </c>
      <c r="AY92" s="314"/>
      <c r="AZ92" s="314"/>
      <c r="BA92" s="314"/>
      <c r="BB92" s="314"/>
      <c r="BC92" s="314"/>
      <c r="BD92" s="314">
        <v>770014</v>
      </c>
      <c r="BE92" s="314">
        <v>-2065</v>
      </c>
      <c r="BF92" s="314">
        <v>-1877</v>
      </c>
      <c r="BG92" s="314">
        <v>-1877</v>
      </c>
      <c r="BH92" s="314"/>
      <c r="BI92" s="314">
        <v>0</v>
      </c>
      <c r="BJ92" s="314">
        <v>-1200</v>
      </c>
      <c r="BK92" s="314">
        <v>-677</v>
      </c>
      <c r="BL92" s="314">
        <v>0</v>
      </c>
      <c r="BM92" s="314">
        <v>-188</v>
      </c>
      <c r="BN92" s="314">
        <v>871886</v>
      </c>
      <c r="BO92" s="314">
        <v>660928</v>
      </c>
      <c r="BP92" s="314">
        <v>90235</v>
      </c>
      <c r="BQ92" s="314">
        <v>18663</v>
      </c>
      <c r="BR92" s="314"/>
      <c r="BS92" s="314">
        <v>27572</v>
      </c>
      <c r="BT92" s="314"/>
      <c r="BU92" s="314"/>
      <c r="BV92" s="314"/>
      <c r="BW92" s="314"/>
      <c r="BX92" s="314">
        <v>74488</v>
      </c>
      <c r="BY92" s="314"/>
      <c r="BZ92" s="314"/>
      <c r="CA92" s="314">
        <v>475486</v>
      </c>
      <c r="CB92" s="314">
        <v>-5589</v>
      </c>
      <c r="CC92" s="314">
        <v>-3899</v>
      </c>
      <c r="CD92" s="314">
        <v>-1690</v>
      </c>
      <c r="CE92" s="314">
        <v>469897</v>
      </c>
      <c r="CF92" s="314"/>
      <c r="CG92" s="314"/>
      <c r="CH92" s="314"/>
      <c r="CI92" s="314">
        <v>917898</v>
      </c>
      <c r="CJ92" s="314">
        <v>454553</v>
      </c>
      <c r="CK92" s="314">
        <v>463345</v>
      </c>
      <c r="CL92" s="314">
        <v>52678</v>
      </c>
      <c r="CM92" s="314">
        <v>292547</v>
      </c>
      <c r="CN92" s="314">
        <v>118120</v>
      </c>
      <c r="CO92" s="314">
        <v>0</v>
      </c>
      <c r="CP92" s="314">
        <v>0</v>
      </c>
      <c r="CQ92" s="314">
        <v>118120</v>
      </c>
      <c r="CR92" s="314">
        <v>-122798</v>
      </c>
      <c r="CS92" s="314">
        <v>-16877</v>
      </c>
      <c r="CT92" s="314">
        <v>0</v>
      </c>
      <c r="CU92" s="314">
        <v>-1262</v>
      </c>
      <c r="CV92" s="314">
        <v>0</v>
      </c>
      <c r="CW92" s="314">
        <v>-15615</v>
      </c>
      <c r="CX92" s="314">
        <v>-105921</v>
      </c>
      <c r="CY92" s="314">
        <v>0</v>
      </c>
      <c r="CZ92" s="314">
        <v>-105912</v>
      </c>
      <c r="DA92" s="314">
        <v>-9</v>
      </c>
      <c r="DB92" s="314">
        <v>0</v>
      </c>
      <c r="DC92" s="314">
        <v>0</v>
      </c>
      <c r="DD92" s="314">
        <v>795100</v>
      </c>
      <c r="DE92" s="314">
        <v>185562</v>
      </c>
      <c r="DF92" s="314">
        <v>609538</v>
      </c>
      <c r="DG92" s="314">
        <v>609538</v>
      </c>
      <c r="DH92" s="314"/>
      <c r="DI92" s="314">
        <v>1536202</v>
      </c>
      <c r="DJ92" s="314">
        <v>60758</v>
      </c>
      <c r="DK92" s="314">
        <v>16965</v>
      </c>
      <c r="DL92" s="314">
        <v>1120</v>
      </c>
      <c r="DM92" s="314">
        <v>806015</v>
      </c>
      <c r="DN92" s="314">
        <v>508228</v>
      </c>
      <c r="DO92" s="314">
        <v>53716</v>
      </c>
      <c r="DP92" s="314"/>
      <c r="DQ92" s="314"/>
      <c r="DR92" s="314">
        <v>89400</v>
      </c>
      <c r="DS92" s="314">
        <v>0</v>
      </c>
      <c r="DT92" s="314">
        <v>0</v>
      </c>
      <c r="DU92" s="314">
        <v>0</v>
      </c>
      <c r="DV92" s="314">
        <v>0</v>
      </c>
      <c r="DW92" s="314">
        <v>0</v>
      </c>
      <c r="DX92" s="314"/>
      <c r="DY92" s="314"/>
      <c r="DZ92" s="314"/>
      <c r="EA92" s="314">
        <v>0</v>
      </c>
      <c r="EB92" s="314">
        <v>0</v>
      </c>
      <c r="EC92" s="314"/>
      <c r="ED92" s="314"/>
      <c r="EE92" s="314">
        <v>0</v>
      </c>
      <c r="EF92" s="314">
        <v>1536202</v>
      </c>
      <c r="EG92" s="314">
        <v>1206392</v>
      </c>
      <c r="EH92" s="314">
        <v>329810</v>
      </c>
      <c r="EI92" s="314">
        <v>329810</v>
      </c>
      <c r="EJ92" s="314"/>
      <c r="EK92" s="314">
        <v>60758</v>
      </c>
      <c r="EL92" s="314">
        <v>46012</v>
      </c>
      <c r="EM92" s="314">
        <v>14746</v>
      </c>
      <c r="EN92" s="314">
        <v>14746</v>
      </c>
      <c r="EO92" s="314"/>
      <c r="EP92" s="314">
        <v>16965</v>
      </c>
      <c r="EQ92" s="314">
        <v>13097</v>
      </c>
      <c r="ER92" s="314">
        <v>3868</v>
      </c>
      <c r="ES92" s="314">
        <v>3868</v>
      </c>
      <c r="ET92" s="314"/>
      <c r="EU92" s="314">
        <v>1120</v>
      </c>
      <c r="EV92" s="314">
        <v>782</v>
      </c>
      <c r="EW92" s="314">
        <v>338</v>
      </c>
      <c r="EX92" s="314">
        <v>338</v>
      </c>
      <c r="EY92" s="314"/>
      <c r="EZ92" s="314">
        <v>806015</v>
      </c>
      <c r="FA92" s="314">
        <v>626020</v>
      </c>
      <c r="FB92" s="314">
        <v>179995</v>
      </c>
      <c r="FC92" s="314">
        <v>179995</v>
      </c>
      <c r="FD92" s="314"/>
      <c r="FE92" s="314">
        <v>508228</v>
      </c>
      <c r="FF92" s="314">
        <v>411306</v>
      </c>
      <c r="FG92" s="314">
        <v>96922</v>
      </c>
      <c r="FH92" s="314">
        <v>96922</v>
      </c>
      <c r="FI92" s="314"/>
      <c r="FJ92" s="314">
        <v>53716</v>
      </c>
      <c r="FK92" s="314">
        <v>19775</v>
      </c>
      <c r="FL92" s="314">
        <v>33941</v>
      </c>
      <c r="FM92" s="314">
        <v>33941</v>
      </c>
      <c r="FN92" s="314"/>
      <c r="FO92" s="314"/>
      <c r="FP92" s="314"/>
      <c r="FQ92" s="314">
        <v>89400</v>
      </c>
      <c r="FR92" s="314">
        <v>250490</v>
      </c>
      <c r="FS92" s="314">
        <v>-14</v>
      </c>
      <c r="FT92" s="314">
        <v>250476</v>
      </c>
      <c r="FU92" s="314"/>
      <c r="FV92" s="314"/>
      <c r="FW92" s="314"/>
      <c r="FX92" s="314">
        <v>71836</v>
      </c>
      <c r="FY92" s="314">
        <v>80951</v>
      </c>
      <c r="FZ92" s="314"/>
      <c r="GA92" s="314"/>
      <c r="GB92" s="314"/>
      <c r="GC92" s="314">
        <v>70682</v>
      </c>
      <c r="GD92" s="314"/>
      <c r="GE92" s="314"/>
      <c r="GF92" s="314"/>
      <c r="GG92" s="314">
        <v>27007</v>
      </c>
      <c r="GH92" s="314">
        <v>2143</v>
      </c>
      <c r="GI92" s="314">
        <v>936</v>
      </c>
      <c r="GJ92" s="314">
        <v>23928</v>
      </c>
      <c r="GL92"/>
      <c r="GM92"/>
      <c r="GN92"/>
      <c r="GO92"/>
    </row>
    <row r="93" spans="1:197">
      <c r="A93" s="98" t="s">
        <v>20</v>
      </c>
      <c r="B93" s="98">
        <v>2</v>
      </c>
      <c r="C93" s="98" t="s">
        <v>218</v>
      </c>
      <c r="D93" s="315">
        <v>15824692</v>
      </c>
      <c r="E93" s="315">
        <v>-1061993</v>
      </c>
      <c r="F93" s="315">
        <v>-11109</v>
      </c>
      <c r="G93" s="315">
        <v>14751590</v>
      </c>
      <c r="H93" s="315">
        <v>12775185</v>
      </c>
      <c r="I93" s="315">
        <v>1976405</v>
      </c>
      <c r="J93" s="315">
        <v>1976405</v>
      </c>
      <c r="K93" s="315"/>
      <c r="L93" s="315">
        <v>3370513</v>
      </c>
      <c r="M93" s="315">
        <v>2477941</v>
      </c>
      <c r="N93" s="315">
        <v>38120</v>
      </c>
      <c r="O93" s="315"/>
      <c r="P93" s="315"/>
      <c r="Q93" s="315"/>
      <c r="R93" s="315">
        <v>854452</v>
      </c>
      <c r="S93" s="315">
        <v>-90859</v>
      </c>
      <c r="T93" s="315">
        <v>-88393</v>
      </c>
      <c r="U93" s="315"/>
      <c r="V93" s="315"/>
      <c r="W93" s="315">
        <v>0</v>
      </c>
      <c r="X93" s="315">
        <v>-80641</v>
      </c>
      <c r="Y93" s="315">
        <v>-7752</v>
      </c>
      <c r="Z93" s="315"/>
      <c r="AA93" s="315">
        <v>-2466</v>
      </c>
      <c r="AB93" s="315">
        <v>0</v>
      </c>
      <c r="AC93" s="315">
        <v>-11109</v>
      </c>
      <c r="AD93" s="315">
        <v>3268545</v>
      </c>
      <c r="AE93" s="315">
        <v>2231489</v>
      </c>
      <c r="AF93" s="315">
        <v>1037056</v>
      </c>
      <c r="AG93" s="315">
        <v>1037056</v>
      </c>
      <c r="AH93" s="315"/>
      <c r="AI93" s="315">
        <v>2475976</v>
      </c>
      <c r="AJ93" s="315">
        <v>931134</v>
      </c>
      <c r="AK93" s="315">
        <v>1463679</v>
      </c>
      <c r="AL93" s="315">
        <v>38039</v>
      </c>
      <c r="AM93" s="315">
        <v>277710</v>
      </c>
      <c r="AN93" s="315">
        <v>20622</v>
      </c>
      <c r="AO93" s="315">
        <v>45014</v>
      </c>
      <c r="AP93" s="315"/>
      <c r="AQ93" s="315">
        <v>510605</v>
      </c>
      <c r="AR93" s="315">
        <v>-50273</v>
      </c>
      <c r="AS93" s="315"/>
      <c r="AT93" s="315"/>
      <c r="AU93" s="315">
        <v>-11109</v>
      </c>
      <c r="AV93" s="315">
        <v>440519</v>
      </c>
      <c r="AW93" s="315">
        <v>11928</v>
      </c>
      <c r="AX93" s="315">
        <v>142845</v>
      </c>
      <c r="AY93" s="315"/>
      <c r="AZ93" s="315"/>
      <c r="BA93" s="315"/>
      <c r="BB93" s="315"/>
      <c r="BC93" s="315"/>
      <c r="BD93" s="315">
        <v>285746</v>
      </c>
      <c r="BE93" s="315">
        <v>-371191</v>
      </c>
      <c r="BF93" s="315">
        <v>-241767</v>
      </c>
      <c r="BG93" s="315">
        <v>-241767</v>
      </c>
      <c r="BH93" s="315"/>
      <c r="BI93" s="315">
        <v>0</v>
      </c>
      <c r="BJ93" s="315">
        <v>-231603</v>
      </c>
      <c r="BK93" s="315">
        <v>-10164</v>
      </c>
      <c r="BL93" s="315">
        <v>-590</v>
      </c>
      <c r="BM93" s="315">
        <v>-128834</v>
      </c>
      <c r="BN93" s="315">
        <v>69328</v>
      </c>
      <c r="BO93" s="315">
        <v>129454</v>
      </c>
      <c r="BP93" s="315">
        <v>8257</v>
      </c>
      <c r="BQ93" s="315">
        <v>19074</v>
      </c>
      <c r="BR93" s="315"/>
      <c r="BS93" s="315">
        <v>11465</v>
      </c>
      <c r="BT93" s="315"/>
      <c r="BU93" s="315"/>
      <c r="BV93" s="315"/>
      <c r="BW93" s="315"/>
      <c r="BX93" s="315">
        <v>-98922</v>
      </c>
      <c r="BY93" s="315"/>
      <c r="BZ93" s="315"/>
      <c r="CA93" s="315">
        <v>240112</v>
      </c>
      <c r="CB93" s="315">
        <v>-145538</v>
      </c>
      <c r="CC93" s="315">
        <v>-6787</v>
      </c>
      <c r="CD93" s="315">
        <v>-138751</v>
      </c>
      <c r="CE93" s="315">
        <v>94574</v>
      </c>
      <c r="CF93" s="315"/>
      <c r="CG93" s="315"/>
      <c r="CH93" s="315"/>
      <c r="CI93" s="315">
        <v>10267594</v>
      </c>
      <c r="CJ93" s="315">
        <v>1262130</v>
      </c>
      <c r="CK93" s="315">
        <v>9005464</v>
      </c>
      <c r="CL93" s="315">
        <v>3866594</v>
      </c>
      <c r="CM93" s="315">
        <v>5013607</v>
      </c>
      <c r="CN93" s="315">
        <v>125263</v>
      </c>
      <c r="CO93" s="315">
        <v>0</v>
      </c>
      <c r="CP93" s="315">
        <v>0</v>
      </c>
      <c r="CQ93" s="315">
        <v>125263</v>
      </c>
      <c r="CR93" s="315">
        <v>-429862</v>
      </c>
      <c r="CS93" s="315">
        <v>-172443</v>
      </c>
      <c r="CT93" s="315">
        <v>-1639</v>
      </c>
      <c r="CU93" s="315">
        <v>-88836</v>
      </c>
      <c r="CV93" s="315">
        <v>-243</v>
      </c>
      <c r="CW93" s="315">
        <v>-81725</v>
      </c>
      <c r="CX93" s="315">
        <v>-257419</v>
      </c>
      <c r="CY93" s="315">
        <v>0</v>
      </c>
      <c r="CZ93" s="315">
        <v>-255039</v>
      </c>
      <c r="DA93" s="315">
        <v>-2380</v>
      </c>
      <c r="DB93" s="315">
        <v>0</v>
      </c>
      <c r="DC93" s="315">
        <v>0</v>
      </c>
      <c r="DD93" s="315">
        <v>9837732</v>
      </c>
      <c r="DE93" s="315">
        <v>9228193</v>
      </c>
      <c r="DF93" s="315">
        <v>609539</v>
      </c>
      <c r="DG93" s="315">
        <v>609539</v>
      </c>
      <c r="DH93" s="315"/>
      <c r="DI93" s="315">
        <v>1283958</v>
      </c>
      <c r="DJ93" s="315">
        <v>147945</v>
      </c>
      <c r="DK93" s="315">
        <v>15655</v>
      </c>
      <c r="DL93" s="315">
        <v>2947</v>
      </c>
      <c r="DM93" s="315">
        <v>709853</v>
      </c>
      <c r="DN93" s="315">
        <v>249295</v>
      </c>
      <c r="DO93" s="315">
        <v>63293</v>
      </c>
      <c r="DP93" s="315"/>
      <c r="DQ93" s="315"/>
      <c r="DR93" s="315">
        <v>94970</v>
      </c>
      <c r="DS93" s="315">
        <v>-20242</v>
      </c>
      <c r="DT93" s="315">
        <v>-2311</v>
      </c>
      <c r="DU93" s="315">
        <v>-439</v>
      </c>
      <c r="DV93" s="315">
        <v>-37</v>
      </c>
      <c r="DW93" s="315">
        <v>-15633</v>
      </c>
      <c r="DX93" s="315"/>
      <c r="DY93" s="315"/>
      <c r="DZ93" s="315"/>
      <c r="EA93" s="315">
        <v>-11</v>
      </c>
      <c r="EB93" s="315">
        <v>0</v>
      </c>
      <c r="EC93" s="315"/>
      <c r="ED93" s="315"/>
      <c r="EE93" s="315">
        <v>-1811</v>
      </c>
      <c r="EF93" s="315">
        <v>1263716</v>
      </c>
      <c r="EG93" s="315">
        <v>933906</v>
      </c>
      <c r="EH93" s="315">
        <v>329810</v>
      </c>
      <c r="EI93" s="315">
        <v>329810</v>
      </c>
      <c r="EJ93" s="315"/>
      <c r="EK93" s="315">
        <v>145634</v>
      </c>
      <c r="EL93" s="315">
        <v>130888</v>
      </c>
      <c r="EM93" s="315">
        <v>14746</v>
      </c>
      <c r="EN93" s="315">
        <v>14746</v>
      </c>
      <c r="EO93" s="315"/>
      <c r="EP93" s="315">
        <v>15216</v>
      </c>
      <c r="EQ93" s="315">
        <v>11348</v>
      </c>
      <c r="ER93" s="315">
        <v>3868</v>
      </c>
      <c r="ES93" s="315">
        <v>3868</v>
      </c>
      <c r="ET93" s="315"/>
      <c r="EU93" s="315">
        <v>2910</v>
      </c>
      <c r="EV93" s="315">
        <v>2572</v>
      </c>
      <c r="EW93" s="315">
        <v>338</v>
      </c>
      <c r="EX93" s="315">
        <v>338</v>
      </c>
      <c r="EY93" s="315"/>
      <c r="EZ93" s="315">
        <v>694220</v>
      </c>
      <c r="FA93" s="315">
        <v>514225</v>
      </c>
      <c r="FB93" s="315">
        <v>179995</v>
      </c>
      <c r="FC93" s="315">
        <v>179995</v>
      </c>
      <c r="FD93" s="315"/>
      <c r="FE93" s="315">
        <v>249284</v>
      </c>
      <c r="FF93" s="315">
        <v>152362</v>
      </c>
      <c r="FG93" s="315">
        <v>96922</v>
      </c>
      <c r="FH93" s="315">
        <v>96922</v>
      </c>
      <c r="FI93" s="315"/>
      <c r="FJ93" s="315">
        <v>63293</v>
      </c>
      <c r="FK93" s="315">
        <v>29352</v>
      </c>
      <c r="FL93" s="315">
        <v>33941</v>
      </c>
      <c r="FM93" s="315">
        <v>33941</v>
      </c>
      <c r="FN93" s="315"/>
      <c r="FO93" s="315"/>
      <c r="FP93" s="315"/>
      <c r="FQ93" s="315">
        <v>93159</v>
      </c>
      <c r="FR93" s="315">
        <v>221996</v>
      </c>
      <c r="FS93" s="315">
        <v>-4301</v>
      </c>
      <c r="FT93" s="315">
        <v>217695</v>
      </c>
      <c r="FU93" s="315"/>
      <c r="FV93" s="315"/>
      <c r="FW93" s="315"/>
      <c r="FX93" s="315">
        <v>73220</v>
      </c>
      <c r="FY93" s="315">
        <v>79079</v>
      </c>
      <c r="FZ93" s="315"/>
      <c r="GA93" s="315"/>
      <c r="GB93" s="315"/>
      <c r="GC93" s="315">
        <v>38806</v>
      </c>
      <c r="GD93" s="315"/>
      <c r="GE93" s="315"/>
      <c r="GF93" s="315"/>
      <c r="GG93" s="315">
        <v>26590</v>
      </c>
      <c r="GH93" s="315">
        <v>1589</v>
      </c>
      <c r="GI93" s="315">
        <v>1106</v>
      </c>
      <c r="GJ93" s="315">
        <v>23895</v>
      </c>
      <c r="GL93"/>
      <c r="GM93"/>
      <c r="GN93"/>
      <c r="GO93"/>
    </row>
    <row r="94" spans="1:197">
      <c r="A94" s="98" t="s">
        <v>20</v>
      </c>
      <c r="B94" s="98">
        <v>3</v>
      </c>
      <c r="C94" s="98" t="s">
        <v>219</v>
      </c>
      <c r="D94" s="315">
        <v>6824234</v>
      </c>
      <c r="E94" s="315">
        <v>-1813963</v>
      </c>
      <c r="F94" s="315">
        <v>-11109</v>
      </c>
      <c r="G94" s="315">
        <v>4999162</v>
      </c>
      <c r="H94" s="315">
        <v>2777184</v>
      </c>
      <c r="I94" s="315">
        <v>2221978</v>
      </c>
      <c r="J94" s="315">
        <v>2221978</v>
      </c>
      <c r="K94" s="315"/>
      <c r="L94" s="315">
        <v>2189916</v>
      </c>
      <c r="M94" s="315">
        <v>1969742</v>
      </c>
      <c r="N94" s="315">
        <v>49680</v>
      </c>
      <c r="O94" s="315"/>
      <c r="P94" s="315"/>
      <c r="Q94" s="315"/>
      <c r="R94" s="315">
        <v>170494</v>
      </c>
      <c r="S94" s="315">
        <v>-70835</v>
      </c>
      <c r="T94" s="315">
        <v>-58247</v>
      </c>
      <c r="U94" s="315"/>
      <c r="V94" s="315"/>
      <c r="W94" s="315">
        <v>-12254</v>
      </c>
      <c r="X94" s="315">
        <v>-28270</v>
      </c>
      <c r="Y94" s="315">
        <v>-17723</v>
      </c>
      <c r="Z94" s="315"/>
      <c r="AA94" s="315">
        <v>-12588</v>
      </c>
      <c r="AB94" s="315">
        <v>0</v>
      </c>
      <c r="AC94" s="315">
        <v>-11109</v>
      </c>
      <c r="AD94" s="315">
        <v>2107972</v>
      </c>
      <c r="AE94" s="315">
        <v>1070916</v>
      </c>
      <c r="AF94" s="315">
        <v>1037056</v>
      </c>
      <c r="AG94" s="315">
        <v>1037056</v>
      </c>
      <c r="AH94" s="315"/>
      <c r="AI94" s="315">
        <v>1958375</v>
      </c>
      <c r="AJ94" s="315">
        <v>205560</v>
      </c>
      <c r="AK94" s="315">
        <v>1666557</v>
      </c>
      <c r="AL94" s="315">
        <v>27104</v>
      </c>
      <c r="AM94" s="315">
        <v>111252</v>
      </c>
      <c r="AN94" s="315">
        <v>18561</v>
      </c>
      <c r="AO94" s="315">
        <v>33346</v>
      </c>
      <c r="AP94" s="315"/>
      <c r="AQ94" s="315">
        <v>6114</v>
      </c>
      <c r="AR94" s="315">
        <v>-8567</v>
      </c>
      <c r="AS94" s="315"/>
      <c r="AT94" s="315"/>
      <c r="AU94" s="315">
        <v>-11109</v>
      </c>
      <c r="AV94" s="315">
        <v>175652</v>
      </c>
      <c r="AW94" s="315">
        <v>10074</v>
      </c>
      <c r="AX94" s="315">
        <v>85854</v>
      </c>
      <c r="AY94" s="315"/>
      <c r="AZ94" s="315"/>
      <c r="BA94" s="315"/>
      <c r="BB94" s="315"/>
      <c r="BC94" s="315"/>
      <c r="BD94" s="315">
        <v>79724</v>
      </c>
      <c r="BE94" s="315">
        <v>-539306</v>
      </c>
      <c r="BF94" s="315">
        <v>-238528</v>
      </c>
      <c r="BG94" s="315">
        <v>-238528</v>
      </c>
      <c r="BH94" s="315"/>
      <c r="BI94" s="315">
        <v>0</v>
      </c>
      <c r="BJ94" s="315">
        <v>-196622</v>
      </c>
      <c r="BK94" s="315">
        <v>-41906</v>
      </c>
      <c r="BL94" s="315">
        <v>-16904</v>
      </c>
      <c r="BM94" s="315">
        <v>-283874</v>
      </c>
      <c r="BN94" s="315">
        <v>-363654</v>
      </c>
      <c r="BO94" s="315">
        <v>-237861</v>
      </c>
      <c r="BP94" s="315">
        <v>7394</v>
      </c>
      <c r="BQ94" s="315">
        <v>14188</v>
      </c>
      <c r="BR94" s="315"/>
      <c r="BS94" s="315">
        <v>5299</v>
      </c>
      <c r="BT94" s="315"/>
      <c r="BU94" s="315"/>
      <c r="BV94" s="315"/>
      <c r="BW94" s="315"/>
      <c r="BX94" s="315">
        <v>-152674</v>
      </c>
      <c r="BY94" s="315"/>
      <c r="BZ94" s="315"/>
      <c r="CA94" s="315">
        <v>46940</v>
      </c>
      <c r="CB94" s="315">
        <v>-350009</v>
      </c>
      <c r="CC94" s="315">
        <v>-12509</v>
      </c>
      <c r="CD94" s="315">
        <v>-337500</v>
      </c>
      <c r="CE94" s="315">
        <v>-303069</v>
      </c>
      <c r="CF94" s="315"/>
      <c r="CG94" s="315"/>
      <c r="CH94" s="315"/>
      <c r="CI94" s="315">
        <v>2822764</v>
      </c>
      <c r="CJ94" s="315">
        <v>810374</v>
      </c>
      <c r="CK94" s="315">
        <v>2012390</v>
      </c>
      <c r="CL94" s="315">
        <v>1744294</v>
      </c>
      <c r="CM94" s="315">
        <v>19113</v>
      </c>
      <c r="CN94" s="315">
        <v>248983</v>
      </c>
      <c r="CO94" s="315">
        <v>0</v>
      </c>
      <c r="CP94" s="315">
        <v>36635</v>
      </c>
      <c r="CQ94" s="315">
        <v>212348</v>
      </c>
      <c r="CR94" s="315">
        <v>-830103</v>
      </c>
      <c r="CS94" s="315">
        <v>-313297</v>
      </c>
      <c r="CT94" s="315">
        <v>-176134</v>
      </c>
      <c r="CU94" s="315">
        <v>-30000</v>
      </c>
      <c r="CV94" s="315">
        <v>-408</v>
      </c>
      <c r="CW94" s="315">
        <v>-106755</v>
      </c>
      <c r="CX94" s="315">
        <v>-445868</v>
      </c>
      <c r="CY94" s="315">
        <v>-184518</v>
      </c>
      <c r="CZ94" s="315">
        <v>-259592</v>
      </c>
      <c r="DA94" s="315">
        <v>-1758</v>
      </c>
      <c r="DB94" s="315">
        <v>0</v>
      </c>
      <c r="DC94" s="315">
        <v>-70938</v>
      </c>
      <c r="DD94" s="315">
        <v>1992661</v>
      </c>
      <c r="DE94" s="315">
        <v>1211662</v>
      </c>
      <c r="DF94" s="315">
        <v>780999</v>
      </c>
      <c r="DG94" s="315">
        <v>780999</v>
      </c>
      <c r="DH94" s="315"/>
      <c r="DI94" s="315">
        <v>1346079</v>
      </c>
      <c r="DJ94" s="315">
        <v>176817</v>
      </c>
      <c r="DK94" s="315">
        <v>15071</v>
      </c>
      <c r="DL94" s="315">
        <v>1634</v>
      </c>
      <c r="DM94" s="315">
        <v>714273</v>
      </c>
      <c r="DN94" s="315">
        <v>289100</v>
      </c>
      <c r="DO94" s="315">
        <v>58374</v>
      </c>
      <c r="DP94" s="315"/>
      <c r="DQ94" s="315"/>
      <c r="DR94" s="315">
        <v>90810</v>
      </c>
      <c r="DS94" s="315">
        <v>-13928</v>
      </c>
      <c r="DT94" s="315">
        <v>-2905</v>
      </c>
      <c r="DU94" s="315">
        <v>-973</v>
      </c>
      <c r="DV94" s="315">
        <v>-170</v>
      </c>
      <c r="DW94" s="315">
        <v>-258</v>
      </c>
      <c r="DX94" s="315"/>
      <c r="DY94" s="315"/>
      <c r="DZ94" s="315"/>
      <c r="EA94" s="315">
        <v>-6643</v>
      </c>
      <c r="EB94" s="315">
        <v>0</v>
      </c>
      <c r="EC94" s="315"/>
      <c r="ED94" s="315"/>
      <c r="EE94" s="315">
        <v>-2979</v>
      </c>
      <c r="EF94" s="315">
        <v>1332151</v>
      </c>
      <c r="EG94" s="315">
        <v>928228</v>
      </c>
      <c r="EH94" s="315">
        <v>403923</v>
      </c>
      <c r="EI94" s="315">
        <v>403923</v>
      </c>
      <c r="EJ94" s="315"/>
      <c r="EK94" s="315">
        <v>173912</v>
      </c>
      <c r="EL94" s="315">
        <v>154631</v>
      </c>
      <c r="EM94" s="315">
        <v>19281</v>
      </c>
      <c r="EN94" s="315">
        <v>19281</v>
      </c>
      <c r="EO94" s="315"/>
      <c r="EP94" s="315">
        <v>14098</v>
      </c>
      <c r="EQ94" s="315">
        <v>9070</v>
      </c>
      <c r="ER94" s="315">
        <v>5028</v>
      </c>
      <c r="ES94" s="315">
        <v>5028</v>
      </c>
      <c r="ET94" s="315"/>
      <c r="EU94" s="315">
        <v>1464</v>
      </c>
      <c r="EV94" s="315">
        <v>1023</v>
      </c>
      <c r="EW94" s="315">
        <v>441</v>
      </c>
      <c r="EX94" s="315">
        <v>441</v>
      </c>
      <c r="EY94" s="315"/>
      <c r="EZ94" s="315">
        <v>714015</v>
      </c>
      <c r="FA94" s="315">
        <v>496894</v>
      </c>
      <c r="FB94" s="315">
        <v>217121</v>
      </c>
      <c r="FC94" s="315">
        <v>217121</v>
      </c>
      <c r="FD94" s="315"/>
      <c r="FE94" s="315">
        <v>282457</v>
      </c>
      <c r="FF94" s="315">
        <v>160995</v>
      </c>
      <c r="FG94" s="315">
        <v>121462</v>
      </c>
      <c r="FH94" s="315">
        <v>121462</v>
      </c>
      <c r="FI94" s="315"/>
      <c r="FJ94" s="315">
        <v>58374</v>
      </c>
      <c r="FK94" s="315">
        <v>17784</v>
      </c>
      <c r="FL94" s="315">
        <v>40590</v>
      </c>
      <c r="FM94" s="315">
        <v>40590</v>
      </c>
      <c r="FN94" s="315"/>
      <c r="FO94" s="315"/>
      <c r="FP94" s="315"/>
      <c r="FQ94" s="315">
        <v>87831</v>
      </c>
      <c r="FR94" s="315">
        <v>242883</v>
      </c>
      <c r="FS94" s="315">
        <v>-9782</v>
      </c>
      <c r="FT94" s="315">
        <v>233101</v>
      </c>
      <c r="FU94" s="315"/>
      <c r="FV94" s="315"/>
      <c r="FW94" s="315"/>
      <c r="FX94" s="315">
        <v>74637</v>
      </c>
      <c r="FY94" s="315">
        <v>77501</v>
      </c>
      <c r="FZ94" s="315"/>
      <c r="GA94" s="315"/>
      <c r="GB94" s="315"/>
      <c r="GC94" s="315">
        <v>40511</v>
      </c>
      <c r="GD94" s="315"/>
      <c r="GE94" s="315"/>
      <c r="GF94" s="315"/>
      <c r="GG94" s="315">
        <v>40452</v>
      </c>
      <c r="GH94" s="315">
        <v>-2645</v>
      </c>
      <c r="GI94" s="315">
        <v>3824</v>
      </c>
      <c r="GJ94" s="315">
        <v>39273</v>
      </c>
      <c r="GL94"/>
      <c r="GM94"/>
      <c r="GN94"/>
      <c r="GO94"/>
    </row>
    <row r="95" spans="1:197">
      <c r="A95" s="98" t="s">
        <v>20</v>
      </c>
      <c r="B95" s="98">
        <v>4</v>
      </c>
      <c r="C95" s="98" t="s">
        <v>220</v>
      </c>
      <c r="D95" s="315">
        <v>18439705</v>
      </c>
      <c r="E95" s="315">
        <v>-1825356</v>
      </c>
      <c r="F95" s="315">
        <v>-11110</v>
      </c>
      <c r="G95" s="315">
        <v>16603239</v>
      </c>
      <c r="H95" s="315">
        <v>14274440</v>
      </c>
      <c r="I95" s="315">
        <v>2328799</v>
      </c>
      <c r="J95" s="315">
        <v>2328799</v>
      </c>
      <c r="K95" s="315"/>
      <c r="L95" s="315">
        <v>6042124</v>
      </c>
      <c r="M95" s="315">
        <v>4967320</v>
      </c>
      <c r="N95" s="315">
        <v>50415</v>
      </c>
      <c r="O95" s="315"/>
      <c r="P95" s="315"/>
      <c r="Q95" s="315"/>
      <c r="R95" s="315">
        <v>1024389</v>
      </c>
      <c r="S95" s="315">
        <v>-189068</v>
      </c>
      <c r="T95" s="315">
        <v>-182260</v>
      </c>
      <c r="U95" s="315"/>
      <c r="V95" s="315"/>
      <c r="W95" s="315">
        <v>-153015</v>
      </c>
      <c r="X95" s="315">
        <v>-20000</v>
      </c>
      <c r="Y95" s="315">
        <v>-9245</v>
      </c>
      <c r="Z95" s="315"/>
      <c r="AA95" s="315">
        <v>-6808</v>
      </c>
      <c r="AB95" s="315">
        <v>0</v>
      </c>
      <c r="AC95" s="315">
        <v>-11110</v>
      </c>
      <c r="AD95" s="315">
        <v>5841946</v>
      </c>
      <c r="AE95" s="315">
        <v>4804890</v>
      </c>
      <c r="AF95" s="315">
        <v>1037056</v>
      </c>
      <c r="AG95" s="315">
        <v>1037056</v>
      </c>
      <c r="AH95" s="315"/>
      <c r="AI95" s="315">
        <v>4961763</v>
      </c>
      <c r="AJ95" s="315">
        <v>496428</v>
      </c>
      <c r="AK95" s="315">
        <v>1642415</v>
      </c>
      <c r="AL95" s="315">
        <v>2747374</v>
      </c>
      <c r="AM95" s="315">
        <v>188619</v>
      </c>
      <c r="AN95" s="315">
        <v>195887</v>
      </c>
      <c r="AO95" s="315">
        <v>32580</v>
      </c>
      <c r="AP95" s="315"/>
      <c r="AQ95" s="315">
        <v>606052</v>
      </c>
      <c r="AR95" s="315">
        <v>-131845</v>
      </c>
      <c r="AS95" s="315"/>
      <c r="AT95" s="315"/>
      <c r="AU95" s="315">
        <v>-11110</v>
      </c>
      <c r="AV95" s="315">
        <v>3230168</v>
      </c>
      <c r="AW95" s="315">
        <v>2829452</v>
      </c>
      <c r="AX95" s="315">
        <v>169602</v>
      </c>
      <c r="AY95" s="315"/>
      <c r="AZ95" s="315"/>
      <c r="BA95" s="315"/>
      <c r="BB95" s="315"/>
      <c r="BC95" s="315"/>
      <c r="BD95" s="315">
        <v>231114</v>
      </c>
      <c r="BE95" s="315">
        <v>-101954</v>
      </c>
      <c r="BF95" s="315">
        <v>-99416</v>
      </c>
      <c r="BG95" s="315">
        <v>-99416</v>
      </c>
      <c r="BH95" s="315"/>
      <c r="BI95" s="315">
        <v>0</v>
      </c>
      <c r="BJ95" s="315">
        <v>-83044</v>
      </c>
      <c r="BK95" s="315">
        <v>-16372</v>
      </c>
      <c r="BL95" s="315">
        <v>-2307</v>
      </c>
      <c r="BM95" s="315">
        <v>-231</v>
      </c>
      <c r="BN95" s="315">
        <v>3128214</v>
      </c>
      <c r="BO95" s="315">
        <v>134072</v>
      </c>
      <c r="BP95" s="315">
        <v>82797</v>
      </c>
      <c r="BQ95" s="315">
        <v>13835</v>
      </c>
      <c r="BR95" s="315"/>
      <c r="BS95" s="315">
        <v>2827324</v>
      </c>
      <c r="BT95" s="315"/>
      <c r="BU95" s="315"/>
      <c r="BV95" s="315"/>
      <c r="BW95" s="315"/>
      <c r="BX95" s="315">
        <v>70186</v>
      </c>
      <c r="BY95" s="315"/>
      <c r="BZ95" s="315"/>
      <c r="CA95" s="315">
        <v>152815</v>
      </c>
      <c r="CB95" s="315">
        <v>-13784</v>
      </c>
      <c r="CC95" s="315">
        <v>-11703</v>
      </c>
      <c r="CD95" s="315">
        <v>-2081</v>
      </c>
      <c r="CE95" s="315">
        <v>139031</v>
      </c>
      <c r="CF95" s="315"/>
      <c r="CG95" s="315"/>
      <c r="CH95" s="315"/>
      <c r="CI95" s="315">
        <v>6917010</v>
      </c>
      <c r="CJ95" s="315">
        <v>921311</v>
      </c>
      <c r="CK95" s="315">
        <v>5995699</v>
      </c>
      <c r="CL95" s="315">
        <v>1847567</v>
      </c>
      <c r="CM95" s="315">
        <v>3973356</v>
      </c>
      <c r="CN95" s="315">
        <v>174776</v>
      </c>
      <c r="CO95" s="315">
        <v>0</v>
      </c>
      <c r="CP95" s="315">
        <v>0</v>
      </c>
      <c r="CQ95" s="315">
        <v>174776</v>
      </c>
      <c r="CR95" s="315">
        <v>-1482899</v>
      </c>
      <c r="CS95" s="315">
        <v>-370828</v>
      </c>
      <c r="CT95" s="315">
        <v>-286185</v>
      </c>
      <c r="CU95" s="315">
        <v>-30000</v>
      </c>
      <c r="CV95" s="315">
        <v>-184</v>
      </c>
      <c r="CW95" s="315">
        <v>-54459</v>
      </c>
      <c r="CX95" s="315">
        <v>-829622</v>
      </c>
      <c r="CY95" s="315">
        <v>-584459</v>
      </c>
      <c r="CZ95" s="315">
        <v>-244080</v>
      </c>
      <c r="DA95" s="315">
        <v>-1083</v>
      </c>
      <c r="DB95" s="315">
        <v>-282449</v>
      </c>
      <c r="DC95" s="315">
        <v>0</v>
      </c>
      <c r="DD95" s="315">
        <v>5434111</v>
      </c>
      <c r="DE95" s="315">
        <v>4586038</v>
      </c>
      <c r="DF95" s="315">
        <v>848073</v>
      </c>
      <c r="DG95" s="315">
        <v>848073</v>
      </c>
      <c r="DH95" s="315"/>
      <c r="DI95" s="315">
        <v>1592265</v>
      </c>
      <c r="DJ95" s="315">
        <v>-991</v>
      </c>
      <c r="DK95" s="315">
        <v>11157</v>
      </c>
      <c r="DL95" s="315">
        <v>595</v>
      </c>
      <c r="DM95" s="315">
        <v>813044</v>
      </c>
      <c r="DN95" s="315">
        <v>607707</v>
      </c>
      <c r="DO95" s="315">
        <v>57818</v>
      </c>
      <c r="DP95" s="315"/>
      <c r="DQ95" s="315"/>
      <c r="DR95" s="315">
        <v>102935</v>
      </c>
      <c r="DS95" s="315">
        <v>-28749</v>
      </c>
      <c r="DT95" s="315">
        <v>-4173</v>
      </c>
      <c r="DU95" s="315">
        <v>-4100</v>
      </c>
      <c r="DV95" s="315">
        <v>-3</v>
      </c>
      <c r="DW95" s="315">
        <v>-472</v>
      </c>
      <c r="DX95" s="315"/>
      <c r="DY95" s="315"/>
      <c r="DZ95" s="315"/>
      <c r="EA95" s="315">
        <v>-16817</v>
      </c>
      <c r="EB95" s="315">
        <v>0</v>
      </c>
      <c r="EC95" s="315"/>
      <c r="ED95" s="315"/>
      <c r="EE95" s="315">
        <v>-3184</v>
      </c>
      <c r="EF95" s="315">
        <v>1563516</v>
      </c>
      <c r="EG95" s="315">
        <v>1119846</v>
      </c>
      <c r="EH95" s="315">
        <v>443670</v>
      </c>
      <c r="EI95" s="315">
        <v>443670</v>
      </c>
      <c r="EJ95" s="315"/>
      <c r="EK95" s="315">
        <v>-5164</v>
      </c>
      <c r="EL95" s="315">
        <v>-25856</v>
      </c>
      <c r="EM95" s="315">
        <v>20692</v>
      </c>
      <c r="EN95" s="315">
        <v>20692</v>
      </c>
      <c r="EO95" s="315"/>
      <c r="EP95" s="315">
        <v>7057</v>
      </c>
      <c r="EQ95" s="315">
        <v>1668</v>
      </c>
      <c r="ER95" s="315">
        <v>5389</v>
      </c>
      <c r="ES95" s="315">
        <v>5389</v>
      </c>
      <c r="ET95" s="315"/>
      <c r="EU95" s="315">
        <v>592</v>
      </c>
      <c r="EV95" s="315">
        <v>118</v>
      </c>
      <c r="EW95" s="315">
        <v>474</v>
      </c>
      <c r="EX95" s="315">
        <v>474</v>
      </c>
      <c r="EY95" s="315"/>
      <c r="EZ95" s="315">
        <v>812572</v>
      </c>
      <c r="FA95" s="315">
        <v>572228</v>
      </c>
      <c r="FB95" s="315">
        <v>240344</v>
      </c>
      <c r="FC95" s="315">
        <v>240344</v>
      </c>
      <c r="FD95" s="315"/>
      <c r="FE95" s="315">
        <v>590890</v>
      </c>
      <c r="FF95" s="315">
        <v>458160</v>
      </c>
      <c r="FG95" s="315">
        <v>132730</v>
      </c>
      <c r="FH95" s="315">
        <v>132730</v>
      </c>
      <c r="FI95" s="315"/>
      <c r="FJ95" s="315">
        <v>57818</v>
      </c>
      <c r="FK95" s="315">
        <v>13777</v>
      </c>
      <c r="FL95" s="315">
        <v>44041</v>
      </c>
      <c r="FM95" s="315">
        <v>44041</v>
      </c>
      <c r="FN95" s="315"/>
      <c r="FO95" s="315"/>
      <c r="FP95" s="315"/>
      <c r="FQ95" s="315">
        <v>99751</v>
      </c>
      <c r="FR95" s="315">
        <v>505323</v>
      </c>
      <c r="FS95" s="315">
        <v>-8902</v>
      </c>
      <c r="FT95" s="315">
        <v>496421</v>
      </c>
      <c r="FU95" s="315"/>
      <c r="FV95" s="315"/>
      <c r="FW95" s="315"/>
      <c r="FX95" s="315">
        <v>80723</v>
      </c>
      <c r="FY95" s="315">
        <v>82074</v>
      </c>
      <c r="FZ95" s="315"/>
      <c r="GA95" s="315"/>
      <c r="GB95" s="315"/>
      <c r="GC95" s="315">
        <v>284721</v>
      </c>
      <c r="GD95" s="315"/>
      <c r="GE95" s="315"/>
      <c r="GF95" s="315"/>
      <c r="GG95" s="315">
        <v>48903</v>
      </c>
      <c r="GH95" s="315">
        <v>493</v>
      </c>
      <c r="GI95" s="315">
        <v>-334</v>
      </c>
      <c r="GJ95" s="315">
        <v>48744</v>
      </c>
      <c r="GL95"/>
      <c r="GM95"/>
      <c r="GN95"/>
      <c r="GO95"/>
    </row>
    <row r="96" spans="1:197">
      <c r="A96" s="98" t="s">
        <v>20</v>
      </c>
      <c r="B96" s="98">
        <v>5</v>
      </c>
      <c r="C96" s="98" t="s">
        <v>221</v>
      </c>
      <c r="D96" s="315">
        <v>7642144</v>
      </c>
      <c r="E96" s="315">
        <v>-2928301</v>
      </c>
      <c r="F96" s="315">
        <v>-11109</v>
      </c>
      <c r="G96" s="315">
        <v>4702734</v>
      </c>
      <c r="H96" s="315">
        <v>2373936</v>
      </c>
      <c r="I96" s="315">
        <v>2328798</v>
      </c>
      <c r="J96" s="315">
        <v>2328798</v>
      </c>
      <c r="K96" s="315"/>
      <c r="L96" s="315">
        <v>2685689</v>
      </c>
      <c r="M96" s="315">
        <v>2304505</v>
      </c>
      <c r="N96" s="315">
        <v>104586</v>
      </c>
      <c r="O96" s="315"/>
      <c r="P96" s="315"/>
      <c r="Q96" s="315"/>
      <c r="R96" s="315">
        <v>276598</v>
      </c>
      <c r="S96" s="315">
        <v>-1069485</v>
      </c>
      <c r="T96" s="315">
        <v>-1058013</v>
      </c>
      <c r="U96" s="315"/>
      <c r="V96" s="315"/>
      <c r="W96" s="315">
        <v>-1036401</v>
      </c>
      <c r="X96" s="315">
        <v>0</v>
      </c>
      <c r="Y96" s="315">
        <v>-21612</v>
      </c>
      <c r="Z96" s="315"/>
      <c r="AA96" s="315">
        <v>-11472</v>
      </c>
      <c r="AB96" s="315">
        <v>0</v>
      </c>
      <c r="AC96" s="315">
        <v>-11109</v>
      </c>
      <c r="AD96" s="315">
        <v>1605095</v>
      </c>
      <c r="AE96" s="315">
        <v>568039</v>
      </c>
      <c r="AF96" s="315">
        <v>1037056</v>
      </c>
      <c r="AG96" s="315">
        <v>1037056</v>
      </c>
      <c r="AH96" s="315"/>
      <c r="AI96" s="315">
        <v>2296388</v>
      </c>
      <c r="AJ96" s="315">
        <v>762824</v>
      </c>
      <c r="AK96" s="315">
        <v>1454400</v>
      </c>
      <c r="AL96" s="315">
        <v>19947</v>
      </c>
      <c r="AM96" s="315">
        <v>214627</v>
      </c>
      <c r="AN96" s="315">
        <v>21141</v>
      </c>
      <c r="AO96" s="315">
        <v>30026</v>
      </c>
      <c r="AP96" s="315"/>
      <c r="AQ96" s="315">
        <v>7449</v>
      </c>
      <c r="AR96" s="315">
        <v>-953427</v>
      </c>
      <c r="AS96" s="315"/>
      <c r="AT96" s="315"/>
      <c r="AU96" s="315">
        <v>-11109</v>
      </c>
      <c r="AV96" s="315">
        <v>340875</v>
      </c>
      <c r="AW96" s="315">
        <v>-3673</v>
      </c>
      <c r="AX96" s="315">
        <v>196952</v>
      </c>
      <c r="AY96" s="315"/>
      <c r="AZ96" s="315"/>
      <c r="BA96" s="315"/>
      <c r="BB96" s="315"/>
      <c r="BC96" s="315"/>
      <c r="BD96" s="315">
        <v>147596</v>
      </c>
      <c r="BE96" s="315">
        <v>-135644</v>
      </c>
      <c r="BF96" s="315">
        <v>-128491</v>
      </c>
      <c r="BG96" s="315">
        <v>-128491</v>
      </c>
      <c r="BH96" s="315"/>
      <c r="BI96" s="315">
        <v>0</v>
      </c>
      <c r="BJ96" s="315">
        <v>-88550</v>
      </c>
      <c r="BK96" s="315">
        <v>-39941</v>
      </c>
      <c r="BL96" s="315">
        <v>-2013</v>
      </c>
      <c r="BM96" s="315">
        <v>-5140</v>
      </c>
      <c r="BN96" s="315">
        <v>205231</v>
      </c>
      <c r="BO96" s="315">
        <v>119888</v>
      </c>
      <c r="BP96" s="315">
        <v>8457</v>
      </c>
      <c r="BQ96" s="315">
        <v>12778</v>
      </c>
      <c r="BR96" s="315"/>
      <c r="BS96" s="315">
        <v>-4353</v>
      </c>
      <c r="BT96" s="315"/>
      <c r="BU96" s="315"/>
      <c r="BV96" s="315"/>
      <c r="BW96" s="315"/>
      <c r="BX96" s="315">
        <v>68461</v>
      </c>
      <c r="BY96" s="315"/>
      <c r="BZ96" s="315"/>
      <c r="CA96" s="315">
        <v>123201</v>
      </c>
      <c r="CB96" s="315">
        <v>-57526</v>
      </c>
      <c r="CC96" s="315">
        <v>-11270</v>
      </c>
      <c r="CD96" s="315">
        <v>-46256</v>
      </c>
      <c r="CE96" s="315">
        <v>65675</v>
      </c>
      <c r="CF96" s="315"/>
      <c r="CG96" s="315"/>
      <c r="CH96" s="315"/>
      <c r="CI96" s="315">
        <v>2801797</v>
      </c>
      <c r="CJ96" s="315">
        <v>883700</v>
      </c>
      <c r="CK96" s="315">
        <v>1918097</v>
      </c>
      <c r="CL96" s="315">
        <v>1746459</v>
      </c>
      <c r="CM96" s="315">
        <v>27335</v>
      </c>
      <c r="CN96" s="315">
        <v>144303</v>
      </c>
      <c r="CO96" s="315">
        <v>0</v>
      </c>
      <c r="CP96" s="315">
        <v>0</v>
      </c>
      <c r="CQ96" s="315">
        <v>144303</v>
      </c>
      <c r="CR96" s="315">
        <v>-1652333</v>
      </c>
      <c r="CS96" s="315">
        <v>-799583</v>
      </c>
      <c r="CT96" s="315">
        <v>-737463</v>
      </c>
      <c r="CU96" s="315">
        <v>-30000</v>
      </c>
      <c r="CV96" s="315">
        <v>-469</v>
      </c>
      <c r="CW96" s="315">
        <v>-31651</v>
      </c>
      <c r="CX96" s="315">
        <v>-852750</v>
      </c>
      <c r="CY96" s="315">
        <v>-617329</v>
      </c>
      <c r="CZ96" s="315">
        <v>-234000</v>
      </c>
      <c r="DA96" s="315">
        <v>-1421</v>
      </c>
      <c r="DB96" s="315">
        <v>0</v>
      </c>
      <c r="DC96" s="315">
        <v>0</v>
      </c>
      <c r="DD96" s="315">
        <v>1149464</v>
      </c>
      <c r="DE96" s="315">
        <v>301391</v>
      </c>
      <c r="DF96" s="315">
        <v>848073</v>
      </c>
      <c r="DG96" s="315">
        <v>848073</v>
      </c>
      <c r="DH96" s="315"/>
      <c r="DI96" s="315">
        <v>1231182</v>
      </c>
      <c r="DJ96" s="315">
        <v>26756</v>
      </c>
      <c r="DK96" s="315">
        <v>14815</v>
      </c>
      <c r="DL96" s="315">
        <v>1643</v>
      </c>
      <c r="DM96" s="315">
        <v>770351</v>
      </c>
      <c r="DN96" s="315">
        <v>261482</v>
      </c>
      <c r="DO96" s="315">
        <v>55979</v>
      </c>
      <c r="DP96" s="315"/>
      <c r="DQ96" s="315"/>
      <c r="DR96" s="315">
        <v>100156</v>
      </c>
      <c r="DS96" s="315">
        <v>-8076</v>
      </c>
      <c r="DT96" s="315">
        <v>-3857</v>
      </c>
      <c r="DU96" s="315">
        <v>-112</v>
      </c>
      <c r="DV96" s="315">
        <v>-62</v>
      </c>
      <c r="DW96" s="315">
        <v>-767</v>
      </c>
      <c r="DX96" s="315"/>
      <c r="DY96" s="315"/>
      <c r="DZ96" s="315"/>
      <c r="EA96" s="315">
        <v>-4</v>
      </c>
      <c r="EB96" s="315">
        <v>-2</v>
      </c>
      <c r="EC96" s="315"/>
      <c r="ED96" s="315"/>
      <c r="EE96" s="315">
        <v>-3272</v>
      </c>
      <c r="EF96" s="315">
        <v>1223106</v>
      </c>
      <c r="EG96" s="315">
        <v>779437</v>
      </c>
      <c r="EH96" s="315">
        <v>443669</v>
      </c>
      <c r="EI96" s="315">
        <v>443669</v>
      </c>
      <c r="EJ96" s="315"/>
      <c r="EK96" s="315">
        <v>22899</v>
      </c>
      <c r="EL96" s="315">
        <v>2207</v>
      </c>
      <c r="EM96" s="315">
        <v>20692</v>
      </c>
      <c r="EN96" s="315">
        <v>20692</v>
      </c>
      <c r="EO96" s="315"/>
      <c r="EP96" s="315">
        <v>14703</v>
      </c>
      <c r="EQ96" s="315">
        <v>9314</v>
      </c>
      <c r="ER96" s="315">
        <v>5389</v>
      </c>
      <c r="ES96" s="315">
        <v>5389</v>
      </c>
      <c r="ET96" s="315"/>
      <c r="EU96" s="315">
        <v>1581</v>
      </c>
      <c r="EV96" s="315">
        <v>1107</v>
      </c>
      <c r="EW96" s="315">
        <v>474</v>
      </c>
      <c r="EX96" s="315">
        <v>474</v>
      </c>
      <c r="EY96" s="315"/>
      <c r="EZ96" s="315">
        <v>769584</v>
      </c>
      <c r="FA96" s="315">
        <v>529240</v>
      </c>
      <c r="FB96" s="315">
        <v>240344</v>
      </c>
      <c r="FC96" s="315">
        <v>240344</v>
      </c>
      <c r="FD96" s="315"/>
      <c r="FE96" s="315">
        <v>261478</v>
      </c>
      <c r="FF96" s="315">
        <v>128749</v>
      </c>
      <c r="FG96" s="315">
        <v>132729</v>
      </c>
      <c r="FH96" s="315">
        <v>132729</v>
      </c>
      <c r="FI96" s="315"/>
      <c r="FJ96" s="315">
        <v>55977</v>
      </c>
      <c r="FK96" s="315">
        <v>11936</v>
      </c>
      <c r="FL96" s="315">
        <v>44041</v>
      </c>
      <c r="FM96" s="315">
        <v>44041</v>
      </c>
      <c r="FN96" s="315"/>
      <c r="FO96" s="315"/>
      <c r="FP96" s="315"/>
      <c r="FQ96" s="315">
        <v>96884</v>
      </c>
      <c r="FR96" s="315">
        <v>459400</v>
      </c>
      <c r="FS96" s="315">
        <v>-5237</v>
      </c>
      <c r="FT96" s="315">
        <v>454163</v>
      </c>
      <c r="FU96" s="315"/>
      <c r="FV96" s="315"/>
      <c r="FW96" s="315"/>
      <c r="FX96" s="315">
        <v>75301</v>
      </c>
      <c r="FY96" s="315">
        <v>88213</v>
      </c>
      <c r="FZ96" s="315"/>
      <c r="GA96" s="315"/>
      <c r="GB96" s="315"/>
      <c r="GC96" s="315">
        <v>224808</v>
      </c>
      <c r="GD96" s="315"/>
      <c r="GE96" s="315"/>
      <c r="GF96" s="315"/>
      <c r="GG96" s="315">
        <v>65841</v>
      </c>
      <c r="GH96" s="315">
        <v>2983</v>
      </c>
      <c r="GI96" s="315">
        <v>13467</v>
      </c>
      <c r="GJ96" s="315">
        <v>49391</v>
      </c>
      <c r="GL96"/>
      <c r="GM96"/>
      <c r="GN96"/>
      <c r="GO96"/>
    </row>
    <row r="97" spans="1:199">
      <c r="A97" s="98" t="s">
        <v>20</v>
      </c>
      <c r="B97" s="98">
        <v>6</v>
      </c>
      <c r="C97" s="98" t="s">
        <v>222</v>
      </c>
      <c r="D97" s="315">
        <v>7780446</v>
      </c>
      <c r="E97" s="315">
        <v>-4495566</v>
      </c>
      <c r="F97" s="315">
        <v>-11109</v>
      </c>
      <c r="G97" s="315">
        <v>3273771</v>
      </c>
      <c r="H97" s="315">
        <v>944973</v>
      </c>
      <c r="I97" s="315">
        <v>2328798</v>
      </c>
      <c r="J97" s="315">
        <v>2328798</v>
      </c>
      <c r="K97" s="315"/>
      <c r="L97" s="315">
        <v>2779718</v>
      </c>
      <c r="M97" s="315">
        <v>1887525</v>
      </c>
      <c r="N97" s="315">
        <v>700615</v>
      </c>
      <c r="O97" s="315"/>
      <c r="P97" s="315"/>
      <c r="Q97" s="315"/>
      <c r="R97" s="315">
        <v>191578</v>
      </c>
      <c r="S97" s="315">
        <v>-2339105</v>
      </c>
      <c r="T97" s="315">
        <v>-2327149</v>
      </c>
      <c r="U97" s="315"/>
      <c r="V97" s="315"/>
      <c r="W97" s="315">
        <v>-2329944</v>
      </c>
      <c r="X97" s="315">
        <v>0</v>
      </c>
      <c r="Y97" s="315">
        <v>2795</v>
      </c>
      <c r="Z97" s="315"/>
      <c r="AA97" s="315">
        <v>-11956</v>
      </c>
      <c r="AB97" s="315">
        <v>0</v>
      </c>
      <c r="AC97" s="315">
        <v>-11109</v>
      </c>
      <c r="AD97" s="315">
        <v>429504</v>
      </c>
      <c r="AE97" s="315">
        <v>-607552</v>
      </c>
      <c r="AF97" s="315">
        <v>1037056</v>
      </c>
      <c r="AG97" s="315">
        <v>1037056</v>
      </c>
      <c r="AH97" s="315"/>
      <c r="AI97" s="315">
        <v>1877296</v>
      </c>
      <c r="AJ97" s="315">
        <v>306500</v>
      </c>
      <c r="AK97" s="315">
        <v>1506090</v>
      </c>
      <c r="AL97" s="315">
        <v>15793</v>
      </c>
      <c r="AM97" s="315">
        <v>139774</v>
      </c>
      <c r="AN97" s="315">
        <v>19509</v>
      </c>
      <c r="AO97" s="315">
        <v>24249</v>
      </c>
      <c r="AP97" s="315"/>
      <c r="AQ97" s="315">
        <v>6319</v>
      </c>
      <c r="AR97" s="315">
        <v>-1626534</v>
      </c>
      <c r="AS97" s="315"/>
      <c r="AT97" s="315"/>
      <c r="AU97" s="315">
        <v>-11109</v>
      </c>
      <c r="AV97" s="315">
        <v>265691</v>
      </c>
      <c r="AW97" s="315">
        <v>44172</v>
      </c>
      <c r="AX97" s="315">
        <v>118087</v>
      </c>
      <c r="AY97" s="315"/>
      <c r="AZ97" s="315"/>
      <c r="BA97" s="315"/>
      <c r="BB97" s="315"/>
      <c r="BC97" s="315"/>
      <c r="BD97" s="315">
        <v>103432</v>
      </c>
      <c r="BE97" s="315">
        <v>-131117</v>
      </c>
      <c r="BF97" s="315">
        <v>-122854</v>
      </c>
      <c r="BG97" s="315">
        <v>-122854</v>
      </c>
      <c r="BH97" s="315"/>
      <c r="BI97" s="315">
        <v>0</v>
      </c>
      <c r="BJ97" s="315">
        <v>-111377</v>
      </c>
      <c r="BK97" s="315">
        <v>-11477</v>
      </c>
      <c r="BL97" s="315">
        <v>-4562</v>
      </c>
      <c r="BM97" s="315">
        <v>-3701</v>
      </c>
      <c r="BN97" s="315">
        <v>134574</v>
      </c>
      <c r="BO97" s="315">
        <v>80939</v>
      </c>
      <c r="BP97" s="315">
        <v>7794</v>
      </c>
      <c r="BQ97" s="315">
        <v>10325</v>
      </c>
      <c r="BR97" s="315"/>
      <c r="BS97" s="315">
        <v>40283</v>
      </c>
      <c r="BT97" s="315"/>
      <c r="BU97" s="315"/>
      <c r="BV97" s="315"/>
      <c r="BW97" s="315"/>
      <c r="BX97" s="315">
        <v>-4767</v>
      </c>
      <c r="BY97" s="315"/>
      <c r="BZ97" s="315"/>
      <c r="CA97" s="315">
        <v>110554</v>
      </c>
      <c r="CB97" s="315">
        <v>-46095</v>
      </c>
      <c r="CC97" s="315">
        <v>-12788</v>
      </c>
      <c r="CD97" s="315">
        <v>-33307</v>
      </c>
      <c r="CE97" s="315">
        <v>64459</v>
      </c>
      <c r="CF97" s="315"/>
      <c r="CG97" s="315"/>
      <c r="CH97" s="315"/>
      <c r="CI97" s="315">
        <v>2870693</v>
      </c>
      <c r="CJ97" s="315">
        <v>887219</v>
      </c>
      <c r="CK97" s="315">
        <v>1983474</v>
      </c>
      <c r="CL97" s="315">
        <v>1804786</v>
      </c>
      <c r="CM97" s="315">
        <v>10908</v>
      </c>
      <c r="CN97" s="315">
        <v>167780</v>
      </c>
      <c r="CO97" s="315">
        <v>0</v>
      </c>
      <c r="CP97" s="315">
        <v>0</v>
      </c>
      <c r="CQ97" s="315">
        <v>167780</v>
      </c>
      <c r="CR97" s="315">
        <v>-1939369</v>
      </c>
      <c r="CS97" s="315">
        <v>-789195</v>
      </c>
      <c r="CT97" s="315">
        <v>-664603</v>
      </c>
      <c r="CU97" s="315">
        <v>-6050</v>
      </c>
      <c r="CV97" s="315">
        <v>-41</v>
      </c>
      <c r="CW97" s="315">
        <v>-118501</v>
      </c>
      <c r="CX97" s="315">
        <v>-1085867</v>
      </c>
      <c r="CY97" s="315">
        <v>-853656</v>
      </c>
      <c r="CZ97" s="315">
        <v>-231000</v>
      </c>
      <c r="DA97" s="315">
        <v>-1211</v>
      </c>
      <c r="DB97" s="315">
        <v>0</v>
      </c>
      <c r="DC97" s="315">
        <v>-64307</v>
      </c>
      <c r="DD97" s="315">
        <v>931324</v>
      </c>
      <c r="DE97" s="315">
        <v>83251</v>
      </c>
      <c r="DF97" s="315">
        <v>848073</v>
      </c>
      <c r="DG97" s="315">
        <v>848073</v>
      </c>
      <c r="DH97" s="315"/>
      <c r="DI97" s="315">
        <v>1439708</v>
      </c>
      <c r="DJ97" s="315">
        <v>44235</v>
      </c>
      <c r="DK97" s="315">
        <v>16358</v>
      </c>
      <c r="DL97" s="315">
        <v>875</v>
      </c>
      <c r="DM97" s="315">
        <v>800308</v>
      </c>
      <c r="DN97" s="315">
        <v>406176</v>
      </c>
      <c r="DO97" s="315">
        <v>56773</v>
      </c>
      <c r="DP97" s="315"/>
      <c r="DQ97" s="315"/>
      <c r="DR97" s="315">
        <v>114983</v>
      </c>
      <c r="DS97" s="315">
        <v>-26436</v>
      </c>
      <c r="DT97" s="315">
        <v>-1443</v>
      </c>
      <c r="DU97" s="315">
        <v>-63</v>
      </c>
      <c r="DV97" s="315">
        <v>-440</v>
      </c>
      <c r="DW97" s="315">
        <v>-729</v>
      </c>
      <c r="DX97" s="315"/>
      <c r="DY97" s="315"/>
      <c r="DZ97" s="315"/>
      <c r="EA97" s="315">
        <v>-20215</v>
      </c>
      <c r="EB97" s="315">
        <v>-1</v>
      </c>
      <c r="EC97" s="315"/>
      <c r="ED97" s="315"/>
      <c r="EE97" s="315">
        <v>-3545</v>
      </c>
      <c r="EF97" s="315">
        <v>1413272</v>
      </c>
      <c r="EG97" s="315">
        <v>969603</v>
      </c>
      <c r="EH97" s="315">
        <v>443669</v>
      </c>
      <c r="EI97" s="315">
        <v>443669</v>
      </c>
      <c r="EJ97" s="315"/>
      <c r="EK97" s="315">
        <v>42792</v>
      </c>
      <c r="EL97" s="315">
        <v>22100</v>
      </c>
      <c r="EM97" s="315">
        <v>20692</v>
      </c>
      <c r="EN97" s="315">
        <v>20692</v>
      </c>
      <c r="EO97" s="315"/>
      <c r="EP97" s="315">
        <v>16295</v>
      </c>
      <c r="EQ97" s="315">
        <v>10906</v>
      </c>
      <c r="ER97" s="315">
        <v>5389</v>
      </c>
      <c r="ES97" s="315">
        <v>5389</v>
      </c>
      <c r="ET97" s="315"/>
      <c r="EU97" s="315">
        <v>435</v>
      </c>
      <c r="EV97" s="315">
        <v>-39</v>
      </c>
      <c r="EW97" s="315">
        <v>474</v>
      </c>
      <c r="EX97" s="315">
        <v>474</v>
      </c>
      <c r="EY97" s="315"/>
      <c r="EZ97" s="315">
        <v>799579</v>
      </c>
      <c r="FA97" s="315">
        <v>559235</v>
      </c>
      <c r="FB97" s="315">
        <v>240344</v>
      </c>
      <c r="FC97" s="315">
        <v>240344</v>
      </c>
      <c r="FD97" s="315"/>
      <c r="FE97" s="315">
        <v>385961</v>
      </c>
      <c r="FF97" s="315">
        <v>253232</v>
      </c>
      <c r="FG97" s="315">
        <v>132729</v>
      </c>
      <c r="FH97" s="315">
        <v>132729</v>
      </c>
      <c r="FI97" s="315"/>
      <c r="FJ97" s="315">
        <v>56772</v>
      </c>
      <c r="FK97" s="315">
        <v>12731</v>
      </c>
      <c r="FL97" s="315">
        <v>44041</v>
      </c>
      <c r="FM97" s="315">
        <v>44041</v>
      </c>
      <c r="FN97" s="315"/>
      <c r="FO97" s="315"/>
      <c r="FP97" s="315"/>
      <c r="FQ97" s="315">
        <v>111438</v>
      </c>
      <c r="FR97" s="315">
        <v>314082</v>
      </c>
      <c r="FS97" s="315">
        <v>-13444</v>
      </c>
      <c r="FT97" s="315">
        <v>300638</v>
      </c>
      <c r="FU97" s="315"/>
      <c r="FV97" s="315"/>
      <c r="FW97" s="315"/>
      <c r="FX97" s="315">
        <v>68776</v>
      </c>
      <c r="FY97" s="315">
        <v>81351</v>
      </c>
      <c r="FZ97" s="315"/>
      <c r="GA97" s="315"/>
      <c r="GB97" s="315"/>
      <c r="GC97" s="315">
        <v>55982</v>
      </c>
      <c r="GD97" s="315"/>
      <c r="GE97" s="315"/>
      <c r="GF97" s="315"/>
      <c r="GG97" s="315">
        <v>94529</v>
      </c>
      <c r="GH97" s="315">
        <v>53819</v>
      </c>
      <c r="GI97" s="315">
        <v>1714</v>
      </c>
      <c r="GJ97" s="315">
        <v>38996</v>
      </c>
      <c r="GL97"/>
      <c r="GM97"/>
      <c r="GN97"/>
      <c r="GO97"/>
    </row>
    <row r="98" spans="1:199">
      <c r="A98" s="98" t="s">
        <v>20</v>
      </c>
      <c r="B98" s="98">
        <v>7</v>
      </c>
      <c r="C98" s="98" t="s">
        <v>223</v>
      </c>
      <c r="D98" s="315">
        <v>19485358</v>
      </c>
      <c r="E98" s="315">
        <v>-4796132</v>
      </c>
      <c r="F98" s="315">
        <v>-11109</v>
      </c>
      <c r="G98" s="315">
        <v>14678117</v>
      </c>
      <c r="H98" s="315">
        <v>12021645</v>
      </c>
      <c r="I98" s="315">
        <v>2656472</v>
      </c>
      <c r="J98" s="315">
        <v>2656472</v>
      </c>
      <c r="K98" s="315"/>
      <c r="L98" s="315">
        <v>9261402</v>
      </c>
      <c r="M98" s="315">
        <v>5709404</v>
      </c>
      <c r="N98" s="315">
        <v>2405792</v>
      </c>
      <c r="O98" s="315"/>
      <c r="P98" s="315"/>
      <c r="Q98" s="315"/>
      <c r="R98" s="315">
        <v>1146206</v>
      </c>
      <c r="S98" s="315">
        <v>-2075995</v>
      </c>
      <c r="T98" s="315">
        <v>-2071435</v>
      </c>
      <c r="U98" s="315"/>
      <c r="V98" s="315"/>
      <c r="W98" s="315">
        <v>-2043824</v>
      </c>
      <c r="X98" s="315">
        <v>0</v>
      </c>
      <c r="Y98" s="315">
        <v>-27611</v>
      </c>
      <c r="Z98" s="315"/>
      <c r="AA98" s="315">
        <v>-4560</v>
      </c>
      <c r="AB98" s="315">
        <v>0</v>
      </c>
      <c r="AC98" s="315">
        <v>-11109</v>
      </c>
      <c r="AD98" s="315">
        <v>7174298</v>
      </c>
      <c r="AE98" s="315">
        <v>6137242</v>
      </c>
      <c r="AF98" s="315">
        <v>1037056</v>
      </c>
      <c r="AG98" s="315">
        <v>1037056</v>
      </c>
      <c r="AH98" s="315"/>
      <c r="AI98" s="315">
        <v>5706038</v>
      </c>
      <c r="AJ98" s="315">
        <v>759133</v>
      </c>
      <c r="AK98" s="315">
        <v>1783188</v>
      </c>
      <c r="AL98" s="315">
        <v>3090321</v>
      </c>
      <c r="AM98" s="315">
        <v>271800</v>
      </c>
      <c r="AN98" s="315">
        <v>203967</v>
      </c>
      <c r="AO98" s="315">
        <v>35962</v>
      </c>
      <c r="AP98" s="315"/>
      <c r="AQ98" s="315">
        <v>633283</v>
      </c>
      <c r="AR98" s="315">
        <v>334357</v>
      </c>
      <c r="AS98" s="315"/>
      <c r="AT98" s="315"/>
      <c r="AU98" s="315">
        <v>-11109</v>
      </c>
      <c r="AV98" s="315">
        <v>1613719</v>
      </c>
      <c r="AW98" s="315">
        <v>6876</v>
      </c>
      <c r="AX98" s="315">
        <v>1002520</v>
      </c>
      <c r="AY98" s="315"/>
      <c r="AZ98" s="315"/>
      <c r="BA98" s="315"/>
      <c r="BB98" s="315"/>
      <c r="BC98" s="315"/>
      <c r="BD98" s="315">
        <v>604323</v>
      </c>
      <c r="BE98" s="315">
        <v>-67725</v>
      </c>
      <c r="BF98" s="315">
        <v>-59302</v>
      </c>
      <c r="BG98" s="315">
        <v>-59302</v>
      </c>
      <c r="BH98" s="315"/>
      <c r="BI98" s="315">
        <v>0</v>
      </c>
      <c r="BJ98" s="315">
        <v>0</v>
      </c>
      <c r="BK98" s="315">
        <v>-59302</v>
      </c>
      <c r="BL98" s="315">
        <v>-5628</v>
      </c>
      <c r="BM98" s="315">
        <v>-2795</v>
      </c>
      <c r="BN98" s="315">
        <v>1545994</v>
      </c>
      <c r="BO98" s="315">
        <v>499554</v>
      </c>
      <c r="BP98" s="315">
        <v>86225</v>
      </c>
      <c r="BQ98" s="315">
        <v>15308</v>
      </c>
      <c r="BR98" s="315"/>
      <c r="BS98" s="315">
        <v>1689</v>
      </c>
      <c r="BT98" s="315"/>
      <c r="BU98" s="315"/>
      <c r="BV98" s="315"/>
      <c r="BW98" s="315"/>
      <c r="BX98" s="315">
        <v>943218</v>
      </c>
      <c r="BY98" s="315"/>
      <c r="BZ98" s="315"/>
      <c r="CA98" s="315">
        <v>444939</v>
      </c>
      <c r="CB98" s="315">
        <v>-34946</v>
      </c>
      <c r="CC98" s="315">
        <v>-9785</v>
      </c>
      <c r="CD98" s="315">
        <v>-25161</v>
      </c>
      <c r="CE98" s="315">
        <v>409993</v>
      </c>
      <c r="CF98" s="315"/>
      <c r="CG98" s="315"/>
      <c r="CH98" s="315"/>
      <c r="CI98" s="315">
        <v>7316795</v>
      </c>
      <c r="CJ98" s="315">
        <v>926172</v>
      </c>
      <c r="CK98" s="315">
        <v>6390623</v>
      </c>
      <c r="CL98" s="315">
        <v>1865290</v>
      </c>
      <c r="CM98" s="315">
        <v>4336485</v>
      </c>
      <c r="CN98" s="315">
        <v>188848</v>
      </c>
      <c r="CO98" s="315">
        <v>0</v>
      </c>
      <c r="CP98" s="315">
        <v>0</v>
      </c>
      <c r="CQ98" s="315">
        <v>188848</v>
      </c>
      <c r="CR98" s="315">
        <v>-2587691</v>
      </c>
      <c r="CS98" s="315">
        <v>-1525279</v>
      </c>
      <c r="CT98" s="315">
        <v>-1352150</v>
      </c>
      <c r="CU98" s="315">
        <v>-5000</v>
      </c>
      <c r="CV98" s="315">
        <v>-324</v>
      </c>
      <c r="CW98" s="315">
        <v>-167805</v>
      </c>
      <c r="CX98" s="315">
        <v>-813252</v>
      </c>
      <c r="CY98" s="315">
        <v>-653223</v>
      </c>
      <c r="CZ98" s="315">
        <v>-159000</v>
      </c>
      <c r="DA98" s="315">
        <v>-1029</v>
      </c>
      <c r="DB98" s="315">
        <v>-249160</v>
      </c>
      <c r="DC98" s="315">
        <v>0</v>
      </c>
      <c r="DD98" s="315">
        <v>4729104</v>
      </c>
      <c r="DE98" s="315">
        <v>3671037</v>
      </c>
      <c r="DF98" s="315">
        <v>1058067</v>
      </c>
      <c r="DG98" s="315">
        <v>1058067</v>
      </c>
      <c r="DH98" s="315"/>
      <c r="DI98" s="315">
        <v>753900</v>
      </c>
      <c r="DJ98" s="315">
        <v>49364</v>
      </c>
      <c r="DK98" s="315">
        <v>19288</v>
      </c>
      <c r="DL98" s="315">
        <v>1250</v>
      </c>
      <c r="DM98" s="315">
        <v>789475</v>
      </c>
      <c r="DN98" s="315">
        <v>413879</v>
      </c>
      <c r="DO98" s="315">
        <v>54939</v>
      </c>
      <c r="DP98" s="315"/>
      <c r="DQ98" s="315"/>
      <c r="DR98" s="315">
        <v>-574295</v>
      </c>
      <c r="DS98" s="315">
        <v>-24211</v>
      </c>
      <c r="DT98" s="315">
        <v>-13047</v>
      </c>
      <c r="DU98" s="315">
        <v>-2424</v>
      </c>
      <c r="DV98" s="315">
        <v>-219</v>
      </c>
      <c r="DW98" s="315">
        <v>-433</v>
      </c>
      <c r="DX98" s="315"/>
      <c r="DY98" s="315"/>
      <c r="DZ98" s="315"/>
      <c r="EA98" s="315">
        <v>-4798</v>
      </c>
      <c r="EB98" s="315">
        <v>-12</v>
      </c>
      <c r="EC98" s="315"/>
      <c r="ED98" s="315"/>
      <c r="EE98" s="315">
        <v>-3278</v>
      </c>
      <c r="EF98" s="315">
        <v>729689</v>
      </c>
      <c r="EG98" s="315">
        <v>168340</v>
      </c>
      <c r="EH98" s="315">
        <v>561349</v>
      </c>
      <c r="EI98" s="315">
        <v>561349</v>
      </c>
      <c r="EJ98" s="315"/>
      <c r="EK98" s="315">
        <v>36317</v>
      </c>
      <c r="EL98" s="315">
        <v>11442</v>
      </c>
      <c r="EM98" s="315">
        <v>24875</v>
      </c>
      <c r="EN98" s="315">
        <v>24875</v>
      </c>
      <c r="EO98" s="315"/>
      <c r="EP98" s="315">
        <v>16864</v>
      </c>
      <c r="EQ98" s="315">
        <v>10405</v>
      </c>
      <c r="ER98" s="315">
        <v>6459</v>
      </c>
      <c r="ES98" s="315">
        <v>6459</v>
      </c>
      <c r="ET98" s="315"/>
      <c r="EU98" s="315">
        <v>1031</v>
      </c>
      <c r="EV98" s="315">
        <v>462</v>
      </c>
      <c r="EW98" s="315">
        <v>569</v>
      </c>
      <c r="EX98" s="315">
        <v>569</v>
      </c>
      <c r="EY98" s="315"/>
      <c r="EZ98" s="315">
        <v>789042</v>
      </c>
      <c r="FA98" s="315">
        <v>478447</v>
      </c>
      <c r="FB98" s="315">
        <v>310595</v>
      </c>
      <c r="FC98" s="315">
        <v>310595</v>
      </c>
      <c r="FD98" s="315"/>
      <c r="FE98" s="315">
        <v>409081</v>
      </c>
      <c r="FF98" s="315">
        <v>245125</v>
      </c>
      <c r="FG98" s="315">
        <v>163956</v>
      </c>
      <c r="FH98" s="315">
        <v>163956</v>
      </c>
      <c r="FI98" s="315"/>
      <c r="FJ98" s="315">
        <v>54927</v>
      </c>
      <c r="FK98" s="315">
        <v>32</v>
      </c>
      <c r="FL98" s="315">
        <v>54895</v>
      </c>
      <c r="FM98" s="315">
        <v>54895</v>
      </c>
      <c r="FN98" s="315"/>
      <c r="FO98" s="315"/>
      <c r="FP98" s="315"/>
      <c r="FQ98" s="315">
        <v>-577573</v>
      </c>
      <c r="FR98" s="315">
        <v>94603</v>
      </c>
      <c r="FS98" s="315">
        <v>-5564</v>
      </c>
      <c r="FT98" s="315">
        <v>89039</v>
      </c>
      <c r="FU98" s="315"/>
      <c r="FV98" s="315"/>
      <c r="FW98" s="315"/>
      <c r="FX98" s="315">
        <v>78920</v>
      </c>
      <c r="FY98" s="315">
        <v>89974</v>
      </c>
      <c r="FZ98" s="315"/>
      <c r="GA98" s="315"/>
      <c r="GB98" s="315"/>
      <c r="GC98" s="315">
        <v>-92448</v>
      </c>
      <c r="GD98" s="315"/>
      <c r="GE98" s="315"/>
      <c r="GF98" s="315"/>
      <c r="GG98" s="315">
        <v>12593</v>
      </c>
      <c r="GH98" s="315">
        <v>-48564</v>
      </c>
      <c r="GI98" s="315">
        <v>1837</v>
      </c>
      <c r="GJ98" s="315">
        <v>59320</v>
      </c>
      <c r="GL98"/>
      <c r="GM98"/>
      <c r="GN98"/>
      <c r="GO98"/>
    </row>
    <row r="99" spans="1:199">
      <c r="A99" s="98" t="s">
        <v>20</v>
      </c>
      <c r="B99" s="98">
        <v>8</v>
      </c>
      <c r="C99" s="98" t="s">
        <v>224</v>
      </c>
      <c r="D99" s="315">
        <v>10805027</v>
      </c>
      <c r="E99" s="315">
        <v>-2218412</v>
      </c>
      <c r="F99" s="315">
        <v>-11110</v>
      </c>
      <c r="G99" s="315">
        <v>8575505</v>
      </c>
      <c r="H99" s="315">
        <v>5870566</v>
      </c>
      <c r="I99" s="315">
        <v>2704939</v>
      </c>
      <c r="J99" s="315">
        <v>2704939</v>
      </c>
      <c r="K99" s="315"/>
      <c r="L99" s="315">
        <v>880442</v>
      </c>
      <c r="M99" s="315">
        <v>803990</v>
      </c>
      <c r="N99" s="315">
        <v>51549</v>
      </c>
      <c r="O99" s="315"/>
      <c r="P99" s="315"/>
      <c r="Q99" s="315"/>
      <c r="R99" s="315">
        <v>24903</v>
      </c>
      <c r="S99" s="315">
        <v>-663729</v>
      </c>
      <c r="T99" s="315">
        <v>-655337</v>
      </c>
      <c r="U99" s="315"/>
      <c r="V99" s="315"/>
      <c r="W99" s="315">
        <v>-647683</v>
      </c>
      <c r="X99" s="315">
        <v>0</v>
      </c>
      <c r="Y99" s="315">
        <v>-7654</v>
      </c>
      <c r="Z99" s="315"/>
      <c r="AA99" s="315">
        <v>-8392</v>
      </c>
      <c r="AB99" s="315">
        <v>0</v>
      </c>
      <c r="AC99" s="315">
        <v>-11110</v>
      </c>
      <c r="AD99" s="315">
        <v>205603</v>
      </c>
      <c r="AE99" s="315">
        <v>-831453</v>
      </c>
      <c r="AF99" s="315">
        <v>1037056</v>
      </c>
      <c r="AG99" s="315">
        <v>1037056</v>
      </c>
      <c r="AH99" s="315"/>
      <c r="AI99" s="315">
        <v>802052</v>
      </c>
      <c r="AJ99" s="315">
        <v>686832</v>
      </c>
      <c r="AK99" s="315">
        <v>70447</v>
      </c>
      <c r="AL99" s="315">
        <v>23394</v>
      </c>
      <c r="AM99" s="315">
        <v>5657</v>
      </c>
      <c r="AN99" s="315">
        <v>3927</v>
      </c>
      <c r="AO99" s="315">
        <v>1780</v>
      </c>
      <c r="AP99" s="315"/>
      <c r="AQ99" s="315">
        <v>7085</v>
      </c>
      <c r="AR99" s="315">
        <v>-603788</v>
      </c>
      <c r="AS99" s="315"/>
      <c r="AT99" s="315"/>
      <c r="AU99" s="315">
        <v>-11110</v>
      </c>
      <c r="AV99" s="315">
        <v>7473706</v>
      </c>
      <c r="AW99" s="315">
        <v>2033</v>
      </c>
      <c r="AX99" s="315">
        <v>7415788</v>
      </c>
      <c r="AY99" s="315"/>
      <c r="AZ99" s="315"/>
      <c r="BA99" s="315"/>
      <c r="BB99" s="315"/>
      <c r="BC99" s="315"/>
      <c r="BD99" s="315">
        <v>55885</v>
      </c>
      <c r="BE99" s="315">
        <v>-169320</v>
      </c>
      <c r="BF99" s="315">
        <v>-20609</v>
      </c>
      <c r="BG99" s="315">
        <v>-20609</v>
      </c>
      <c r="BH99" s="315"/>
      <c r="BI99" s="315">
        <v>0</v>
      </c>
      <c r="BJ99" s="315">
        <v>0</v>
      </c>
      <c r="BK99" s="315">
        <v>-20609</v>
      </c>
      <c r="BL99" s="315">
        <v>-4018</v>
      </c>
      <c r="BM99" s="315">
        <v>-144693</v>
      </c>
      <c r="BN99" s="315">
        <v>7304386</v>
      </c>
      <c r="BO99" s="315">
        <v>-93401</v>
      </c>
      <c r="BP99" s="315">
        <v>1141</v>
      </c>
      <c r="BQ99" s="315">
        <v>758</v>
      </c>
      <c r="BR99" s="315"/>
      <c r="BS99" s="315">
        <v>709</v>
      </c>
      <c r="BT99" s="315"/>
      <c r="BU99" s="315"/>
      <c r="BV99" s="315"/>
      <c r="BW99" s="315"/>
      <c r="BX99" s="315">
        <v>7395179</v>
      </c>
      <c r="BY99" s="315"/>
      <c r="BZ99" s="315"/>
      <c r="CA99" s="315">
        <v>155020</v>
      </c>
      <c r="CB99" s="315">
        <v>-121119</v>
      </c>
      <c r="CC99" s="315">
        <v>-2726</v>
      </c>
      <c r="CD99" s="315">
        <v>-118393</v>
      </c>
      <c r="CE99" s="315">
        <v>33901</v>
      </c>
      <c r="CF99" s="315"/>
      <c r="CG99" s="315"/>
      <c r="CH99" s="315"/>
      <c r="CI99" s="315">
        <v>625568</v>
      </c>
      <c r="CJ99" s="315">
        <v>473338</v>
      </c>
      <c r="CK99" s="315">
        <v>152230</v>
      </c>
      <c r="CL99" s="315">
        <v>54551</v>
      </c>
      <c r="CM99" s="315">
        <v>21358</v>
      </c>
      <c r="CN99" s="315">
        <v>76321</v>
      </c>
      <c r="CO99" s="315">
        <v>0</v>
      </c>
      <c r="CP99" s="315">
        <v>0</v>
      </c>
      <c r="CQ99" s="315">
        <v>76321</v>
      </c>
      <c r="CR99" s="315">
        <v>-1255540</v>
      </c>
      <c r="CS99" s="315">
        <v>-971751</v>
      </c>
      <c r="CT99" s="315">
        <v>-721692</v>
      </c>
      <c r="CU99" s="315">
        <v>-5000</v>
      </c>
      <c r="CV99" s="315">
        <v>-157</v>
      </c>
      <c r="CW99" s="315">
        <v>-244902</v>
      </c>
      <c r="CX99" s="315">
        <v>-283789</v>
      </c>
      <c r="CY99" s="315">
        <v>-239880</v>
      </c>
      <c r="CZ99" s="315">
        <v>-43000</v>
      </c>
      <c r="DA99" s="315">
        <v>-909</v>
      </c>
      <c r="DB99" s="315">
        <v>0</v>
      </c>
      <c r="DC99" s="315">
        <v>0</v>
      </c>
      <c r="DD99" s="315">
        <v>-629972</v>
      </c>
      <c r="DE99" s="315">
        <v>-1721462</v>
      </c>
      <c r="DF99" s="315">
        <v>1091490</v>
      </c>
      <c r="DG99" s="315">
        <v>1091490</v>
      </c>
      <c r="DH99" s="315"/>
      <c r="DI99" s="315">
        <v>1519752</v>
      </c>
      <c r="DJ99" s="315">
        <v>77474</v>
      </c>
      <c r="DK99" s="315">
        <v>22954</v>
      </c>
      <c r="DL99" s="315">
        <v>2252</v>
      </c>
      <c r="DM99" s="315">
        <v>859441</v>
      </c>
      <c r="DN99" s="315">
        <v>499271</v>
      </c>
      <c r="DO99" s="315">
        <v>58260</v>
      </c>
      <c r="DP99" s="315"/>
      <c r="DQ99" s="315"/>
      <c r="DR99" s="315">
        <v>100</v>
      </c>
      <c r="DS99" s="315">
        <v>-2654</v>
      </c>
      <c r="DT99" s="315">
        <v>-1859</v>
      </c>
      <c r="DU99" s="315">
        <v>-38</v>
      </c>
      <c r="DV99" s="315">
        <v>-2</v>
      </c>
      <c r="DW99" s="315">
        <v>-699</v>
      </c>
      <c r="DX99" s="315"/>
      <c r="DY99" s="315"/>
      <c r="DZ99" s="315"/>
      <c r="EA99" s="315">
        <v>-1</v>
      </c>
      <c r="EB99" s="315">
        <v>0</v>
      </c>
      <c r="EC99" s="315"/>
      <c r="ED99" s="315"/>
      <c r="EE99" s="315">
        <v>-55</v>
      </c>
      <c r="EF99" s="315">
        <v>1517098</v>
      </c>
      <c r="EG99" s="315">
        <v>940705</v>
      </c>
      <c r="EH99" s="315">
        <v>576393</v>
      </c>
      <c r="EI99" s="315">
        <v>576393</v>
      </c>
      <c r="EJ99" s="315"/>
      <c r="EK99" s="315">
        <v>75615</v>
      </c>
      <c r="EL99" s="315">
        <v>50162</v>
      </c>
      <c r="EM99" s="315">
        <v>25453</v>
      </c>
      <c r="EN99" s="315">
        <v>25453</v>
      </c>
      <c r="EO99" s="315"/>
      <c r="EP99" s="315">
        <v>22916</v>
      </c>
      <c r="EQ99" s="315">
        <v>16309</v>
      </c>
      <c r="ER99" s="315">
        <v>6607</v>
      </c>
      <c r="ES99" s="315">
        <v>6607</v>
      </c>
      <c r="ET99" s="315"/>
      <c r="EU99" s="315">
        <v>2250</v>
      </c>
      <c r="EV99" s="315">
        <v>1667</v>
      </c>
      <c r="EW99" s="315">
        <v>583</v>
      </c>
      <c r="EX99" s="315">
        <v>583</v>
      </c>
      <c r="EY99" s="315"/>
      <c r="EZ99" s="315">
        <v>858742</v>
      </c>
      <c r="FA99" s="315">
        <v>540601</v>
      </c>
      <c r="FB99" s="315">
        <v>318141</v>
      </c>
      <c r="FC99" s="315">
        <v>318141</v>
      </c>
      <c r="FD99" s="315"/>
      <c r="FE99" s="315">
        <v>499270</v>
      </c>
      <c r="FF99" s="315">
        <v>331259</v>
      </c>
      <c r="FG99" s="315">
        <v>168011</v>
      </c>
      <c r="FH99" s="315">
        <v>168011</v>
      </c>
      <c r="FI99" s="315"/>
      <c r="FJ99" s="315">
        <v>58260</v>
      </c>
      <c r="FK99" s="315">
        <v>662</v>
      </c>
      <c r="FL99" s="315">
        <v>57598</v>
      </c>
      <c r="FM99" s="315">
        <v>57598</v>
      </c>
      <c r="FN99" s="315"/>
      <c r="FO99" s="315"/>
      <c r="FP99" s="315"/>
      <c r="FQ99" s="315">
        <v>45</v>
      </c>
      <c r="FR99" s="315">
        <v>150539</v>
      </c>
      <c r="FS99" s="315">
        <v>-6050</v>
      </c>
      <c r="FT99" s="315">
        <v>144489</v>
      </c>
      <c r="FU99" s="315"/>
      <c r="FV99" s="315"/>
      <c r="FW99" s="315"/>
      <c r="FX99" s="315">
        <v>85043</v>
      </c>
      <c r="FY99" s="315">
        <v>1922</v>
      </c>
      <c r="FZ99" s="315"/>
      <c r="GA99" s="315"/>
      <c r="GB99" s="315"/>
      <c r="GC99" s="315">
        <v>29631</v>
      </c>
      <c r="GD99" s="315"/>
      <c r="GE99" s="315"/>
      <c r="GF99" s="315"/>
      <c r="GG99" s="315">
        <v>27893</v>
      </c>
      <c r="GH99" s="315">
        <v>1366</v>
      </c>
      <c r="GI99" s="315">
        <v>1111</v>
      </c>
      <c r="GJ99" s="315">
        <v>25416</v>
      </c>
      <c r="GL99"/>
      <c r="GM99"/>
      <c r="GN99"/>
      <c r="GO99"/>
    </row>
    <row r="100" spans="1:199">
      <c r="A100" s="98" t="s">
        <v>20</v>
      </c>
      <c r="B100" s="98">
        <v>9</v>
      </c>
      <c r="C100" s="98" t="s">
        <v>225</v>
      </c>
      <c r="D100" s="315">
        <v>11214477</v>
      </c>
      <c r="E100" s="315">
        <v>-2375754</v>
      </c>
      <c r="F100" s="315">
        <v>-11109</v>
      </c>
      <c r="G100" s="315">
        <v>8827614</v>
      </c>
      <c r="H100" s="315">
        <v>6171142</v>
      </c>
      <c r="I100" s="315">
        <v>2656472</v>
      </c>
      <c r="J100" s="315">
        <v>2656472</v>
      </c>
      <c r="K100" s="315"/>
      <c r="L100" s="315">
        <v>4087075</v>
      </c>
      <c r="M100" s="315">
        <v>3519519</v>
      </c>
      <c r="N100" s="315">
        <v>39475</v>
      </c>
      <c r="O100" s="315"/>
      <c r="P100" s="315"/>
      <c r="Q100" s="315"/>
      <c r="R100" s="315">
        <v>528081</v>
      </c>
      <c r="S100" s="315">
        <v>-508874</v>
      </c>
      <c r="T100" s="315">
        <v>-505359</v>
      </c>
      <c r="U100" s="315"/>
      <c r="V100" s="315"/>
      <c r="W100" s="315">
        <v>-496390</v>
      </c>
      <c r="X100" s="315">
        <v>0</v>
      </c>
      <c r="Y100" s="315">
        <v>-8969</v>
      </c>
      <c r="Z100" s="315"/>
      <c r="AA100" s="315">
        <v>-3515</v>
      </c>
      <c r="AB100" s="315">
        <v>0</v>
      </c>
      <c r="AC100" s="315">
        <v>-11109</v>
      </c>
      <c r="AD100" s="315">
        <v>3567092</v>
      </c>
      <c r="AE100" s="315">
        <v>2530036</v>
      </c>
      <c r="AF100" s="315">
        <v>1037056</v>
      </c>
      <c r="AG100" s="315">
        <v>1037056</v>
      </c>
      <c r="AH100" s="315"/>
      <c r="AI100" s="315">
        <v>3517000</v>
      </c>
      <c r="AJ100" s="315">
        <v>442614</v>
      </c>
      <c r="AK100" s="315">
        <v>3019049</v>
      </c>
      <c r="AL100" s="315">
        <v>9442</v>
      </c>
      <c r="AM100" s="315">
        <v>418397</v>
      </c>
      <c r="AN100" s="315">
        <v>35032</v>
      </c>
      <c r="AO100" s="315">
        <v>68713</v>
      </c>
      <c r="AP100" s="315"/>
      <c r="AQ100" s="315">
        <v>4943</v>
      </c>
      <c r="AR100" s="315">
        <v>-465884</v>
      </c>
      <c r="AS100" s="315"/>
      <c r="AT100" s="315"/>
      <c r="AU100" s="315">
        <v>-11109</v>
      </c>
      <c r="AV100" s="315">
        <v>348036</v>
      </c>
      <c r="AW100" s="315">
        <v>5674</v>
      </c>
      <c r="AX100" s="315">
        <v>121054</v>
      </c>
      <c r="AY100" s="315"/>
      <c r="AZ100" s="315"/>
      <c r="BA100" s="315"/>
      <c r="BB100" s="315"/>
      <c r="BC100" s="315"/>
      <c r="BD100" s="315">
        <v>221308</v>
      </c>
      <c r="BE100" s="315">
        <v>-274475</v>
      </c>
      <c r="BF100" s="315">
        <v>-35388</v>
      </c>
      <c r="BG100" s="315">
        <v>-35388</v>
      </c>
      <c r="BH100" s="315"/>
      <c r="BI100" s="315">
        <v>0</v>
      </c>
      <c r="BJ100" s="315">
        <v>0</v>
      </c>
      <c r="BK100" s="315">
        <v>-35388</v>
      </c>
      <c r="BL100" s="315">
        <v>-648</v>
      </c>
      <c r="BM100" s="315">
        <v>-238439</v>
      </c>
      <c r="BN100" s="315">
        <v>73561</v>
      </c>
      <c r="BO100" s="315">
        <v>-61043</v>
      </c>
      <c r="BP100" s="315">
        <v>14485</v>
      </c>
      <c r="BQ100" s="315">
        <v>29255</v>
      </c>
      <c r="BR100" s="315"/>
      <c r="BS100" s="315">
        <v>5198</v>
      </c>
      <c r="BT100" s="315"/>
      <c r="BU100" s="315"/>
      <c r="BV100" s="315"/>
      <c r="BW100" s="315"/>
      <c r="BX100" s="315">
        <v>85666</v>
      </c>
      <c r="BY100" s="315"/>
      <c r="BZ100" s="315"/>
      <c r="CA100" s="315">
        <v>144709</v>
      </c>
      <c r="CB100" s="315">
        <v>-231825</v>
      </c>
      <c r="CC100" s="315">
        <v>-9301</v>
      </c>
      <c r="CD100" s="315">
        <v>-222524</v>
      </c>
      <c r="CE100" s="315">
        <v>-87116</v>
      </c>
      <c r="CF100" s="315"/>
      <c r="CG100" s="315"/>
      <c r="CH100" s="315"/>
      <c r="CI100" s="315">
        <v>4899499</v>
      </c>
      <c r="CJ100" s="315">
        <v>1311755</v>
      </c>
      <c r="CK100" s="315">
        <v>3587744</v>
      </c>
      <c r="CL100" s="315">
        <v>3460359</v>
      </c>
      <c r="CM100" s="315">
        <v>9906</v>
      </c>
      <c r="CN100" s="315">
        <v>117479</v>
      </c>
      <c r="CO100" s="315">
        <v>0</v>
      </c>
      <c r="CP100" s="315">
        <v>0</v>
      </c>
      <c r="CQ100" s="315">
        <v>117479</v>
      </c>
      <c r="CR100" s="315">
        <v>-1320392</v>
      </c>
      <c r="CS100" s="315">
        <v>-704091</v>
      </c>
      <c r="CT100" s="315">
        <v>-433256</v>
      </c>
      <c r="CU100" s="315">
        <v>-5000</v>
      </c>
      <c r="CV100" s="315">
        <v>-535</v>
      </c>
      <c r="CW100" s="315">
        <v>-265300</v>
      </c>
      <c r="CX100" s="315">
        <v>-555186</v>
      </c>
      <c r="CY100" s="315">
        <v>-530061</v>
      </c>
      <c r="CZ100" s="315">
        <v>-23000</v>
      </c>
      <c r="DA100" s="315">
        <v>-2125</v>
      </c>
      <c r="DB100" s="315">
        <v>0</v>
      </c>
      <c r="DC100" s="315">
        <v>-61115</v>
      </c>
      <c r="DD100" s="315">
        <v>3579107</v>
      </c>
      <c r="DE100" s="315">
        <v>2521040</v>
      </c>
      <c r="DF100" s="315">
        <v>1058067</v>
      </c>
      <c r="DG100" s="315">
        <v>1058067</v>
      </c>
      <c r="DH100" s="315"/>
      <c r="DI100" s="315">
        <v>1421327</v>
      </c>
      <c r="DJ100" s="315">
        <v>59372</v>
      </c>
      <c r="DK100" s="315">
        <v>21463</v>
      </c>
      <c r="DL100" s="315">
        <v>1044</v>
      </c>
      <c r="DM100" s="315">
        <v>823651</v>
      </c>
      <c r="DN100" s="315">
        <v>458547</v>
      </c>
      <c r="DO100" s="315">
        <v>57032</v>
      </c>
      <c r="DP100" s="315"/>
      <c r="DQ100" s="315"/>
      <c r="DR100" s="315">
        <v>218</v>
      </c>
      <c r="DS100" s="315">
        <v>-33319</v>
      </c>
      <c r="DT100" s="315">
        <v>-1551</v>
      </c>
      <c r="DU100" s="315">
        <v>-230</v>
      </c>
      <c r="DV100" s="315">
        <v>-8</v>
      </c>
      <c r="DW100" s="315">
        <v>-496</v>
      </c>
      <c r="DX100" s="315"/>
      <c r="DY100" s="315"/>
      <c r="DZ100" s="315"/>
      <c r="EA100" s="315">
        <v>-29584</v>
      </c>
      <c r="EB100" s="315">
        <v>0</v>
      </c>
      <c r="EC100" s="315"/>
      <c r="ED100" s="315"/>
      <c r="EE100" s="315">
        <v>-1450</v>
      </c>
      <c r="EF100" s="315">
        <v>1388008</v>
      </c>
      <c r="EG100" s="315">
        <v>826659</v>
      </c>
      <c r="EH100" s="315">
        <v>561349</v>
      </c>
      <c r="EI100" s="315">
        <v>561349</v>
      </c>
      <c r="EJ100" s="315"/>
      <c r="EK100" s="315">
        <v>57821</v>
      </c>
      <c r="EL100" s="315">
        <v>32946</v>
      </c>
      <c r="EM100" s="315">
        <v>24875</v>
      </c>
      <c r="EN100" s="315">
        <v>24875</v>
      </c>
      <c r="EO100" s="315"/>
      <c r="EP100" s="315">
        <v>21233</v>
      </c>
      <c r="EQ100" s="315">
        <v>14774</v>
      </c>
      <c r="ER100" s="315">
        <v>6459</v>
      </c>
      <c r="ES100" s="315">
        <v>6459</v>
      </c>
      <c r="ET100" s="315"/>
      <c r="EU100" s="315">
        <v>1036</v>
      </c>
      <c r="EV100" s="315">
        <v>467</v>
      </c>
      <c r="EW100" s="315">
        <v>569</v>
      </c>
      <c r="EX100" s="315">
        <v>569</v>
      </c>
      <c r="EY100" s="315"/>
      <c r="EZ100" s="315">
        <v>823155</v>
      </c>
      <c r="FA100" s="315">
        <v>512560</v>
      </c>
      <c r="FB100" s="315">
        <v>310595</v>
      </c>
      <c r="FC100" s="315">
        <v>310595</v>
      </c>
      <c r="FD100" s="315"/>
      <c r="FE100" s="315">
        <v>428963</v>
      </c>
      <c r="FF100" s="315">
        <v>265007</v>
      </c>
      <c r="FG100" s="315">
        <v>163956</v>
      </c>
      <c r="FH100" s="315">
        <v>163956</v>
      </c>
      <c r="FI100" s="315"/>
      <c r="FJ100" s="315">
        <v>57032</v>
      </c>
      <c r="FK100" s="315">
        <v>2137</v>
      </c>
      <c r="FL100" s="315">
        <v>54895</v>
      </c>
      <c r="FM100" s="315">
        <v>54895</v>
      </c>
      <c r="FN100" s="315"/>
      <c r="FO100" s="315"/>
      <c r="FP100" s="315"/>
      <c r="FQ100" s="315">
        <v>-1232</v>
      </c>
      <c r="FR100" s="315">
        <v>313831</v>
      </c>
      <c r="FS100" s="315">
        <v>-6869</v>
      </c>
      <c r="FT100" s="315">
        <v>306962</v>
      </c>
      <c r="FU100" s="315"/>
      <c r="FV100" s="315"/>
      <c r="FW100" s="315"/>
      <c r="FX100" s="315">
        <v>78289</v>
      </c>
      <c r="FY100" s="315">
        <v>170431</v>
      </c>
      <c r="FZ100" s="315"/>
      <c r="GA100" s="315"/>
      <c r="GB100" s="315"/>
      <c r="GC100" s="315">
        <v>23365</v>
      </c>
      <c r="GD100" s="315"/>
      <c r="GE100" s="315"/>
      <c r="GF100" s="315"/>
      <c r="GG100" s="315">
        <v>34877</v>
      </c>
      <c r="GH100" s="315">
        <v>1684</v>
      </c>
      <c r="GI100" s="315">
        <v>780</v>
      </c>
      <c r="GJ100" s="315">
        <v>32413</v>
      </c>
      <c r="GL100"/>
      <c r="GM100"/>
      <c r="GN100"/>
      <c r="GO100"/>
    </row>
    <row r="101" spans="1:199">
      <c r="A101" s="98" t="s">
        <v>20</v>
      </c>
      <c r="B101" s="98">
        <v>10</v>
      </c>
      <c r="C101" s="98" t="s">
        <v>226</v>
      </c>
      <c r="D101" s="315">
        <v>21270269</v>
      </c>
      <c r="E101" s="315">
        <v>-2778569</v>
      </c>
      <c r="F101" s="315">
        <v>-11109</v>
      </c>
      <c r="G101" s="315">
        <v>18480591</v>
      </c>
      <c r="H101" s="315">
        <v>15824119</v>
      </c>
      <c r="I101" s="315">
        <v>2656472</v>
      </c>
      <c r="J101" s="315">
        <v>2656472</v>
      </c>
      <c r="K101" s="315"/>
      <c r="L101" s="315">
        <v>6434520</v>
      </c>
      <c r="M101" s="315">
        <v>5264868</v>
      </c>
      <c r="N101" s="315">
        <v>68641</v>
      </c>
      <c r="O101" s="315"/>
      <c r="P101" s="315"/>
      <c r="Q101" s="315"/>
      <c r="R101" s="315">
        <v>1101011</v>
      </c>
      <c r="S101" s="315">
        <v>-501839</v>
      </c>
      <c r="T101" s="315">
        <v>-493719</v>
      </c>
      <c r="U101" s="315"/>
      <c r="V101" s="315"/>
      <c r="W101" s="315">
        <v>-475924</v>
      </c>
      <c r="X101" s="315">
        <v>0</v>
      </c>
      <c r="Y101" s="315">
        <v>-17795</v>
      </c>
      <c r="Z101" s="315"/>
      <c r="AA101" s="315">
        <v>-8120</v>
      </c>
      <c r="AB101" s="315">
        <v>0</v>
      </c>
      <c r="AC101" s="315">
        <v>-11109</v>
      </c>
      <c r="AD101" s="315">
        <v>5921572</v>
      </c>
      <c r="AE101" s="315">
        <v>4884516</v>
      </c>
      <c r="AF101" s="315">
        <v>1037056</v>
      </c>
      <c r="AG101" s="315">
        <v>1037056</v>
      </c>
      <c r="AH101" s="315"/>
      <c r="AI101" s="315">
        <v>5257576</v>
      </c>
      <c r="AJ101" s="315">
        <v>783966</v>
      </c>
      <c r="AK101" s="315">
        <v>1444113</v>
      </c>
      <c r="AL101" s="315">
        <v>2952027</v>
      </c>
      <c r="AM101" s="315">
        <v>215580</v>
      </c>
      <c r="AN101" s="315">
        <v>210777</v>
      </c>
      <c r="AO101" s="315">
        <v>32145</v>
      </c>
      <c r="AP101" s="315"/>
      <c r="AQ101" s="315">
        <v>641681</v>
      </c>
      <c r="AR101" s="315">
        <v>-425078</v>
      </c>
      <c r="AS101" s="315"/>
      <c r="AT101" s="315"/>
      <c r="AU101" s="315">
        <v>-11109</v>
      </c>
      <c r="AV101" s="315">
        <v>5515239</v>
      </c>
      <c r="AW101" s="315">
        <v>4945180</v>
      </c>
      <c r="AX101" s="315">
        <v>165296</v>
      </c>
      <c r="AY101" s="315"/>
      <c r="AZ101" s="315"/>
      <c r="BA101" s="315"/>
      <c r="BB101" s="315"/>
      <c r="BC101" s="315"/>
      <c r="BD101" s="315">
        <v>404763</v>
      </c>
      <c r="BE101" s="315">
        <v>-86864</v>
      </c>
      <c r="BF101" s="315">
        <v>-85653</v>
      </c>
      <c r="BG101" s="315">
        <v>-85653</v>
      </c>
      <c r="BH101" s="315"/>
      <c r="BI101" s="315">
        <v>-42342</v>
      </c>
      <c r="BJ101" s="315">
        <v>0</v>
      </c>
      <c r="BK101" s="315">
        <v>-43311</v>
      </c>
      <c r="BL101" s="315">
        <v>-1117</v>
      </c>
      <c r="BM101" s="315">
        <v>-94</v>
      </c>
      <c r="BN101" s="315">
        <v>5428375</v>
      </c>
      <c r="BO101" s="315">
        <v>301725</v>
      </c>
      <c r="BP101" s="315">
        <v>89008</v>
      </c>
      <c r="BQ101" s="315">
        <v>13684</v>
      </c>
      <c r="BR101" s="315"/>
      <c r="BS101" s="315">
        <v>4944315</v>
      </c>
      <c r="BT101" s="315"/>
      <c r="BU101" s="315"/>
      <c r="BV101" s="315"/>
      <c r="BW101" s="315"/>
      <c r="BX101" s="315">
        <v>79643</v>
      </c>
      <c r="BY101" s="315"/>
      <c r="BZ101" s="315"/>
      <c r="CA101" s="315">
        <v>281874</v>
      </c>
      <c r="CB101" s="315">
        <v>-9576</v>
      </c>
      <c r="CC101" s="315">
        <v>-8732</v>
      </c>
      <c r="CD101" s="315">
        <v>-844</v>
      </c>
      <c r="CE101" s="315">
        <v>272298</v>
      </c>
      <c r="CF101" s="315"/>
      <c r="CG101" s="315"/>
      <c r="CH101" s="315"/>
      <c r="CI101" s="315">
        <v>7408924</v>
      </c>
      <c r="CJ101" s="315">
        <v>938000</v>
      </c>
      <c r="CK101" s="315">
        <v>6470924</v>
      </c>
      <c r="CL101" s="315">
        <v>1868962</v>
      </c>
      <c r="CM101" s="315">
        <v>4464960</v>
      </c>
      <c r="CN101" s="315">
        <v>137002</v>
      </c>
      <c r="CO101" s="315">
        <v>0</v>
      </c>
      <c r="CP101" s="315">
        <v>0</v>
      </c>
      <c r="CQ101" s="315">
        <v>137002</v>
      </c>
      <c r="CR101" s="315">
        <v>-2140855</v>
      </c>
      <c r="CS101" s="315">
        <v>-906787</v>
      </c>
      <c r="CT101" s="315">
        <v>-730561</v>
      </c>
      <c r="CU101" s="315">
        <v>-5000</v>
      </c>
      <c r="CV101" s="315">
        <v>-162</v>
      </c>
      <c r="CW101" s="315">
        <v>-171064</v>
      </c>
      <c r="CX101" s="315">
        <v>-1038750</v>
      </c>
      <c r="CY101" s="315">
        <v>-1016652</v>
      </c>
      <c r="CZ101" s="315">
        <v>-20000</v>
      </c>
      <c r="DA101" s="315">
        <v>-2098</v>
      </c>
      <c r="DB101" s="315">
        <v>-195318</v>
      </c>
      <c r="DC101" s="315">
        <v>0</v>
      </c>
      <c r="DD101" s="315">
        <v>5268069</v>
      </c>
      <c r="DE101" s="315">
        <v>4210002</v>
      </c>
      <c r="DF101" s="315">
        <v>1058067</v>
      </c>
      <c r="DG101" s="315">
        <v>1058067</v>
      </c>
      <c r="DH101" s="315"/>
      <c r="DI101" s="315">
        <v>1381516</v>
      </c>
      <c r="DJ101" s="315">
        <v>74924</v>
      </c>
      <c r="DK101" s="315">
        <v>25361</v>
      </c>
      <c r="DL101" s="315">
        <v>1663</v>
      </c>
      <c r="DM101" s="315">
        <v>785084</v>
      </c>
      <c r="DN101" s="315">
        <v>435315</v>
      </c>
      <c r="DO101" s="315">
        <v>58989</v>
      </c>
      <c r="DP101" s="315"/>
      <c r="DQ101" s="315"/>
      <c r="DR101" s="315">
        <v>180</v>
      </c>
      <c r="DS101" s="315">
        <v>-26043</v>
      </c>
      <c r="DT101" s="315">
        <v>-10993</v>
      </c>
      <c r="DU101" s="315">
        <v>-2863</v>
      </c>
      <c r="DV101" s="315">
        <v>-38</v>
      </c>
      <c r="DW101" s="315">
        <v>-410</v>
      </c>
      <c r="DX101" s="315"/>
      <c r="DY101" s="315"/>
      <c r="DZ101" s="315"/>
      <c r="EA101" s="315">
        <v>-11736</v>
      </c>
      <c r="EB101" s="315">
        <v>0</v>
      </c>
      <c r="EC101" s="315"/>
      <c r="ED101" s="315"/>
      <c r="EE101" s="315">
        <v>-3</v>
      </c>
      <c r="EF101" s="315">
        <v>1355473</v>
      </c>
      <c r="EG101" s="315">
        <v>794124</v>
      </c>
      <c r="EH101" s="315">
        <v>561349</v>
      </c>
      <c r="EI101" s="315">
        <v>561349</v>
      </c>
      <c r="EJ101" s="315"/>
      <c r="EK101" s="315">
        <v>63931</v>
      </c>
      <c r="EL101" s="315">
        <v>39056</v>
      </c>
      <c r="EM101" s="315">
        <v>24875</v>
      </c>
      <c r="EN101" s="315">
        <v>24875</v>
      </c>
      <c r="EO101" s="315"/>
      <c r="EP101" s="315">
        <v>22498</v>
      </c>
      <c r="EQ101" s="315">
        <v>16039</v>
      </c>
      <c r="ER101" s="315">
        <v>6459</v>
      </c>
      <c r="ES101" s="315">
        <v>6459</v>
      </c>
      <c r="ET101" s="315"/>
      <c r="EU101" s="315">
        <v>1625</v>
      </c>
      <c r="EV101" s="315">
        <v>1056</v>
      </c>
      <c r="EW101" s="315">
        <v>569</v>
      </c>
      <c r="EX101" s="315">
        <v>569</v>
      </c>
      <c r="EY101" s="315"/>
      <c r="EZ101" s="315">
        <v>784674</v>
      </c>
      <c r="FA101" s="315">
        <v>474079</v>
      </c>
      <c r="FB101" s="315">
        <v>310595</v>
      </c>
      <c r="FC101" s="315">
        <v>310595</v>
      </c>
      <c r="FD101" s="315"/>
      <c r="FE101" s="315">
        <v>423579</v>
      </c>
      <c r="FF101" s="315">
        <v>259623</v>
      </c>
      <c r="FG101" s="315">
        <v>163956</v>
      </c>
      <c r="FH101" s="315">
        <v>163956</v>
      </c>
      <c r="FI101" s="315"/>
      <c r="FJ101" s="315">
        <v>58989</v>
      </c>
      <c r="FK101" s="315">
        <v>4094</v>
      </c>
      <c r="FL101" s="315">
        <v>54895</v>
      </c>
      <c r="FM101" s="315">
        <v>54895</v>
      </c>
      <c r="FN101" s="315"/>
      <c r="FO101" s="315"/>
      <c r="FP101" s="315"/>
      <c r="FQ101" s="315">
        <v>177</v>
      </c>
      <c r="FR101" s="315">
        <v>248196</v>
      </c>
      <c r="FS101" s="315">
        <v>-13392</v>
      </c>
      <c r="FT101" s="315">
        <v>234804</v>
      </c>
      <c r="FU101" s="315"/>
      <c r="FV101" s="315"/>
      <c r="FW101" s="315"/>
      <c r="FX101" s="315">
        <v>79975</v>
      </c>
      <c r="FY101" s="315">
        <v>80022</v>
      </c>
      <c r="FZ101" s="315"/>
      <c r="GA101" s="315"/>
      <c r="GB101" s="315"/>
      <c r="GC101" s="315">
        <v>23957</v>
      </c>
      <c r="GD101" s="315"/>
      <c r="GE101" s="315"/>
      <c r="GF101" s="315"/>
      <c r="GG101" s="315">
        <v>50850</v>
      </c>
      <c r="GH101" s="315">
        <v>4290</v>
      </c>
      <c r="GI101" s="315">
        <v>859</v>
      </c>
      <c r="GJ101" s="315">
        <v>45701</v>
      </c>
      <c r="GL101"/>
      <c r="GM101"/>
      <c r="GN101"/>
      <c r="GO101"/>
    </row>
    <row r="102" spans="1:199">
      <c r="A102" s="98" t="s">
        <v>20</v>
      </c>
      <c r="B102" s="98">
        <v>11</v>
      </c>
      <c r="C102" s="98" t="s">
        <v>227</v>
      </c>
      <c r="D102" s="315">
        <v>9764817</v>
      </c>
      <c r="E102" s="315">
        <v>-1696755</v>
      </c>
      <c r="F102" s="315">
        <v>-11109</v>
      </c>
      <c r="G102" s="315">
        <v>8056953</v>
      </c>
      <c r="H102" s="315">
        <v>5530426</v>
      </c>
      <c r="I102" s="315">
        <v>2526527</v>
      </c>
      <c r="J102" s="315">
        <v>2526527</v>
      </c>
      <c r="K102" s="315"/>
      <c r="L102" s="315">
        <v>4517555</v>
      </c>
      <c r="M102" s="315">
        <v>2608346</v>
      </c>
      <c r="N102" s="315">
        <v>1679617</v>
      </c>
      <c r="O102" s="315"/>
      <c r="P102" s="315"/>
      <c r="Q102" s="315"/>
      <c r="R102" s="315">
        <v>229592</v>
      </c>
      <c r="S102" s="315">
        <v>-279417</v>
      </c>
      <c r="T102" s="315">
        <v>-271499</v>
      </c>
      <c r="U102" s="315"/>
      <c r="V102" s="315"/>
      <c r="W102" s="315">
        <v>-259886</v>
      </c>
      <c r="X102" s="315">
        <v>0</v>
      </c>
      <c r="Y102" s="315">
        <v>-11613</v>
      </c>
      <c r="Z102" s="315"/>
      <c r="AA102" s="315">
        <v>-7918</v>
      </c>
      <c r="AB102" s="315">
        <v>0</v>
      </c>
      <c r="AC102" s="315">
        <v>-11109</v>
      </c>
      <c r="AD102" s="315">
        <v>4227029</v>
      </c>
      <c r="AE102" s="315">
        <v>3567929</v>
      </c>
      <c r="AF102" s="315">
        <v>659100</v>
      </c>
      <c r="AG102" s="315">
        <v>659100</v>
      </c>
      <c r="AH102" s="315"/>
      <c r="AI102" s="315">
        <v>2604404</v>
      </c>
      <c r="AJ102" s="315">
        <v>1057616</v>
      </c>
      <c r="AK102" s="315">
        <v>1483391</v>
      </c>
      <c r="AL102" s="315">
        <v>24776</v>
      </c>
      <c r="AM102" s="315">
        <v>163400</v>
      </c>
      <c r="AN102" s="315">
        <v>22237</v>
      </c>
      <c r="AO102" s="315">
        <v>32597</v>
      </c>
      <c r="AP102" s="315"/>
      <c r="AQ102" s="315">
        <v>7382</v>
      </c>
      <c r="AR102" s="315">
        <v>1408118</v>
      </c>
      <c r="AS102" s="315"/>
      <c r="AT102" s="315"/>
      <c r="AU102" s="315">
        <v>-11109</v>
      </c>
      <c r="AV102" s="315">
        <v>367508</v>
      </c>
      <c r="AW102" s="315">
        <v>34769</v>
      </c>
      <c r="AX102" s="315">
        <v>239502</v>
      </c>
      <c r="AY102" s="315"/>
      <c r="AZ102" s="315"/>
      <c r="BA102" s="315"/>
      <c r="BB102" s="315"/>
      <c r="BC102" s="315"/>
      <c r="BD102" s="315">
        <v>93237</v>
      </c>
      <c r="BE102" s="315">
        <v>-278217</v>
      </c>
      <c r="BF102" s="315">
        <v>-177668</v>
      </c>
      <c r="BG102" s="315">
        <v>-177668</v>
      </c>
      <c r="BH102" s="315"/>
      <c r="BI102" s="315">
        <v>-107844</v>
      </c>
      <c r="BJ102" s="315">
        <v>0</v>
      </c>
      <c r="BK102" s="315">
        <v>-69824</v>
      </c>
      <c r="BL102" s="315">
        <v>-8149</v>
      </c>
      <c r="BM102" s="315">
        <v>-92400</v>
      </c>
      <c r="BN102" s="315">
        <v>89291</v>
      </c>
      <c r="BO102" s="315">
        <v>-23238</v>
      </c>
      <c r="BP102" s="315">
        <v>8717</v>
      </c>
      <c r="BQ102" s="315">
        <v>13864</v>
      </c>
      <c r="BR102" s="315"/>
      <c r="BS102" s="315">
        <v>28114</v>
      </c>
      <c r="BT102" s="315"/>
      <c r="BU102" s="315"/>
      <c r="BV102" s="315"/>
      <c r="BW102" s="315"/>
      <c r="BX102" s="315">
        <v>61834</v>
      </c>
      <c r="BY102" s="315"/>
      <c r="BZ102" s="315"/>
      <c r="CA102" s="315">
        <v>65286</v>
      </c>
      <c r="CB102" s="315">
        <v>-106640</v>
      </c>
      <c r="CC102" s="315">
        <v>-7718</v>
      </c>
      <c r="CD102" s="315">
        <v>-98922</v>
      </c>
      <c r="CE102" s="315">
        <v>-41354</v>
      </c>
      <c r="CF102" s="315"/>
      <c r="CG102" s="315"/>
      <c r="CH102" s="315"/>
      <c r="CI102" s="315">
        <v>3102277</v>
      </c>
      <c r="CJ102" s="315">
        <v>949432</v>
      </c>
      <c r="CK102" s="315">
        <v>2152845</v>
      </c>
      <c r="CL102" s="315">
        <v>1996128</v>
      </c>
      <c r="CM102" s="315">
        <v>27577</v>
      </c>
      <c r="CN102" s="315">
        <v>129140</v>
      </c>
      <c r="CO102" s="315">
        <v>0</v>
      </c>
      <c r="CP102" s="315">
        <v>0</v>
      </c>
      <c r="CQ102" s="315">
        <v>129140</v>
      </c>
      <c r="CR102" s="315">
        <v>-1015694</v>
      </c>
      <c r="CS102" s="315">
        <v>-385211</v>
      </c>
      <c r="CT102" s="315">
        <v>-212815</v>
      </c>
      <c r="CU102" s="315">
        <v>-5000</v>
      </c>
      <c r="CV102" s="315">
        <v>-218</v>
      </c>
      <c r="CW102" s="315">
        <v>-167178</v>
      </c>
      <c r="CX102" s="315">
        <v>-630483</v>
      </c>
      <c r="CY102" s="315">
        <v>-620067</v>
      </c>
      <c r="CZ102" s="315">
        <v>-5000</v>
      </c>
      <c r="DA102" s="315">
        <v>-5416</v>
      </c>
      <c r="DB102" s="315">
        <v>0</v>
      </c>
      <c r="DC102" s="315">
        <v>0</v>
      </c>
      <c r="DD102" s="315">
        <v>2086583</v>
      </c>
      <c r="DE102" s="315">
        <v>770273</v>
      </c>
      <c r="DF102" s="315">
        <v>1316310</v>
      </c>
      <c r="DG102" s="315">
        <v>1316310</v>
      </c>
      <c r="DH102" s="315"/>
      <c r="DI102" s="315">
        <v>1455096</v>
      </c>
      <c r="DJ102" s="315">
        <v>95644</v>
      </c>
      <c r="DK102" s="315">
        <v>24201</v>
      </c>
      <c r="DL102" s="315">
        <v>1868</v>
      </c>
      <c r="DM102" s="315">
        <v>822957</v>
      </c>
      <c r="DN102" s="315">
        <v>450078</v>
      </c>
      <c r="DO102" s="315">
        <v>60160</v>
      </c>
      <c r="DP102" s="315"/>
      <c r="DQ102" s="315"/>
      <c r="DR102" s="315">
        <v>188</v>
      </c>
      <c r="DS102" s="315">
        <v>-1741</v>
      </c>
      <c r="DT102" s="315">
        <v>-1155</v>
      </c>
      <c r="DU102" s="315">
        <v>-38</v>
      </c>
      <c r="DV102" s="315">
        <v>-13</v>
      </c>
      <c r="DW102" s="315">
        <v>-512</v>
      </c>
      <c r="DX102" s="315"/>
      <c r="DY102" s="315"/>
      <c r="DZ102" s="315"/>
      <c r="EA102" s="315">
        <v>-23</v>
      </c>
      <c r="EB102" s="315">
        <v>0</v>
      </c>
      <c r="EC102" s="315"/>
      <c r="ED102" s="315"/>
      <c r="EE102" s="315">
        <v>0</v>
      </c>
      <c r="EF102" s="315">
        <v>1453355</v>
      </c>
      <c r="EG102" s="315">
        <v>902238</v>
      </c>
      <c r="EH102" s="315">
        <v>551117</v>
      </c>
      <c r="EI102" s="315">
        <v>551117</v>
      </c>
      <c r="EJ102" s="315"/>
      <c r="EK102" s="315">
        <v>94489</v>
      </c>
      <c r="EL102" s="315">
        <v>69613</v>
      </c>
      <c r="EM102" s="315">
        <v>24876</v>
      </c>
      <c r="EN102" s="315">
        <v>24876</v>
      </c>
      <c r="EO102" s="315"/>
      <c r="EP102" s="315">
        <v>24163</v>
      </c>
      <c r="EQ102" s="315">
        <v>17701</v>
      </c>
      <c r="ER102" s="315">
        <v>6462</v>
      </c>
      <c r="ES102" s="315">
        <v>6462</v>
      </c>
      <c r="ET102" s="315"/>
      <c r="EU102" s="315">
        <v>1855</v>
      </c>
      <c r="EV102" s="315">
        <v>1286</v>
      </c>
      <c r="EW102" s="315">
        <v>569</v>
      </c>
      <c r="EX102" s="315">
        <v>569</v>
      </c>
      <c r="EY102" s="315"/>
      <c r="EZ102" s="315">
        <v>822445</v>
      </c>
      <c r="FA102" s="315">
        <v>522082</v>
      </c>
      <c r="FB102" s="315">
        <v>300363</v>
      </c>
      <c r="FC102" s="315">
        <v>300363</v>
      </c>
      <c r="FD102" s="315"/>
      <c r="FE102" s="315">
        <v>450055</v>
      </c>
      <c r="FF102" s="315">
        <v>286102</v>
      </c>
      <c r="FG102" s="315">
        <v>163953</v>
      </c>
      <c r="FH102" s="315">
        <v>163953</v>
      </c>
      <c r="FI102" s="315"/>
      <c r="FJ102" s="315">
        <v>60160</v>
      </c>
      <c r="FK102" s="315">
        <v>5266</v>
      </c>
      <c r="FL102" s="315">
        <v>54894</v>
      </c>
      <c r="FM102" s="315">
        <v>54894</v>
      </c>
      <c r="FN102" s="315"/>
      <c r="FO102" s="315"/>
      <c r="FP102" s="315"/>
      <c r="FQ102" s="315">
        <v>188</v>
      </c>
      <c r="FR102" s="315">
        <v>257095</v>
      </c>
      <c r="FS102" s="315">
        <v>-15046</v>
      </c>
      <c r="FT102" s="315">
        <v>242049</v>
      </c>
      <c r="FU102" s="315"/>
      <c r="FV102" s="315"/>
      <c r="FW102" s="315"/>
      <c r="FX102" s="315">
        <v>77164</v>
      </c>
      <c r="FY102" s="315">
        <v>91617</v>
      </c>
      <c r="FZ102" s="315"/>
      <c r="GA102" s="315"/>
      <c r="GB102" s="315"/>
      <c r="GC102" s="315">
        <v>31261</v>
      </c>
      <c r="GD102" s="315"/>
      <c r="GE102" s="315"/>
      <c r="GF102" s="315"/>
      <c r="GG102" s="315">
        <v>42007</v>
      </c>
      <c r="GH102" s="315">
        <v>6681</v>
      </c>
      <c r="GI102" s="315">
        <v>-2988</v>
      </c>
      <c r="GJ102" s="315">
        <v>38314</v>
      </c>
      <c r="GL102"/>
      <c r="GM102"/>
      <c r="GN102"/>
      <c r="GO102"/>
    </row>
    <row r="103" spans="1:199">
      <c r="A103" s="98" t="s">
        <v>20</v>
      </c>
      <c r="B103" s="98">
        <v>12</v>
      </c>
      <c r="C103" s="98" t="s">
        <v>228</v>
      </c>
      <c r="D103" s="315">
        <v>11151586</v>
      </c>
      <c r="E103" s="315">
        <v>-1905809</v>
      </c>
      <c r="F103" s="315">
        <v>-11109</v>
      </c>
      <c r="G103" s="315">
        <v>9234668</v>
      </c>
      <c r="H103" s="315">
        <v>6578196</v>
      </c>
      <c r="I103" s="315">
        <v>2656472</v>
      </c>
      <c r="J103" s="315">
        <v>2656472</v>
      </c>
      <c r="K103" s="315"/>
      <c r="L103" s="315">
        <v>3241958</v>
      </c>
      <c r="M103" s="315">
        <v>2969212</v>
      </c>
      <c r="N103" s="315">
        <v>59272</v>
      </c>
      <c r="O103" s="315"/>
      <c r="P103" s="315"/>
      <c r="Q103" s="315"/>
      <c r="R103" s="315">
        <v>213474</v>
      </c>
      <c r="S103" s="315">
        <v>-272149</v>
      </c>
      <c r="T103" s="315">
        <v>-268645</v>
      </c>
      <c r="U103" s="315"/>
      <c r="V103" s="315"/>
      <c r="W103" s="315">
        <v>-260061</v>
      </c>
      <c r="X103" s="315">
        <v>0</v>
      </c>
      <c r="Y103" s="315">
        <v>-8584</v>
      </c>
      <c r="Z103" s="315"/>
      <c r="AA103" s="315">
        <v>-3504</v>
      </c>
      <c r="AB103" s="315">
        <v>0</v>
      </c>
      <c r="AC103" s="315">
        <v>-11109</v>
      </c>
      <c r="AD103" s="315">
        <v>2958700</v>
      </c>
      <c r="AE103" s="315">
        <v>1921645</v>
      </c>
      <c r="AF103" s="315">
        <v>1037055</v>
      </c>
      <c r="AG103" s="315">
        <v>1037055</v>
      </c>
      <c r="AH103" s="315"/>
      <c r="AI103" s="315">
        <v>2966322</v>
      </c>
      <c r="AJ103" s="315">
        <v>1345180</v>
      </c>
      <c r="AK103" s="315">
        <v>1535943</v>
      </c>
      <c r="AL103" s="315">
        <v>-91</v>
      </c>
      <c r="AM103" s="315">
        <v>163682</v>
      </c>
      <c r="AN103" s="315">
        <v>20252</v>
      </c>
      <c r="AO103" s="315">
        <v>23858</v>
      </c>
      <c r="AP103" s="315"/>
      <c r="AQ103" s="315">
        <v>5068</v>
      </c>
      <c r="AR103" s="315">
        <v>-209373</v>
      </c>
      <c r="AS103" s="315"/>
      <c r="AT103" s="315"/>
      <c r="AU103" s="315">
        <v>-11109</v>
      </c>
      <c r="AV103" s="315">
        <v>3231017</v>
      </c>
      <c r="AW103" s="315">
        <v>2944192</v>
      </c>
      <c r="AX103" s="315">
        <v>137689</v>
      </c>
      <c r="AY103" s="315"/>
      <c r="AZ103" s="315"/>
      <c r="BA103" s="315"/>
      <c r="BB103" s="315"/>
      <c r="BC103" s="315"/>
      <c r="BD103" s="315">
        <v>149136</v>
      </c>
      <c r="BE103" s="315">
        <v>-281163</v>
      </c>
      <c r="BF103" s="315">
        <v>-199751</v>
      </c>
      <c r="BG103" s="315">
        <v>-199751</v>
      </c>
      <c r="BH103" s="315"/>
      <c r="BI103" s="315">
        <v>-179390</v>
      </c>
      <c r="BJ103" s="315">
        <v>0</v>
      </c>
      <c r="BK103" s="315">
        <v>-20361</v>
      </c>
      <c r="BL103" s="315">
        <v>1882</v>
      </c>
      <c r="BM103" s="315">
        <v>-83294</v>
      </c>
      <c r="BN103" s="315">
        <v>2949854</v>
      </c>
      <c r="BO103" s="315">
        <v>59362</v>
      </c>
      <c r="BP103" s="315">
        <v>7649</v>
      </c>
      <c r="BQ103" s="315">
        <v>10157</v>
      </c>
      <c r="BR103" s="315"/>
      <c r="BS103" s="315">
        <v>2934748</v>
      </c>
      <c r="BT103" s="315"/>
      <c r="BU103" s="315"/>
      <c r="BV103" s="315"/>
      <c r="BW103" s="315"/>
      <c r="BX103" s="315">
        <v>-62062</v>
      </c>
      <c r="BY103" s="315"/>
      <c r="BZ103" s="315"/>
      <c r="CA103" s="315">
        <v>20512</v>
      </c>
      <c r="CB103" s="315">
        <v>-87172</v>
      </c>
      <c r="CC103" s="315">
        <v>-19022</v>
      </c>
      <c r="CD103" s="315">
        <v>-68150</v>
      </c>
      <c r="CE103" s="315">
        <v>-66660</v>
      </c>
      <c r="CF103" s="315"/>
      <c r="CG103" s="315"/>
      <c r="CH103" s="315"/>
      <c r="CI103" s="315">
        <v>2934127</v>
      </c>
      <c r="CJ103" s="315">
        <v>909306</v>
      </c>
      <c r="CK103" s="315">
        <v>2024821</v>
      </c>
      <c r="CL103" s="315">
        <v>1927567</v>
      </c>
      <c r="CM103" s="315">
        <v>12413</v>
      </c>
      <c r="CN103" s="315">
        <v>84841</v>
      </c>
      <c r="CO103" s="315">
        <v>0</v>
      </c>
      <c r="CP103" s="315">
        <v>0</v>
      </c>
      <c r="CQ103" s="315">
        <v>84841</v>
      </c>
      <c r="CR103" s="315">
        <v>-1194122</v>
      </c>
      <c r="CS103" s="315">
        <v>-184816</v>
      </c>
      <c r="CT103" s="315">
        <v>-137466</v>
      </c>
      <c r="CU103" s="315">
        <v>-5000</v>
      </c>
      <c r="CV103" s="315">
        <v>-375</v>
      </c>
      <c r="CW103" s="315">
        <v>-41975</v>
      </c>
      <c r="CX103" s="315">
        <v>-611733</v>
      </c>
      <c r="CY103" s="315">
        <v>-607238</v>
      </c>
      <c r="CZ103" s="315">
        <v>-3200</v>
      </c>
      <c r="DA103" s="315">
        <v>-1295</v>
      </c>
      <c r="DB103" s="315">
        <v>-330472</v>
      </c>
      <c r="DC103" s="315">
        <v>-67101</v>
      </c>
      <c r="DD103" s="315">
        <v>1740005</v>
      </c>
      <c r="DE103" s="315">
        <v>681937</v>
      </c>
      <c r="DF103" s="315">
        <v>1058068</v>
      </c>
      <c r="DG103" s="315">
        <v>1058068</v>
      </c>
      <c r="DH103" s="315"/>
      <c r="DI103" s="315">
        <v>1436298</v>
      </c>
      <c r="DJ103" s="315">
        <v>66467</v>
      </c>
      <c r="DK103" s="315">
        <v>18197</v>
      </c>
      <c r="DL103" s="315">
        <v>982</v>
      </c>
      <c r="DM103" s="315">
        <v>832918</v>
      </c>
      <c r="DN103" s="315">
        <v>461159</v>
      </c>
      <c r="DO103" s="315">
        <v>56563</v>
      </c>
      <c r="DP103" s="315"/>
      <c r="DQ103" s="315"/>
      <c r="DR103" s="315">
        <v>12</v>
      </c>
      <c r="DS103" s="315">
        <v>-61478</v>
      </c>
      <c r="DT103" s="315">
        <v>-25854</v>
      </c>
      <c r="DU103" s="315">
        <v>-2130</v>
      </c>
      <c r="DV103" s="315">
        <v>-23</v>
      </c>
      <c r="DW103" s="315">
        <v>-1868</v>
      </c>
      <c r="DX103" s="315"/>
      <c r="DY103" s="315"/>
      <c r="DZ103" s="315"/>
      <c r="EA103" s="315">
        <v>-31446</v>
      </c>
      <c r="EB103" s="315">
        <v>-157</v>
      </c>
      <c r="EC103" s="315"/>
      <c r="ED103" s="315"/>
      <c r="EE103" s="315">
        <v>0</v>
      </c>
      <c r="EF103" s="315">
        <v>1374820</v>
      </c>
      <c r="EG103" s="315">
        <v>813471</v>
      </c>
      <c r="EH103" s="315">
        <v>561349</v>
      </c>
      <c r="EI103" s="315">
        <v>561349</v>
      </c>
      <c r="EJ103" s="315"/>
      <c r="EK103" s="315">
        <v>40613</v>
      </c>
      <c r="EL103" s="315">
        <v>15738</v>
      </c>
      <c r="EM103" s="315">
        <v>24875</v>
      </c>
      <c r="EN103" s="315">
        <v>24875</v>
      </c>
      <c r="EO103" s="315"/>
      <c r="EP103" s="315">
        <v>16067</v>
      </c>
      <c r="EQ103" s="315">
        <v>9608</v>
      </c>
      <c r="ER103" s="315">
        <v>6459</v>
      </c>
      <c r="ES103" s="315">
        <v>6459</v>
      </c>
      <c r="ET103" s="315"/>
      <c r="EU103" s="315">
        <v>959</v>
      </c>
      <c r="EV103" s="315">
        <v>390</v>
      </c>
      <c r="EW103" s="315">
        <v>569</v>
      </c>
      <c r="EX103" s="315">
        <v>569</v>
      </c>
      <c r="EY103" s="315"/>
      <c r="EZ103" s="315">
        <v>831050</v>
      </c>
      <c r="FA103" s="315">
        <v>520455</v>
      </c>
      <c r="FB103" s="315">
        <v>310595</v>
      </c>
      <c r="FC103" s="315">
        <v>310595</v>
      </c>
      <c r="FD103" s="315"/>
      <c r="FE103" s="315">
        <v>429713</v>
      </c>
      <c r="FF103" s="315">
        <v>265757</v>
      </c>
      <c r="FG103" s="315">
        <v>163956</v>
      </c>
      <c r="FH103" s="315">
        <v>163956</v>
      </c>
      <c r="FI103" s="315"/>
      <c r="FJ103" s="315">
        <v>56406</v>
      </c>
      <c r="FK103" s="315">
        <v>1511</v>
      </c>
      <c r="FL103" s="315">
        <v>54895</v>
      </c>
      <c r="FM103" s="315">
        <v>54895</v>
      </c>
      <c r="FN103" s="315"/>
      <c r="FO103" s="315"/>
      <c r="FP103" s="315"/>
      <c r="FQ103" s="315">
        <v>12</v>
      </c>
      <c r="FR103" s="315">
        <v>287674</v>
      </c>
      <c r="FS103" s="315">
        <v>-9725</v>
      </c>
      <c r="FT103" s="315">
        <v>277949</v>
      </c>
      <c r="FU103" s="315"/>
      <c r="FV103" s="315"/>
      <c r="FW103" s="315"/>
      <c r="FX103" s="315">
        <v>79200</v>
      </c>
      <c r="FY103" s="315">
        <v>80591</v>
      </c>
      <c r="FZ103" s="315"/>
      <c r="GA103" s="315"/>
      <c r="GB103" s="315"/>
      <c r="GC103" s="315">
        <v>35324</v>
      </c>
      <c r="GD103" s="315"/>
      <c r="GE103" s="315"/>
      <c r="GF103" s="315"/>
      <c r="GG103" s="315">
        <v>82834</v>
      </c>
      <c r="GH103" s="315">
        <v>16996</v>
      </c>
      <c r="GI103" s="315">
        <v>11749</v>
      </c>
      <c r="GJ103" s="315">
        <v>54089</v>
      </c>
      <c r="GL103"/>
      <c r="GM103"/>
      <c r="GN103"/>
      <c r="GO103"/>
    </row>
    <row r="104" spans="1:199">
      <c r="A104" s="96" t="s">
        <v>21</v>
      </c>
      <c r="B104" s="96">
        <v>1</v>
      </c>
      <c r="C104" s="97" t="s">
        <v>217</v>
      </c>
      <c r="D104" s="314">
        <v>12554723</v>
      </c>
      <c r="E104" s="314">
        <v>-1753772</v>
      </c>
      <c r="F104" s="314">
        <v>-11109</v>
      </c>
      <c r="G104" s="314">
        <v>10789842</v>
      </c>
      <c r="H104" s="314">
        <v>7968380</v>
      </c>
      <c r="I104" s="314">
        <v>2821462</v>
      </c>
      <c r="J104" s="314">
        <v>2821462</v>
      </c>
      <c r="K104" s="314"/>
      <c r="L104" s="314">
        <v>8626035</v>
      </c>
      <c r="M104" s="314">
        <v>7767994</v>
      </c>
      <c r="N104" s="314">
        <v>44641</v>
      </c>
      <c r="O104" s="314"/>
      <c r="P104" s="314"/>
      <c r="Q104" s="314"/>
      <c r="R104" s="314">
        <v>813400</v>
      </c>
      <c r="S104" s="314">
        <v>-117564</v>
      </c>
      <c r="T104" s="314">
        <v>-111081</v>
      </c>
      <c r="U104" s="314">
        <v>0</v>
      </c>
      <c r="V104" s="314"/>
      <c r="W104" s="314">
        <v>0</v>
      </c>
      <c r="X104" s="314">
        <v>-98990</v>
      </c>
      <c r="Y104" s="314">
        <v>-12091</v>
      </c>
      <c r="Z104" s="314"/>
      <c r="AA104" s="314">
        <v>-6483</v>
      </c>
      <c r="AB104" s="314">
        <v>0</v>
      </c>
      <c r="AC104" s="314">
        <v>-11109</v>
      </c>
      <c r="AD104" s="314">
        <v>8497362</v>
      </c>
      <c r="AE104" s="314">
        <v>7384632</v>
      </c>
      <c r="AF104" s="314">
        <v>1112730</v>
      </c>
      <c r="AG104" s="314">
        <v>1112730</v>
      </c>
      <c r="AH104" s="314"/>
      <c r="AI104" s="314">
        <v>7763508</v>
      </c>
      <c r="AJ104" s="314">
        <v>1683527</v>
      </c>
      <c r="AK104" s="314">
        <v>2236950</v>
      </c>
      <c r="AL104" s="314">
        <v>3731228</v>
      </c>
      <c r="AM104" s="314">
        <v>419378</v>
      </c>
      <c r="AN104" s="314">
        <v>234007</v>
      </c>
      <c r="AO104" s="314">
        <v>33904</v>
      </c>
      <c r="AP104" s="314"/>
      <c r="AQ104" s="314">
        <v>124114</v>
      </c>
      <c r="AR104" s="314">
        <v>-66440</v>
      </c>
      <c r="AS104" s="314"/>
      <c r="AT104" s="314"/>
      <c r="AU104" s="314">
        <v>-11109</v>
      </c>
      <c r="AV104" s="314">
        <v>803285</v>
      </c>
      <c r="AW104" s="314">
        <v>70229</v>
      </c>
      <c r="AX104" s="314">
        <v>90924</v>
      </c>
      <c r="AY104" s="314"/>
      <c r="AZ104" s="314"/>
      <c r="BA104" s="314"/>
      <c r="BB104" s="314"/>
      <c r="BC104" s="314"/>
      <c r="BD104" s="314">
        <v>642132</v>
      </c>
      <c r="BE104" s="314">
        <v>-764999</v>
      </c>
      <c r="BF104" s="314">
        <v>-760232</v>
      </c>
      <c r="BG104" s="314">
        <v>-760232</v>
      </c>
      <c r="BH104" s="314"/>
      <c r="BI104" s="314">
        <v>0</v>
      </c>
      <c r="BJ104" s="314">
        <v>-739197</v>
      </c>
      <c r="BK104" s="314">
        <v>-21035</v>
      </c>
      <c r="BL104" s="314">
        <v>-4055</v>
      </c>
      <c r="BM104" s="314">
        <v>-712</v>
      </c>
      <c r="BN104" s="314">
        <v>38286</v>
      </c>
      <c r="BO104" s="314">
        <v>527333</v>
      </c>
      <c r="BP104" s="314">
        <v>99126</v>
      </c>
      <c r="BQ104" s="314">
        <v>14433</v>
      </c>
      <c r="BR104" s="314"/>
      <c r="BS104" s="314">
        <v>66702</v>
      </c>
      <c r="BT104" s="314"/>
      <c r="BU104" s="314"/>
      <c r="BV104" s="314"/>
      <c r="BW104" s="314"/>
      <c r="BX104" s="314">
        <v>-669308</v>
      </c>
      <c r="BY104" s="314"/>
      <c r="BZ104" s="314"/>
      <c r="CA104" s="314">
        <v>397278</v>
      </c>
      <c r="CB104" s="314">
        <v>-10078</v>
      </c>
      <c r="CC104" s="314">
        <v>-9495</v>
      </c>
      <c r="CD104" s="314">
        <v>-583</v>
      </c>
      <c r="CE104" s="314">
        <v>387200</v>
      </c>
      <c r="CF104" s="314"/>
      <c r="CG104" s="314"/>
      <c r="CH104" s="314"/>
      <c r="CI104" s="314">
        <v>1148688</v>
      </c>
      <c r="CJ104" s="314">
        <v>491544</v>
      </c>
      <c r="CK104" s="314">
        <v>657144</v>
      </c>
      <c r="CL104" s="314">
        <v>75351</v>
      </c>
      <c r="CM104" s="314">
        <v>282063</v>
      </c>
      <c r="CN104" s="314">
        <v>299730</v>
      </c>
      <c r="CO104" s="314">
        <v>0</v>
      </c>
      <c r="CP104" s="314">
        <v>0</v>
      </c>
      <c r="CQ104" s="314">
        <v>299730</v>
      </c>
      <c r="CR104" s="314">
        <v>-847861</v>
      </c>
      <c r="CS104" s="314">
        <v>-223736</v>
      </c>
      <c r="CT104" s="314">
        <v>0</v>
      </c>
      <c r="CU104" s="314">
        <v>-100496</v>
      </c>
      <c r="CV104" s="314">
        <v>-386</v>
      </c>
      <c r="CW104" s="314">
        <v>-122854</v>
      </c>
      <c r="CX104" s="314">
        <v>-624125</v>
      </c>
      <c r="CY104" s="314">
        <v>0</v>
      </c>
      <c r="CZ104" s="314">
        <v>-615903</v>
      </c>
      <c r="DA104" s="314">
        <v>-8222</v>
      </c>
      <c r="DB104" s="314">
        <v>0</v>
      </c>
      <c r="DC104" s="314">
        <v>0</v>
      </c>
      <c r="DD104" s="314">
        <v>300827</v>
      </c>
      <c r="DE104" s="314">
        <v>-819094</v>
      </c>
      <c r="DF104" s="314">
        <v>1119921</v>
      </c>
      <c r="DG104" s="314">
        <v>1119921</v>
      </c>
      <c r="DH104" s="314"/>
      <c r="DI104" s="314">
        <v>1330815</v>
      </c>
      <c r="DJ104" s="314">
        <v>49578</v>
      </c>
      <c r="DK104" s="314">
        <v>19298</v>
      </c>
      <c r="DL104" s="314">
        <v>1164</v>
      </c>
      <c r="DM104" s="314">
        <v>771548</v>
      </c>
      <c r="DN104" s="314">
        <v>427766</v>
      </c>
      <c r="DO104" s="314">
        <v>61347</v>
      </c>
      <c r="DP104" s="314"/>
      <c r="DQ104" s="314"/>
      <c r="DR104" s="314">
        <v>114</v>
      </c>
      <c r="DS104" s="314">
        <v>-1695</v>
      </c>
      <c r="DT104" s="314">
        <v>-921</v>
      </c>
      <c r="DU104" s="314">
        <v>-64</v>
      </c>
      <c r="DV104" s="314">
        <v>-50</v>
      </c>
      <c r="DW104" s="314">
        <v>-395</v>
      </c>
      <c r="DX104" s="314"/>
      <c r="DY104" s="314"/>
      <c r="DZ104" s="314"/>
      <c r="EA104" s="314">
        <v>-261</v>
      </c>
      <c r="EB104" s="314">
        <v>0</v>
      </c>
      <c r="EC104" s="314"/>
      <c r="ED104" s="314"/>
      <c r="EE104" s="314">
        <v>-4</v>
      </c>
      <c r="EF104" s="314">
        <v>1329120</v>
      </c>
      <c r="EG104" s="314">
        <v>740309</v>
      </c>
      <c r="EH104" s="314">
        <v>588811</v>
      </c>
      <c r="EI104" s="314">
        <v>588811</v>
      </c>
      <c r="EJ104" s="314"/>
      <c r="EK104" s="314">
        <v>48657</v>
      </c>
      <c r="EL104" s="314">
        <v>18545</v>
      </c>
      <c r="EM104" s="314">
        <v>30112</v>
      </c>
      <c r="EN104" s="314">
        <v>30112</v>
      </c>
      <c r="EO104" s="314"/>
      <c r="EP104" s="314">
        <v>19234</v>
      </c>
      <c r="EQ104" s="314">
        <v>11874</v>
      </c>
      <c r="ER104" s="314">
        <v>7360</v>
      </c>
      <c r="ES104" s="314">
        <v>7360</v>
      </c>
      <c r="ET104" s="314"/>
      <c r="EU104" s="314">
        <v>1114</v>
      </c>
      <c r="EV104" s="314">
        <v>562</v>
      </c>
      <c r="EW104" s="314">
        <v>552</v>
      </c>
      <c r="EX104" s="314">
        <v>552</v>
      </c>
      <c r="EY104" s="314"/>
      <c r="EZ104" s="314">
        <v>771153</v>
      </c>
      <c r="FA104" s="314">
        <v>451033</v>
      </c>
      <c r="FB104" s="314">
        <v>320120</v>
      </c>
      <c r="FC104" s="314">
        <v>320120</v>
      </c>
      <c r="FD104" s="314"/>
      <c r="FE104" s="314">
        <v>427505</v>
      </c>
      <c r="FF104" s="314">
        <v>255642</v>
      </c>
      <c r="FG104" s="314">
        <v>171863</v>
      </c>
      <c r="FH104" s="314">
        <v>171863</v>
      </c>
      <c r="FI104" s="314"/>
      <c r="FJ104" s="314">
        <v>61347</v>
      </c>
      <c r="FK104" s="314">
        <v>2543</v>
      </c>
      <c r="FL104" s="314">
        <v>58804</v>
      </c>
      <c r="FM104" s="314">
        <v>58804</v>
      </c>
      <c r="FN104" s="314"/>
      <c r="FO104" s="314"/>
      <c r="FP104" s="314"/>
      <c r="FQ104" s="314">
        <v>110</v>
      </c>
      <c r="FR104" s="314">
        <v>248622</v>
      </c>
      <c r="FS104" s="314">
        <v>-11575</v>
      </c>
      <c r="FT104" s="314">
        <v>237047</v>
      </c>
      <c r="FU104" s="314"/>
      <c r="FV104" s="314"/>
      <c r="FW104" s="314"/>
      <c r="FX104" s="314">
        <v>74435</v>
      </c>
      <c r="FY104" s="314">
        <v>95796</v>
      </c>
      <c r="FZ104" s="314"/>
      <c r="GA104" s="314"/>
      <c r="GB104" s="314"/>
      <c r="GC104" s="314">
        <v>28027</v>
      </c>
      <c r="GD104" s="314">
        <v>450</v>
      </c>
      <c r="GE104" s="314"/>
      <c r="GF104" s="314">
        <v>27577</v>
      </c>
      <c r="GG104" s="314">
        <v>38789</v>
      </c>
      <c r="GH104" s="314">
        <v>1954</v>
      </c>
      <c r="GI104" s="314">
        <v>-3194</v>
      </c>
      <c r="GJ104" s="314">
        <v>40029</v>
      </c>
      <c r="GL104"/>
      <c r="GM104"/>
      <c r="GN104"/>
      <c r="GO104"/>
      <c r="GQ104" s="100"/>
    </row>
    <row r="105" spans="1:199">
      <c r="A105" s="98" t="s">
        <v>21</v>
      </c>
      <c r="B105" s="98">
        <v>2</v>
      </c>
      <c r="C105" s="98" t="s">
        <v>218</v>
      </c>
      <c r="D105" s="315">
        <v>17246915</v>
      </c>
      <c r="E105" s="315">
        <v>-930039</v>
      </c>
      <c r="F105" s="315">
        <v>-11332</v>
      </c>
      <c r="G105" s="315">
        <v>16305544</v>
      </c>
      <c r="H105" s="315">
        <v>13484083</v>
      </c>
      <c r="I105" s="315">
        <v>2821461</v>
      </c>
      <c r="J105" s="315">
        <v>2821461</v>
      </c>
      <c r="K105" s="315"/>
      <c r="L105" s="315">
        <v>3268740</v>
      </c>
      <c r="M105" s="315">
        <v>2379376</v>
      </c>
      <c r="N105" s="315">
        <v>59647</v>
      </c>
      <c r="O105" s="315"/>
      <c r="P105" s="315"/>
      <c r="Q105" s="315"/>
      <c r="R105" s="315">
        <v>829717</v>
      </c>
      <c r="S105" s="315">
        <v>-121392</v>
      </c>
      <c r="T105" s="315">
        <v>-105085</v>
      </c>
      <c r="U105" s="315">
        <v>-33511</v>
      </c>
      <c r="V105" s="315"/>
      <c r="W105" s="315">
        <v>0</v>
      </c>
      <c r="X105" s="315">
        <v>-59924</v>
      </c>
      <c r="Y105" s="315">
        <v>-11650</v>
      </c>
      <c r="Z105" s="315"/>
      <c r="AA105" s="315">
        <v>-16307</v>
      </c>
      <c r="AB105" s="315">
        <v>0</v>
      </c>
      <c r="AC105" s="315">
        <v>-11332</v>
      </c>
      <c r="AD105" s="315">
        <v>3136016</v>
      </c>
      <c r="AE105" s="315">
        <v>2023286</v>
      </c>
      <c r="AF105" s="315">
        <v>1112730</v>
      </c>
      <c r="AG105" s="315">
        <v>1112730</v>
      </c>
      <c r="AH105" s="315"/>
      <c r="AI105" s="315">
        <v>2364700</v>
      </c>
      <c r="AJ105" s="315">
        <v>568871</v>
      </c>
      <c r="AK105" s="315">
        <v>1659905</v>
      </c>
      <c r="AL105" s="315">
        <v>61853</v>
      </c>
      <c r="AM105" s="315">
        <v>218105</v>
      </c>
      <c r="AN105" s="315">
        <v>24398</v>
      </c>
      <c r="AO105" s="315">
        <v>32946</v>
      </c>
      <c r="AP105" s="315"/>
      <c r="AQ105" s="315">
        <v>552637</v>
      </c>
      <c r="AR105" s="315">
        <v>-45438</v>
      </c>
      <c r="AS105" s="315"/>
      <c r="AT105" s="315"/>
      <c r="AU105" s="315">
        <v>-11332</v>
      </c>
      <c r="AV105" s="315">
        <v>361702</v>
      </c>
      <c r="AW105" s="315">
        <v>27055</v>
      </c>
      <c r="AX105" s="315">
        <v>141284</v>
      </c>
      <c r="AY105" s="315"/>
      <c r="AZ105" s="315"/>
      <c r="BA105" s="315"/>
      <c r="BB105" s="315"/>
      <c r="BC105" s="315"/>
      <c r="BD105" s="315">
        <v>193363</v>
      </c>
      <c r="BE105" s="315">
        <v>-287004</v>
      </c>
      <c r="BF105" s="315">
        <v>-183146</v>
      </c>
      <c r="BG105" s="315">
        <v>-183146</v>
      </c>
      <c r="BH105" s="315"/>
      <c r="BI105" s="315">
        <v>0</v>
      </c>
      <c r="BJ105" s="315">
        <v>-136558</v>
      </c>
      <c r="BK105" s="315">
        <v>-46588</v>
      </c>
      <c r="BL105" s="315">
        <v>-4457</v>
      </c>
      <c r="BM105" s="315">
        <v>-99401</v>
      </c>
      <c r="BN105" s="315">
        <v>74698</v>
      </c>
      <c r="BO105" s="315">
        <v>69916</v>
      </c>
      <c r="BP105" s="315">
        <v>9498</v>
      </c>
      <c r="BQ105" s="315">
        <v>14024</v>
      </c>
      <c r="BR105" s="315"/>
      <c r="BS105" s="315">
        <v>23122</v>
      </c>
      <c r="BT105" s="315"/>
      <c r="BU105" s="315"/>
      <c r="BV105" s="315"/>
      <c r="BW105" s="315"/>
      <c r="BX105" s="315">
        <v>-41862</v>
      </c>
      <c r="BY105" s="315"/>
      <c r="BZ105" s="315"/>
      <c r="CA105" s="315">
        <v>154025</v>
      </c>
      <c r="CB105" s="315">
        <v>-105694</v>
      </c>
      <c r="CC105" s="315">
        <v>-13507</v>
      </c>
      <c r="CD105" s="315">
        <v>-92187</v>
      </c>
      <c r="CE105" s="315">
        <v>48331</v>
      </c>
      <c r="CF105" s="315"/>
      <c r="CG105" s="315"/>
      <c r="CH105" s="315"/>
      <c r="CI105" s="315">
        <v>11791877</v>
      </c>
      <c r="CJ105" s="315">
        <v>1410301</v>
      </c>
      <c r="CK105" s="315">
        <v>10381576</v>
      </c>
      <c r="CL105" s="315">
        <v>4659444</v>
      </c>
      <c r="CM105" s="315">
        <v>5539492</v>
      </c>
      <c r="CN105" s="315">
        <v>182640</v>
      </c>
      <c r="CO105" s="315">
        <v>0</v>
      </c>
      <c r="CP105" s="315">
        <v>0</v>
      </c>
      <c r="CQ105" s="315">
        <v>182640</v>
      </c>
      <c r="CR105" s="315">
        <v>-403234</v>
      </c>
      <c r="CS105" s="315">
        <v>-167971</v>
      </c>
      <c r="CT105" s="315">
        <v>0</v>
      </c>
      <c r="CU105" s="315">
        <v>-48824</v>
      </c>
      <c r="CV105" s="315">
        <v>-615</v>
      </c>
      <c r="CW105" s="315">
        <v>-118532</v>
      </c>
      <c r="CX105" s="315">
        <v>-235263</v>
      </c>
      <c r="CY105" s="315">
        <v>0</v>
      </c>
      <c r="CZ105" s="315">
        <v>-230340</v>
      </c>
      <c r="DA105" s="315">
        <v>-4923</v>
      </c>
      <c r="DB105" s="315">
        <v>0</v>
      </c>
      <c r="DC105" s="315">
        <v>0</v>
      </c>
      <c r="DD105" s="315">
        <v>11388643</v>
      </c>
      <c r="DE105" s="315">
        <v>10268723</v>
      </c>
      <c r="DF105" s="315">
        <v>1119920</v>
      </c>
      <c r="DG105" s="315">
        <v>1119920</v>
      </c>
      <c r="DH105" s="315"/>
      <c r="DI105" s="315">
        <v>1421388</v>
      </c>
      <c r="DJ105" s="315">
        <v>107225</v>
      </c>
      <c r="DK105" s="315">
        <v>15236</v>
      </c>
      <c r="DL105" s="315">
        <v>2473</v>
      </c>
      <c r="DM105" s="315">
        <v>769089</v>
      </c>
      <c r="DN105" s="315">
        <v>464754</v>
      </c>
      <c r="DO105" s="315">
        <v>62468</v>
      </c>
      <c r="DP105" s="315"/>
      <c r="DQ105" s="315"/>
      <c r="DR105" s="315">
        <v>143</v>
      </c>
      <c r="DS105" s="315">
        <v>-2238</v>
      </c>
      <c r="DT105" s="315">
        <v>-1736</v>
      </c>
      <c r="DU105" s="315">
        <v>-41</v>
      </c>
      <c r="DV105" s="315">
        <v>-10</v>
      </c>
      <c r="DW105" s="315">
        <v>-339</v>
      </c>
      <c r="DX105" s="315"/>
      <c r="DY105" s="315"/>
      <c r="DZ105" s="315"/>
      <c r="EA105" s="315">
        <v>-2</v>
      </c>
      <c r="EB105" s="315">
        <v>0</v>
      </c>
      <c r="EC105" s="315"/>
      <c r="ED105" s="315"/>
      <c r="EE105" s="315">
        <v>-110</v>
      </c>
      <c r="EF105" s="315">
        <v>1419150</v>
      </c>
      <c r="EG105" s="315">
        <v>830339</v>
      </c>
      <c r="EH105" s="315">
        <v>588811</v>
      </c>
      <c r="EI105" s="315">
        <v>588811</v>
      </c>
      <c r="EJ105" s="315"/>
      <c r="EK105" s="315">
        <v>105489</v>
      </c>
      <c r="EL105" s="315">
        <v>75377</v>
      </c>
      <c r="EM105" s="315">
        <v>30112</v>
      </c>
      <c r="EN105" s="315">
        <v>30112</v>
      </c>
      <c r="EO105" s="315"/>
      <c r="EP105" s="315">
        <v>15195</v>
      </c>
      <c r="EQ105" s="315">
        <v>7835</v>
      </c>
      <c r="ER105" s="315">
        <v>7360</v>
      </c>
      <c r="ES105" s="315">
        <v>7360</v>
      </c>
      <c r="ET105" s="315"/>
      <c r="EU105" s="315">
        <v>2463</v>
      </c>
      <c r="EV105" s="315">
        <v>1911</v>
      </c>
      <c r="EW105" s="315">
        <v>552</v>
      </c>
      <c r="EX105" s="315">
        <v>552</v>
      </c>
      <c r="EY105" s="315"/>
      <c r="EZ105" s="315">
        <v>768750</v>
      </c>
      <c r="FA105" s="315">
        <v>448630</v>
      </c>
      <c r="FB105" s="315">
        <v>320120</v>
      </c>
      <c r="FC105" s="315">
        <v>320120</v>
      </c>
      <c r="FD105" s="315"/>
      <c r="FE105" s="315">
        <v>464752</v>
      </c>
      <c r="FF105" s="315">
        <v>292889</v>
      </c>
      <c r="FG105" s="315">
        <v>171863</v>
      </c>
      <c r="FH105" s="315">
        <v>171863</v>
      </c>
      <c r="FI105" s="315"/>
      <c r="FJ105" s="315">
        <v>62468</v>
      </c>
      <c r="FK105" s="315">
        <v>3664</v>
      </c>
      <c r="FL105" s="315">
        <v>58804</v>
      </c>
      <c r="FM105" s="315">
        <v>58804</v>
      </c>
      <c r="FN105" s="315"/>
      <c r="FO105" s="315"/>
      <c r="FP105" s="315"/>
      <c r="FQ105" s="315">
        <v>33</v>
      </c>
      <c r="FR105" s="315">
        <v>249183</v>
      </c>
      <c r="FS105" s="315">
        <v>-10477</v>
      </c>
      <c r="FT105" s="315">
        <v>238706</v>
      </c>
      <c r="FU105" s="315"/>
      <c r="FV105" s="315"/>
      <c r="FW105" s="315"/>
      <c r="FX105" s="315">
        <v>75227</v>
      </c>
      <c r="FY105" s="315">
        <v>87532</v>
      </c>
      <c r="FZ105" s="315"/>
      <c r="GA105" s="315"/>
      <c r="GB105" s="315"/>
      <c r="GC105" s="315">
        <v>26656</v>
      </c>
      <c r="GD105" s="315">
        <v>193</v>
      </c>
      <c r="GE105" s="315"/>
      <c r="GF105" s="315">
        <v>26463</v>
      </c>
      <c r="GG105" s="315">
        <v>49291</v>
      </c>
      <c r="GH105" s="315">
        <v>918</v>
      </c>
      <c r="GI105" s="315">
        <v>754</v>
      </c>
      <c r="GJ105" s="315">
        <v>47619</v>
      </c>
      <c r="GL105"/>
      <c r="GM105"/>
      <c r="GN105"/>
      <c r="GO105"/>
      <c r="GQ105" s="100"/>
    </row>
    <row r="106" spans="1:199">
      <c r="A106" s="98" t="s">
        <v>21</v>
      </c>
      <c r="B106" s="98">
        <v>3</v>
      </c>
      <c r="C106" s="98" t="s">
        <v>219</v>
      </c>
      <c r="D106" s="315">
        <v>7554219</v>
      </c>
      <c r="E106" s="315">
        <v>-2125470</v>
      </c>
      <c r="F106" s="315">
        <v>-11331</v>
      </c>
      <c r="G106" s="315">
        <v>5417418</v>
      </c>
      <c r="H106" s="315">
        <v>2595957</v>
      </c>
      <c r="I106" s="315">
        <v>2821461</v>
      </c>
      <c r="J106" s="315">
        <v>2821461</v>
      </c>
      <c r="K106" s="315"/>
      <c r="L106" s="315">
        <v>2762728</v>
      </c>
      <c r="M106" s="315">
        <v>2530035</v>
      </c>
      <c r="N106" s="315">
        <v>53497</v>
      </c>
      <c r="O106" s="315"/>
      <c r="P106" s="315"/>
      <c r="Q106" s="315"/>
      <c r="R106" s="315">
        <v>179196</v>
      </c>
      <c r="S106" s="315">
        <v>-129910</v>
      </c>
      <c r="T106" s="315">
        <v>-121542</v>
      </c>
      <c r="U106" s="315">
        <v>-40724</v>
      </c>
      <c r="V106" s="315"/>
      <c r="W106" s="315">
        <v>-29964</v>
      </c>
      <c r="X106" s="315">
        <v>-33568</v>
      </c>
      <c r="Y106" s="315">
        <v>-17286</v>
      </c>
      <c r="Z106" s="315"/>
      <c r="AA106" s="315">
        <v>-8368</v>
      </c>
      <c r="AB106" s="315">
        <v>0</v>
      </c>
      <c r="AC106" s="315">
        <v>-11331</v>
      </c>
      <c r="AD106" s="315">
        <v>2621487</v>
      </c>
      <c r="AE106" s="315">
        <v>1508757</v>
      </c>
      <c r="AF106" s="315">
        <v>1112730</v>
      </c>
      <c r="AG106" s="315">
        <v>1112730</v>
      </c>
      <c r="AH106" s="315"/>
      <c r="AI106" s="315">
        <v>2523056</v>
      </c>
      <c r="AJ106" s="315">
        <v>623466</v>
      </c>
      <c r="AK106" s="315">
        <v>1821086</v>
      </c>
      <c r="AL106" s="315">
        <v>22992</v>
      </c>
      <c r="AM106" s="315">
        <v>129483</v>
      </c>
      <c r="AN106" s="315">
        <v>21535</v>
      </c>
      <c r="AO106" s="315">
        <v>19585</v>
      </c>
      <c r="AP106" s="315"/>
      <c r="AQ106" s="315">
        <v>7204</v>
      </c>
      <c r="AR106" s="315">
        <v>-68045</v>
      </c>
      <c r="AS106" s="315"/>
      <c r="AT106" s="315"/>
      <c r="AU106" s="315">
        <v>-11331</v>
      </c>
      <c r="AV106" s="315">
        <v>181758</v>
      </c>
      <c r="AW106" s="315">
        <v>18779</v>
      </c>
      <c r="AX106" s="315">
        <v>69437</v>
      </c>
      <c r="AY106" s="315"/>
      <c r="AZ106" s="315"/>
      <c r="BA106" s="315"/>
      <c r="BB106" s="315"/>
      <c r="BC106" s="315"/>
      <c r="BD106" s="315">
        <v>93542</v>
      </c>
      <c r="BE106" s="315">
        <v>-430455</v>
      </c>
      <c r="BF106" s="315">
        <v>-197226</v>
      </c>
      <c r="BG106" s="315">
        <v>-197226</v>
      </c>
      <c r="BH106" s="315"/>
      <c r="BI106" s="315">
        <v>0</v>
      </c>
      <c r="BJ106" s="315">
        <v>-178502</v>
      </c>
      <c r="BK106" s="315">
        <v>-18724</v>
      </c>
      <c r="BL106" s="315">
        <v>-2960</v>
      </c>
      <c r="BM106" s="315">
        <v>-230269</v>
      </c>
      <c r="BN106" s="315">
        <v>-248697</v>
      </c>
      <c r="BO106" s="315">
        <v>-153790</v>
      </c>
      <c r="BP106" s="315">
        <v>8282</v>
      </c>
      <c r="BQ106" s="315">
        <v>8330</v>
      </c>
      <c r="BR106" s="315"/>
      <c r="BS106" s="315">
        <v>16270</v>
      </c>
      <c r="BT106" s="315"/>
      <c r="BU106" s="315"/>
      <c r="BV106" s="315"/>
      <c r="BW106" s="315"/>
      <c r="BX106" s="315">
        <v>-127789</v>
      </c>
      <c r="BY106" s="315"/>
      <c r="BZ106" s="315"/>
      <c r="CA106" s="315">
        <v>97721</v>
      </c>
      <c r="CB106" s="315">
        <v>-266565</v>
      </c>
      <c r="CC106" s="315">
        <v>-11427</v>
      </c>
      <c r="CD106" s="315">
        <v>-255138</v>
      </c>
      <c r="CE106" s="315">
        <v>-168844</v>
      </c>
      <c r="CF106" s="315"/>
      <c r="CG106" s="315"/>
      <c r="CH106" s="315"/>
      <c r="CI106" s="315">
        <v>3008586</v>
      </c>
      <c r="CJ106" s="315">
        <v>919780</v>
      </c>
      <c r="CK106" s="315">
        <v>2088806</v>
      </c>
      <c r="CL106" s="315">
        <v>1857231</v>
      </c>
      <c r="CM106" s="315">
        <v>26720</v>
      </c>
      <c r="CN106" s="315">
        <v>204855</v>
      </c>
      <c r="CO106" s="315">
        <v>0</v>
      </c>
      <c r="CP106" s="315">
        <v>0</v>
      </c>
      <c r="CQ106" s="315">
        <v>204855</v>
      </c>
      <c r="CR106" s="315">
        <v>-1284716</v>
      </c>
      <c r="CS106" s="315">
        <v>-311098</v>
      </c>
      <c r="CT106" s="315">
        <v>-227108</v>
      </c>
      <c r="CU106" s="315">
        <v>-20265</v>
      </c>
      <c r="CV106" s="315">
        <v>-325</v>
      </c>
      <c r="CW106" s="315">
        <v>-63400</v>
      </c>
      <c r="CX106" s="315">
        <v>-973618</v>
      </c>
      <c r="CY106" s="315">
        <v>-663091</v>
      </c>
      <c r="CZ106" s="315">
        <v>-306457</v>
      </c>
      <c r="DA106" s="315">
        <v>-4070</v>
      </c>
      <c r="DB106" s="315">
        <v>0</v>
      </c>
      <c r="DC106" s="315">
        <v>0</v>
      </c>
      <c r="DD106" s="315">
        <v>1723870</v>
      </c>
      <c r="DE106" s="315">
        <v>603949</v>
      </c>
      <c r="DF106" s="315">
        <v>1119921</v>
      </c>
      <c r="DG106" s="315">
        <v>1119921</v>
      </c>
      <c r="DH106" s="315"/>
      <c r="DI106" s="315">
        <v>1258313</v>
      </c>
      <c r="DJ106" s="315">
        <v>81926</v>
      </c>
      <c r="DK106" s="315">
        <v>15283</v>
      </c>
      <c r="DL106" s="315">
        <v>1434</v>
      </c>
      <c r="DM106" s="315">
        <v>737385</v>
      </c>
      <c r="DN106" s="315">
        <v>357929</v>
      </c>
      <c r="DO106" s="315">
        <v>64208</v>
      </c>
      <c r="DP106" s="315"/>
      <c r="DQ106" s="315"/>
      <c r="DR106" s="315">
        <v>148</v>
      </c>
      <c r="DS106" s="315">
        <v>-4546</v>
      </c>
      <c r="DT106" s="315">
        <v>-3028</v>
      </c>
      <c r="DU106" s="315">
        <v>-70</v>
      </c>
      <c r="DV106" s="315">
        <v>-29</v>
      </c>
      <c r="DW106" s="315">
        <v>-1390</v>
      </c>
      <c r="DX106" s="315"/>
      <c r="DY106" s="315"/>
      <c r="DZ106" s="315"/>
      <c r="EA106" s="315">
        <v>-1</v>
      </c>
      <c r="EB106" s="315">
        <v>0</v>
      </c>
      <c r="EC106" s="315"/>
      <c r="ED106" s="315"/>
      <c r="EE106" s="315">
        <v>-28</v>
      </c>
      <c r="EF106" s="315">
        <v>1253767</v>
      </c>
      <c r="EG106" s="315">
        <v>664957</v>
      </c>
      <c r="EH106" s="315">
        <v>588810</v>
      </c>
      <c r="EI106" s="315">
        <v>588810</v>
      </c>
      <c r="EJ106" s="315"/>
      <c r="EK106" s="315">
        <v>78898</v>
      </c>
      <c r="EL106" s="315">
        <v>48786</v>
      </c>
      <c r="EM106" s="315">
        <v>30112</v>
      </c>
      <c r="EN106" s="315">
        <v>30112</v>
      </c>
      <c r="EO106" s="315"/>
      <c r="EP106" s="315">
        <v>15213</v>
      </c>
      <c r="EQ106" s="315">
        <v>7854</v>
      </c>
      <c r="ER106" s="315">
        <v>7359</v>
      </c>
      <c r="ES106" s="315">
        <v>7359</v>
      </c>
      <c r="ET106" s="315"/>
      <c r="EU106" s="315">
        <v>1405</v>
      </c>
      <c r="EV106" s="315">
        <v>853</v>
      </c>
      <c r="EW106" s="315">
        <v>552</v>
      </c>
      <c r="EX106" s="315">
        <v>552</v>
      </c>
      <c r="EY106" s="315"/>
      <c r="EZ106" s="315">
        <v>735995</v>
      </c>
      <c r="FA106" s="315">
        <v>415874</v>
      </c>
      <c r="FB106" s="315">
        <v>320121</v>
      </c>
      <c r="FC106" s="315">
        <v>320121</v>
      </c>
      <c r="FD106" s="315"/>
      <c r="FE106" s="315">
        <v>357928</v>
      </c>
      <c r="FF106" s="315">
        <v>186066</v>
      </c>
      <c r="FG106" s="315">
        <v>171862</v>
      </c>
      <c r="FH106" s="315">
        <v>171862</v>
      </c>
      <c r="FI106" s="315"/>
      <c r="FJ106" s="315">
        <v>64208</v>
      </c>
      <c r="FK106" s="315">
        <v>5404</v>
      </c>
      <c r="FL106" s="315">
        <v>58804</v>
      </c>
      <c r="FM106" s="315">
        <v>58804</v>
      </c>
      <c r="FN106" s="315"/>
      <c r="FO106" s="315"/>
      <c r="FP106" s="315"/>
      <c r="FQ106" s="315">
        <v>120</v>
      </c>
      <c r="FR106" s="315">
        <v>245113</v>
      </c>
      <c r="FS106" s="315">
        <v>-9278</v>
      </c>
      <c r="FT106" s="315">
        <v>235835</v>
      </c>
      <c r="FU106" s="315"/>
      <c r="FV106" s="315"/>
      <c r="FW106" s="315"/>
      <c r="FX106" s="315">
        <v>82765</v>
      </c>
      <c r="FY106" s="315">
        <v>85904</v>
      </c>
      <c r="FZ106" s="315"/>
      <c r="GA106" s="315"/>
      <c r="GB106" s="315"/>
      <c r="GC106" s="315">
        <v>26356</v>
      </c>
      <c r="GD106" s="315">
        <v>418</v>
      </c>
      <c r="GE106" s="315"/>
      <c r="GF106" s="315">
        <v>25938</v>
      </c>
      <c r="GG106" s="315">
        <v>40810</v>
      </c>
      <c r="GH106" s="315">
        <v>1901</v>
      </c>
      <c r="GI106" s="315">
        <v>922</v>
      </c>
      <c r="GJ106" s="315">
        <v>37987</v>
      </c>
      <c r="GL106"/>
      <c r="GM106"/>
      <c r="GN106"/>
      <c r="GO106"/>
      <c r="GQ106" s="100"/>
    </row>
    <row r="107" spans="1:199">
      <c r="A107" s="98" t="s">
        <v>21</v>
      </c>
      <c r="B107" s="98">
        <v>4</v>
      </c>
      <c r="C107" s="98" t="s">
        <v>220</v>
      </c>
      <c r="D107" s="315">
        <v>19874796</v>
      </c>
      <c r="E107" s="315">
        <v>-2026974</v>
      </c>
      <c r="F107" s="315">
        <v>-11331</v>
      </c>
      <c r="G107" s="315">
        <v>17836491</v>
      </c>
      <c r="H107" s="315">
        <v>15015030</v>
      </c>
      <c r="I107" s="315">
        <v>2821461</v>
      </c>
      <c r="J107" s="315">
        <v>2821461</v>
      </c>
      <c r="K107" s="315"/>
      <c r="L107" s="315">
        <v>6126065</v>
      </c>
      <c r="M107" s="315">
        <v>5017158</v>
      </c>
      <c r="N107" s="315">
        <v>59089</v>
      </c>
      <c r="O107" s="315"/>
      <c r="P107" s="315"/>
      <c r="Q107" s="315"/>
      <c r="R107" s="315">
        <v>1049818</v>
      </c>
      <c r="S107" s="315">
        <v>-217384</v>
      </c>
      <c r="T107" s="315">
        <v>-207359</v>
      </c>
      <c r="U107" s="315">
        <v>-45587</v>
      </c>
      <c r="V107" s="315"/>
      <c r="W107" s="315">
        <v>-131919</v>
      </c>
      <c r="X107" s="315">
        <v>-18786</v>
      </c>
      <c r="Y107" s="315">
        <v>-11067</v>
      </c>
      <c r="Z107" s="315"/>
      <c r="AA107" s="315">
        <v>-10025</v>
      </c>
      <c r="AB107" s="315">
        <v>0</v>
      </c>
      <c r="AC107" s="315">
        <v>-11331</v>
      </c>
      <c r="AD107" s="315">
        <v>5897350</v>
      </c>
      <c r="AE107" s="315">
        <v>4784620</v>
      </c>
      <c r="AF107" s="315">
        <v>1112730</v>
      </c>
      <c r="AG107" s="315">
        <v>1112730</v>
      </c>
      <c r="AH107" s="315"/>
      <c r="AI107" s="315">
        <v>5008923</v>
      </c>
      <c r="AJ107" s="315">
        <v>510005</v>
      </c>
      <c r="AK107" s="315">
        <v>1817274</v>
      </c>
      <c r="AL107" s="315">
        <v>2586058</v>
      </c>
      <c r="AM107" s="315">
        <v>173115</v>
      </c>
      <c r="AN107" s="315">
        <v>217022</v>
      </c>
      <c r="AO107" s="315">
        <v>18845</v>
      </c>
      <c r="AP107" s="315"/>
      <c r="AQ107" s="315">
        <v>639046</v>
      </c>
      <c r="AR107" s="315">
        <v>-148270</v>
      </c>
      <c r="AS107" s="315"/>
      <c r="AT107" s="315"/>
      <c r="AU107" s="315">
        <v>-11331</v>
      </c>
      <c r="AV107" s="315">
        <v>3896089</v>
      </c>
      <c r="AW107" s="315">
        <v>3563693</v>
      </c>
      <c r="AX107" s="315">
        <v>137235</v>
      </c>
      <c r="AY107" s="315"/>
      <c r="AZ107" s="315"/>
      <c r="BA107" s="315"/>
      <c r="BB107" s="315"/>
      <c r="BC107" s="315"/>
      <c r="BD107" s="315">
        <v>195161</v>
      </c>
      <c r="BE107" s="315">
        <v>-126704</v>
      </c>
      <c r="BF107" s="315">
        <v>-122264</v>
      </c>
      <c r="BG107" s="315">
        <v>-122264</v>
      </c>
      <c r="BH107" s="315"/>
      <c r="BI107" s="315">
        <v>0</v>
      </c>
      <c r="BJ107" s="315">
        <v>-93673</v>
      </c>
      <c r="BK107" s="315">
        <v>-28591</v>
      </c>
      <c r="BL107" s="315">
        <v>-1898</v>
      </c>
      <c r="BM107" s="315">
        <v>-2542</v>
      </c>
      <c r="BN107" s="315">
        <v>3769385</v>
      </c>
      <c r="BO107" s="315">
        <v>92230</v>
      </c>
      <c r="BP107" s="315">
        <v>91742</v>
      </c>
      <c r="BQ107" s="315">
        <v>7973</v>
      </c>
      <c r="BR107" s="315"/>
      <c r="BS107" s="315">
        <v>3562469</v>
      </c>
      <c r="BT107" s="315"/>
      <c r="BU107" s="315"/>
      <c r="BV107" s="315"/>
      <c r="BW107" s="315"/>
      <c r="BX107" s="315">
        <v>14971</v>
      </c>
      <c r="BY107" s="315"/>
      <c r="BZ107" s="315"/>
      <c r="CA107" s="315">
        <v>107172</v>
      </c>
      <c r="CB107" s="315">
        <v>-39790</v>
      </c>
      <c r="CC107" s="315">
        <v>-16915</v>
      </c>
      <c r="CD107" s="315">
        <v>-22875</v>
      </c>
      <c r="CE107" s="315">
        <v>67382</v>
      </c>
      <c r="CF107" s="315"/>
      <c r="CG107" s="315"/>
      <c r="CH107" s="315"/>
      <c r="CI107" s="315">
        <v>7961470</v>
      </c>
      <c r="CJ107" s="315">
        <v>979137</v>
      </c>
      <c r="CK107" s="315">
        <v>6982333</v>
      </c>
      <c r="CL107" s="315">
        <v>2205491</v>
      </c>
      <c r="CM107" s="315">
        <v>4522852</v>
      </c>
      <c r="CN107" s="315">
        <v>253990</v>
      </c>
      <c r="CO107" s="315">
        <v>0</v>
      </c>
      <c r="CP107" s="315">
        <v>114068</v>
      </c>
      <c r="CQ107" s="315">
        <v>139922</v>
      </c>
      <c r="CR107" s="315">
        <v>-1562191</v>
      </c>
      <c r="CS107" s="315">
        <v>-347626</v>
      </c>
      <c r="CT107" s="315">
        <v>-282442</v>
      </c>
      <c r="CU107" s="315">
        <v>-16153</v>
      </c>
      <c r="CV107" s="315">
        <v>-1076</v>
      </c>
      <c r="CW107" s="315">
        <v>-47955</v>
      </c>
      <c r="CX107" s="315">
        <v>-825099</v>
      </c>
      <c r="CY107" s="315">
        <v>-652438</v>
      </c>
      <c r="CZ107" s="315">
        <v>-168543</v>
      </c>
      <c r="DA107" s="315">
        <v>-4118</v>
      </c>
      <c r="DB107" s="315">
        <v>-313953</v>
      </c>
      <c r="DC107" s="315">
        <v>-75513</v>
      </c>
      <c r="DD107" s="315">
        <v>6399279</v>
      </c>
      <c r="DE107" s="315">
        <v>5279358</v>
      </c>
      <c r="DF107" s="315">
        <v>1119921</v>
      </c>
      <c r="DG107" s="315">
        <v>1119921</v>
      </c>
      <c r="DH107" s="315"/>
      <c r="DI107" s="315">
        <v>1372411</v>
      </c>
      <c r="DJ107" s="315">
        <v>54316</v>
      </c>
      <c r="DK107" s="315">
        <v>15280</v>
      </c>
      <c r="DL107" s="315">
        <v>662</v>
      </c>
      <c r="DM107" s="315">
        <v>840060</v>
      </c>
      <c r="DN107" s="315">
        <v>392792</v>
      </c>
      <c r="DO107" s="315">
        <v>69159</v>
      </c>
      <c r="DP107" s="315"/>
      <c r="DQ107" s="315"/>
      <c r="DR107" s="315">
        <v>142</v>
      </c>
      <c r="DS107" s="315">
        <v>-76003</v>
      </c>
      <c r="DT107" s="315">
        <v>-14830</v>
      </c>
      <c r="DU107" s="315">
        <v>-5445</v>
      </c>
      <c r="DV107" s="315">
        <v>-9</v>
      </c>
      <c r="DW107" s="315">
        <v>-30439</v>
      </c>
      <c r="DX107" s="315"/>
      <c r="DY107" s="315"/>
      <c r="DZ107" s="315"/>
      <c r="EA107" s="315">
        <v>-25285</v>
      </c>
      <c r="EB107" s="315">
        <v>0</v>
      </c>
      <c r="EC107" s="315"/>
      <c r="ED107" s="315"/>
      <c r="EE107" s="315">
        <v>5</v>
      </c>
      <c r="EF107" s="315">
        <v>1296408</v>
      </c>
      <c r="EG107" s="315">
        <v>707598</v>
      </c>
      <c r="EH107" s="315">
        <v>588810</v>
      </c>
      <c r="EI107" s="315">
        <v>588810</v>
      </c>
      <c r="EJ107" s="315"/>
      <c r="EK107" s="315">
        <v>39486</v>
      </c>
      <c r="EL107" s="315">
        <v>9373</v>
      </c>
      <c r="EM107" s="315">
        <v>30113</v>
      </c>
      <c r="EN107" s="315">
        <v>30113</v>
      </c>
      <c r="EO107" s="315"/>
      <c r="EP107" s="315">
        <v>9835</v>
      </c>
      <c r="EQ107" s="315">
        <v>2475</v>
      </c>
      <c r="ER107" s="315">
        <v>7360</v>
      </c>
      <c r="ES107" s="315">
        <v>7360</v>
      </c>
      <c r="ET107" s="315"/>
      <c r="EU107" s="315">
        <v>653</v>
      </c>
      <c r="EV107" s="315">
        <v>101</v>
      </c>
      <c r="EW107" s="315">
        <v>552</v>
      </c>
      <c r="EX107" s="315">
        <v>552</v>
      </c>
      <c r="EY107" s="315"/>
      <c r="EZ107" s="315">
        <v>809621</v>
      </c>
      <c r="FA107" s="315">
        <v>489501</v>
      </c>
      <c r="FB107" s="315">
        <v>320120</v>
      </c>
      <c r="FC107" s="315">
        <v>320120</v>
      </c>
      <c r="FD107" s="315"/>
      <c r="FE107" s="315">
        <v>367507</v>
      </c>
      <c r="FF107" s="315">
        <v>195645</v>
      </c>
      <c r="FG107" s="315">
        <v>171862</v>
      </c>
      <c r="FH107" s="315">
        <v>171862</v>
      </c>
      <c r="FI107" s="315"/>
      <c r="FJ107" s="315">
        <v>69159</v>
      </c>
      <c r="FK107" s="315">
        <v>10356</v>
      </c>
      <c r="FL107" s="315">
        <v>58803</v>
      </c>
      <c r="FM107" s="315">
        <v>58803</v>
      </c>
      <c r="FN107" s="315"/>
      <c r="FO107" s="315"/>
      <c r="FP107" s="315"/>
      <c r="FQ107" s="315">
        <v>147</v>
      </c>
      <c r="FR107" s="315">
        <v>411589</v>
      </c>
      <c r="FS107" s="315">
        <v>-4902</v>
      </c>
      <c r="FT107" s="315">
        <v>406687</v>
      </c>
      <c r="FU107" s="315"/>
      <c r="FV107" s="315"/>
      <c r="FW107" s="315"/>
      <c r="FX107" s="315">
        <v>82669</v>
      </c>
      <c r="FY107" s="315">
        <v>96144</v>
      </c>
      <c r="FZ107" s="315"/>
      <c r="GA107" s="315"/>
      <c r="GB107" s="315"/>
      <c r="GC107" s="315">
        <v>164005</v>
      </c>
      <c r="GD107" s="315">
        <v>136355</v>
      </c>
      <c r="GE107" s="315"/>
      <c r="GF107" s="315">
        <v>27650</v>
      </c>
      <c r="GG107" s="315">
        <v>63869</v>
      </c>
      <c r="GH107" s="315">
        <v>1666</v>
      </c>
      <c r="GI107" s="315">
        <v>892</v>
      </c>
      <c r="GJ107" s="315">
        <v>61311</v>
      </c>
      <c r="GL107"/>
      <c r="GM107"/>
      <c r="GN107"/>
      <c r="GO107"/>
      <c r="GQ107" s="100"/>
    </row>
    <row r="108" spans="1:199">
      <c r="A108" s="98" t="s">
        <v>21</v>
      </c>
      <c r="B108" s="98">
        <v>5</v>
      </c>
      <c r="C108" s="98" t="s">
        <v>221</v>
      </c>
      <c r="D108" s="315">
        <v>7776304</v>
      </c>
      <c r="E108" s="315">
        <v>-3318845</v>
      </c>
      <c r="F108" s="315">
        <v>-11332</v>
      </c>
      <c r="G108" s="315">
        <v>4446127</v>
      </c>
      <c r="H108" s="315">
        <v>1624666</v>
      </c>
      <c r="I108" s="315">
        <v>2821461</v>
      </c>
      <c r="J108" s="315">
        <v>2821461</v>
      </c>
      <c r="K108" s="315"/>
      <c r="L108" s="315">
        <v>2463120</v>
      </c>
      <c r="M108" s="315">
        <v>2133211</v>
      </c>
      <c r="N108" s="315">
        <v>123988</v>
      </c>
      <c r="O108" s="315"/>
      <c r="P108" s="315"/>
      <c r="Q108" s="315"/>
      <c r="R108" s="315">
        <v>205921</v>
      </c>
      <c r="S108" s="315">
        <v>-1386638</v>
      </c>
      <c r="T108" s="315">
        <v>-1375908</v>
      </c>
      <c r="U108" s="315">
        <v>-48836</v>
      </c>
      <c r="V108" s="315"/>
      <c r="W108" s="315">
        <v>-1308470</v>
      </c>
      <c r="X108" s="315">
        <v>0</v>
      </c>
      <c r="Y108" s="315">
        <v>-18602</v>
      </c>
      <c r="Z108" s="315"/>
      <c r="AA108" s="315">
        <v>-10730</v>
      </c>
      <c r="AB108" s="315">
        <v>0</v>
      </c>
      <c r="AC108" s="315">
        <v>-11332</v>
      </c>
      <c r="AD108" s="315">
        <v>1065150</v>
      </c>
      <c r="AE108" s="315">
        <v>-47579</v>
      </c>
      <c r="AF108" s="315">
        <v>1112729</v>
      </c>
      <c r="AG108" s="315">
        <v>1112729</v>
      </c>
      <c r="AH108" s="315"/>
      <c r="AI108" s="315">
        <v>2123509</v>
      </c>
      <c r="AJ108" s="315">
        <v>545958</v>
      </c>
      <c r="AK108" s="315">
        <v>1560999</v>
      </c>
      <c r="AL108" s="315">
        <v>19111</v>
      </c>
      <c r="AM108" s="315">
        <v>148683</v>
      </c>
      <c r="AN108" s="315">
        <v>23721</v>
      </c>
      <c r="AO108" s="315">
        <v>17707</v>
      </c>
      <c r="AP108" s="315"/>
      <c r="AQ108" s="315">
        <v>14782</v>
      </c>
      <c r="AR108" s="315">
        <v>-1251920</v>
      </c>
      <c r="AS108" s="315"/>
      <c r="AT108" s="315"/>
      <c r="AU108" s="315">
        <v>-11332</v>
      </c>
      <c r="AV108" s="315">
        <v>356339</v>
      </c>
      <c r="AW108" s="315">
        <v>30045</v>
      </c>
      <c r="AX108" s="315">
        <v>219344</v>
      </c>
      <c r="AY108" s="315"/>
      <c r="AZ108" s="315"/>
      <c r="BA108" s="315"/>
      <c r="BB108" s="315"/>
      <c r="BC108" s="315"/>
      <c r="BD108" s="315">
        <v>106950</v>
      </c>
      <c r="BE108" s="315">
        <v>-137649</v>
      </c>
      <c r="BF108" s="315">
        <v>-129513</v>
      </c>
      <c r="BG108" s="315">
        <v>-129513</v>
      </c>
      <c r="BH108" s="315"/>
      <c r="BI108" s="315">
        <v>0</v>
      </c>
      <c r="BJ108" s="315">
        <v>-85999</v>
      </c>
      <c r="BK108" s="315">
        <v>-43514</v>
      </c>
      <c r="BL108" s="315">
        <v>-6375</v>
      </c>
      <c r="BM108" s="315">
        <v>-1761</v>
      </c>
      <c r="BN108" s="315">
        <v>218690</v>
      </c>
      <c r="BO108" s="315">
        <v>87859</v>
      </c>
      <c r="BP108" s="315">
        <v>9449</v>
      </c>
      <c r="BQ108" s="315">
        <v>7538</v>
      </c>
      <c r="BR108" s="315"/>
      <c r="BS108" s="315">
        <v>24013</v>
      </c>
      <c r="BT108" s="315"/>
      <c r="BU108" s="315"/>
      <c r="BV108" s="315"/>
      <c r="BW108" s="315"/>
      <c r="BX108" s="315">
        <v>89831</v>
      </c>
      <c r="BY108" s="315"/>
      <c r="BZ108" s="315"/>
      <c r="CA108" s="315">
        <v>99105</v>
      </c>
      <c r="CB108" s="315">
        <v>-22466</v>
      </c>
      <c r="CC108" s="315">
        <v>-6616</v>
      </c>
      <c r="CD108" s="315">
        <v>-15850</v>
      </c>
      <c r="CE108" s="315">
        <v>76639</v>
      </c>
      <c r="CF108" s="315"/>
      <c r="CG108" s="315"/>
      <c r="CH108" s="315"/>
      <c r="CI108" s="315">
        <v>3132707</v>
      </c>
      <c r="CJ108" s="315">
        <v>935319</v>
      </c>
      <c r="CK108" s="315">
        <v>2197388</v>
      </c>
      <c r="CL108" s="315">
        <v>1957838</v>
      </c>
      <c r="CM108" s="315">
        <v>28431</v>
      </c>
      <c r="CN108" s="315">
        <v>211119</v>
      </c>
      <c r="CO108" s="315">
        <v>0</v>
      </c>
      <c r="CP108" s="315">
        <v>0</v>
      </c>
      <c r="CQ108" s="315">
        <v>211119</v>
      </c>
      <c r="CR108" s="315">
        <v>-1761540</v>
      </c>
      <c r="CS108" s="315">
        <v>-798101</v>
      </c>
      <c r="CT108" s="315">
        <v>-714265</v>
      </c>
      <c r="CU108" s="315">
        <v>-34380</v>
      </c>
      <c r="CV108" s="315">
        <v>-377</v>
      </c>
      <c r="CW108" s="315">
        <v>-49079</v>
      </c>
      <c r="CX108" s="315">
        <v>-963439</v>
      </c>
      <c r="CY108" s="315">
        <v>-732707</v>
      </c>
      <c r="CZ108" s="315">
        <v>-229385</v>
      </c>
      <c r="DA108" s="315">
        <v>-1347</v>
      </c>
      <c r="DB108" s="315">
        <v>0</v>
      </c>
      <c r="DC108" s="315">
        <v>0</v>
      </c>
      <c r="DD108" s="315">
        <v>1371167</v>
      </c>
      <c r="DE108" s="315">
        <v>251246</v>
      </c>
      <c r="DF108" s="315">
        <v>1119921</v>
      </c>
      <c r="DG108" s="315">
        <v>1119921</v>
      </c>
      <c r="DH108" s="315"/>
      <c r="DI108" s="315">
        <v>1393850</v>
      </c>
      <c r="DJ108" s="315">
        <v>65020</v>
      </c>
      <c r="DK108" s="315">
        <v>14450</v>
      </c>
      <c r="DL108" s="315">
        <v>1711</v>
      </c>
      <c r="DM108" s="315">
        <v>798976</v>
      </c>
      <c r="DN108" s="315">
        <v>456053</v>
      </c>
      <c r="DO108" s="315">
        <v>57496</v>
      </c>
      <c r="DP108" s="315"/>
      <c r="DQ108" s="315"/>
      <c r="DR108" s="315">
        <v>144</v>
      </c>
      <c r="DS108" s="315">
        <v>-3570</v>
      </c>
      <c r="DT108" s="315">
        <v>-2714</v>
      </c>
      <c r="DU108" s="315">
        <v>-56</v>
      </c>
      <c r="DV108" s="315">
        <v>-3</v>
      </c>
      <c r="DW108" s="315">
        <v>-736</v>
      </c>
      <c r="DX108" s="315"/>
      <c r="DY108" s="315"/>
      <c r="DZ108" s="315"/>
      <c r="EA108" s="315">
        <v>0</v>
      </c>
      <c r="EB108" s="315">
        <v>0</v>
      </c>
      <c r="EC108" s="315"/>
      <c r="ED108" s="315"/>
      <c r="EE108" s="315">
        <v>-61</v>
      </c>
      <c r="EF108" s="315">
        <v>1390280</v>
      </c>
      <c r="EG108" s="315">
        <v>801469</v>
      </c>
      <c r="EH108" s="315">
        <v>588811</v>
      </c>
      <c r="EI108" s="315">
        <v>588811</v>
      </c>
      <c r="EJ108" s="315"/>
      <c r="EK108" s="315">
        <v>62306</v>
      </c>
      <c r="EL108" s="315">
        <v>32194</v>
      </c>
      <c r="EM108" s="315">
        <v>30112</v>
      </c>
      <c r="EN108" s="315">
        <v>30112</v>
      </c>
      <c r="EO108" s="315"/>
      <c r="EP108" s="315">
        <v>14394</v>
      </c>
      <c r="EQ108" s="315">
        <v>7034</v>
      </c>
      <c r="ER108" s="315">
        <v>7360</v>
      </c>
      <c r="ES108" s="315">
        <v>7360</v>
      </c>
      <c r="ET108" s="315"/>
      <c r="EU108" s="315">
        <v>1708</v>
      </c>
      <c r="EV108" s="315">
        <v>1156</v>
      </c>
      <c r="EW108" s="315">
        <v>552</v>
      </c>
      <c r="EX108" s="315">
        <v>552</v>
      </c>
      <c r="EY108" s="315"/>
      <c r="EZ108" s="315">
        <v>798240</v>
      </c>
      <c r="FA108" s="315">
        <v>478120</v>
      </c>
      <c r="FB108" s="315">
        <v>320120</v>
      </c>
      <c r="FC108" s="315">
        <v>320120</v>
      </c>
      <c r="FD108" s="315"/>
      <c r="FE108" s="315">
        <v>456053</v>
      </c>
      <c r="FF108" s="315">
        <v>284190</v>
      </c>
      <c r="FG108" s="315">
        <v>171863</v>
      </c>
      <c r="FH108" s="315">
        <v>171863</v>
      </c>
      <c r="FI108" s="315"/>
      <c r="FJ108" s="315">
        <v>57496</v>
      </c>
      <c r="FK108" s="315">
        <v>-1308</v>
      </c>
      <c r="FL108" s="315">
        <v>58804</v>
      </c>
      <c r="FM108" s="315">
        <v>58804</v>
      </c>
      <c r="FN108" s="315"/>
      <c r="FO108" s="315"/>
      <c r="FP108" s="315"/>
      <c r="FQ108" s="315">
        <v>83</v>
      </c>
      <c r="FR108" s="315">
        <v>331183</v>
      </c>
      <c r="FS108" s="315">
        <v>-6982</v>
      </c>
      <c r="FT108" s="315">
        <v>324201</v>
      </c>
      <c r="FU108" s="315"/>
      <c r="FV108" s="315"/>
      <c r="FW108" s="315"/>
      <c r="FX108" s="315">
        <v>72972</v>
      </c>
      <c r="FY108" s="315">
        <v>95456</v>
      </c>
      <c r="FZ108" s="315"/>
      <c r="GA108" s="315"/>
      <c r="GB108" s="315"/>
      <c r="GC108" s="315">
        <v>113818</v>
      </c>
      <c r="GD108" s="315">
        <v>88285</v>
      </c>
      <c r="GE108" s="315"/>
      <c r="GF108" s="315">
        <v>25533</v>
      </c>
      <c r="GG108" s="315">
        <v>41955</v>
      </c>
      <c r="GH108" s="315">
        <v>1411</v>
      </c>
      <c r="GI108" s="315">
        <v>10538</v>
      </c>
      <c r="GJ108" s="315">
        <v>30006</v>
      </c>
      <c r="GL108"/>
      <c r="GM108"/>
      <c r="GN108"/>
      <c r="GO108"/>
      <c r="GQ108" s="100"/>
    </row>
    <row r="109" spans="1:199">
      <c r="A109" s="98" t="s">
        <v>21</v>
      </c>
      <c r="B109" s="98">
        <v>6</v>
      </c>
      <c r="C109" s="98" t="s">
        <v>222</v>
      </c>
      <c r="D109" s="315">
        <v>8834693</v>
      </c>
      <c r="E109" s="315">
        <v>-4882312</v>
      </c>
      <c r="F109" s="315">
        <v>-11331</v>
      </c>
      <c r="G109" s="315">
        <v>3941050</v>
      </c>
      <c r="H109" s="315">
        <v>1119588</v>
      </c>
      <c r="I109" s="315">
        <v>2821462</v>
      </c>
      <c r="J109" s="315">
        <v>2821462</v>
      </c>
      <c r="K109" s="315"/>
      <c r="L109" s="315">
        <v>3663186</v>
      </c>
      <c r="M109" s="315">
        <v>2417219</v>
      </c>
      <c r="N109" s="315">
        <v>1064544</v>
      </c>
      <c r="O109" s="315"/>
      <c r="P109" s="315"/>
      <c r="Q109" s="315"/>
      <c r="R109" s="315">
        <v>181423</v>
      </c>
      <c r="S109" s="315">
        <v>-2430876</v>
      </c>
      <c r="T109" s="315">
        <v>-2422623</v>
      </c>
      <c r="U109" s="315">
        <v>-48129</v>
      </c>
      <c r="V109" s="315"/>
      <c r="W109" s="315">
        <v>-2361701</v>
      </c>
      <c r="X109" s="315">
        <v>0</v>
      </c>
      <c r="Y109" s="315">
        <v>-12793</v>
      </c>
      <c r="Z109" s="315"/>
      <c r="AA109" s="315">
        <v>-8253</v>
      </c>
      <c r="AB109" s="315">
        <v>0</v>
      </c>
      <c r="AC109" s="315">
        <v>-11331</v>
      </c>
      <c r="AD109" s="315">
        <v>1220979</v>
      </c>
      <c r="AE109" s="315">
        <v>108249</v>
      </c>
      <c r="AF109" s="315">
        <v>1112730</v>
      </c>
      <c r="AG109" s="315">
        <v>1112730</v>
      </c>
      <c r="AH109" s="315"/>
      <c r="AI109" s="315">
        <v>2410416</v>
      </c>
      <c r="AJ109" s="315">
        <v>707781</v>
      </c>
      <c r="AK109" s="315">
        <v>1624144</v>
      </c>
      <c r="AL109" s="315">
        <v>15731</v>
      </c>
      <c r="AM109" s="315">
        <v>133920</v>
      </c>
      <c r="AN109" s="315">
        <v>22540</v>
      </c>
      <c r="AO109" s="315">
        <v>15825</v>
      </c>
      <c r="AP109" s="315"/>
      <c r="AQ109" s="315">
        <v>7688</v>
      </c>
      <c r="AR109" s="315">
        <v>-1358079</v>
      </c>
      <c r="AS109" s="315"/>
      <c r="AT109" s="315"/>
      <c r="AU109" s="315">
        <v>-11331</v>
      </c>
      <c r="AV109" s="315">
        <v>244669</v>
      </c>
      <c r="AW109" s="315">
        <v>57570</v>
      </c>
      <c r="AX109" s="315">
        <v>114503</v>
      </c>
      <c r="AY109" s="315"/>
      <c r="AZ109" s="315"/>
      <c r="BA109" s="315"/>
      <c r="BB109" s="315"/>
      <c r="BC109" s="315"/>
      <c r="BD109" s="315">
        <v>72596</v>
      </c>
      <c r="BE109" s="315">
        <v>-120287</v>
      </c>
      <c r="BF109" s="315">
        <v>-114124</v>
      </c>
      <c r="BG109" s="315">
        <v>-114124</v>
      </c>
      <c r="BH109" s="315"/>
      <c r="BI109" s="315">
        <v>0</v>
      </c>
      <c r="BJ109" s="315">
        <v>-58553</v>
      </c>
      <c r="BK109" s="315">
        <v>-55571</v>
      </c>
      <c r="BL109" s="315">
        <v>-3485</v>
      </c>
      <c r="BM109" s="315">
        <v>-2678</v>
      </c>
      <c r="BN109" s="315">
        <v>124382</v>
      </c>
      <c r="BO109" s="315">
        <v>53810</v>
      </c>
      <c r="BP109" s="315">
        <v>8809</v>
      </c>
      <c r="BQ109" s="315">
        <v>6737</v>
      </c>
      <c r="BR109" s="315"/>
      <c r="BS109" s="315">
        <v>54647</v>
      </c>
      <c r="BT109" s="315"/>
      <c r="BU109" s="315"/>
      <c r="BV109" s="315"/>
      <c r="BW109" s="315"/>
      <c r="BX109" s="315">
        <v>379</v>
      </c>
      <c r="BY109" s="315"/>
      <c r="BZ109" s="315"/>
      <c r="CA109" s="315">
        <v>68703</v>
      </c>
      <c r="CB109" s="315">
        <v>-40113</v>
      </c>
      <c r="CC109" s="315">
        <v>-16014</v>
      </c>
      <c r="CD109" s="315">
        <v>-24099</v>
      </c>
      <c r="CE109" s="315">
        <v>28590</v>
      </c>
      <c r="CF109" s="315"/>
      <c r="CG109" s="315"/>
      <c r="CH109" s="315"/>
      <c r="CI109" s="315">
        <v>3121832</v>
      </c>
      <c r="CJ109" s="315">
        <v>980595</v>
      </c>
      <c r="CK109" s="315">
        <v>2141237</v>
      </c>
      <c r="CL109" s="315">
        <v>1965532</v>
      </c>
      <c r="CM109" s="315">
        <v>16683</v>
      </c>
      <c r="CN109" s="315">
        <v>159022</v>
      </c>
      <c r="CO109" s="315">
        <v>0</v>
      </c>
      <c r="CP109" s="315">
        <v>0</v>
      </c>
      <c r="CQ109" s="315">
        <v>159022</v>
      </c>
      <c r="CR109" s="315">
        <v>-2253230</v>
      </c>
      <c r="CS109" s="315">
        <v>-1122450</v>
      </c>
      <c r="CT109" s="315">
        <v>-1040178</v>
      </c>
      <c r="CU109" s="315">
        <v>-6030</v>
      </c>
      <c r="CV109" s="315">
        <v>-706</v>
      </c>
      <c r="CW109" s="315">
        <v>-75536</v>
      </c>
      <c r="CX109" s="315">
        <v>-1042042</v>
      </c>
      <c r="CY109" s="315">
        <v>-780142</v>
      </c>
      <c r="CZ109" s="315">
        <v>-261248</v>
      </c>
      <c r="DA109" s="315">
        <v>-652</v>
      </c>
      <c r="DB109" s="315">
        <v>0</v>
      </c>
      <c r="DC109" s="315">
        <v>-88738</v>
      </c>
      <c r="DD109" s="315">
        <v>868602</v>
      </c>
      <c r="DE109" s="315">
        <v>-251318</v>
      </c>
      <c r="DF109" s="315">
        <v>1119920</v>
      </c>
      <c r="DG109" s="315">
        <v>1119920</v>
      </c>
      <c r="DH109" s="315"/>
      <c r="DI109" s="315">
        <v>1433607</v>
      </c>
      <c r="DJ109" s="315">
        <v>61764</v>
      </c>
      <c r="DK109" s="315">
        <v>16801</v>
      </c>
      <c r="DL109" s="315">
        <v>1020</v>
      </c>
      <c r="DM109" s="315">
        <v>841325</v>
      </c>
      <c r="DN109" s="315">
        <v>451004</v>
      </c>
      <c r="DO109" s="315">
        <v>61522</v>
      </c>
      <c r="DP109" s="315"/>
      <c r="DQ109" s="315"/>
      <c r="DR109" s="315">
        <v>171</v>
      </c>
      <c r="DS109" s="315">
        <v>-33853</v>
      </c>
      <c r="DT109" s="315">
        <v>-1149</v>
      </c>
      <c r="DU109" s="315">
        <v>-19</v>
      </c>
      <c r="DV109" s="315">
        <v>-32</v>
      </c>
      <c r="DW109" s="315">
        <v>-420</v>
      </c>
      <c r="DX109" s="315"/>
      <c r="DY109" s="315"/>
      <c r="DZ109" s="315"/>
      <c r="EA109" s="315">
        <v>-32201</v>
      </c>
      <c r="EB109" s="315">
        <v>-11</v>
      </c>
      <c r="EC109" s="315"/>
      <c r="ED109" s="315"/>
      <c r="EE109" s="315">
        <v>-21</v>
      </c>
      <c r="EF109" s="315">
        <v>1399754</v>
      </c>
      <c r="EG109" s="315">
        <v>810942</v>
      </c>
      <c r="EH109" s="315">
        <v>588812</v>
      </c>
      <c r="EI109" s="315">
        <v>588812</v>
      </c>
      <c r="EJ109" s="315"/>
      <c r="EK109" s="315">
        <v>60615</v>
      </c>
      <c r="EL109" s="315">
        <v>30503</v>
      </c>
      <c r="EM109" s="315">
        <v>30112</v>
      </c>
      <c r="EN109" s="315">
        <v>30112</v>
      </c>
      <c r="EO109" s="315"/>
      <c r="EP109" s="315">
        <v>16782</v>
      </c>
      <c r="EQ109" s="315">
        <v>9422</v>
      </c>
      <c r="ER109" s="315">
        <v>7360</v>
      </c>
      <c r="ES109" s="315">
        <v>7360</v>
      </c>
      <c r="ET109" s="315"/>
      <c r="EU109" s="315">
        <v>988</v>
      </c>
      <c r="EV109" s="315">
        <v>436</v>
      </c>
      <c r="EW109" s="315">
        <v>552</v>
      </c>
      <c r="EX109" s="315">
        <v>552</v>
      </c>
      <c r="EY109" s="315"/>
      <c r="EZ109" s="315">
        <v>840905</v>
      </c>
      <c r="FA109" s="315">
        <v>520784</v>
      </c>
      <c r="FB109" s="315">
        <v>320121</v>
      </c>
      <c r="FC109" s="315">
        <v>320121</v>
      </c>
      <c r="FD109" s="315"/>
      <c r="FE109" s="315">
        <v>418803</v>
      </c>
      <c r="FF109" s="315">
        <v>246940</v>
      </c>
      <c r="FG109" s="315">
        <v>171863</v>
      </c>
      <c r="FH109" s="315">
        <v>171863</v>
      </c>
      <c r="FI109" s="315"/>
      <c r="FJ109" s="315">
        <v>61511</v>
      </c>
      <c r="FK109" s="315">
        <v>2707</v>
      </c>
      <c r="FL109" s="315">
        <v>58804</v>
      </c>
      <c r="FM109" s="315">
        <v>58804</v>
      </c>
      <c r="FN109" s="315"/>
      <c r="FO109" s="315"/>
      <c r="FP109" s="315"/>
      <c r="FQ109" s="315">
        <v>150</v>
      </c>
      <c r="FR109" s="315">
        <v>302696</v>
      </c>
      <c r="FS109" s="315">
        <v>-3953</v>
      </c>
      <c r="FT109" s="315">
        <v>298743</v>
      </c>
      <c r="FU109" s="315"/>
      <c r="FV109" s="315"/>
      <c r="FW109" s="315"/>
      <c r="FX109" s="315">
        <v>87129</v>
      </c>
      <c r="FY109" s="315">
        <v>94909</v>
      </c>
      <c r="FZ109" s="315"/>
      <c r="GA109" s="315"/>
      <c r="GB109" s="315"/>
      <c r="GC109" s="315">
        <v>40357</v>
      </c>
      <c r="GD109" s="315">
        <v>2024</v>
      </c>
      <c r="GE109" s="315"/>
      <c r="GF109" s="315">
        <v>38333</v>
      </c>
      <c r="GG109" s="315">
        <v>76348</v>
      </c>
      <c r="GH109" s="315">
        <v>4524</v>
      </c>
      <c r="GI109" s="315">
        <v>889</v>
      </c>
      <c r="GJ109" s="315">
        <v>70935</v>
      </c>
      <c r="GL109"/>
      <c r="GM109"/>
      <c r="GN109"/>
      <c r="GO109"/>
      <c r="GQ109" s="100"/>
    </row>
    <row r="110" spans="1:199">
      <c r="A110" s="98" t="s">
        <v>21</v>
      </c>
      <c r="B110" s="98">
        <v>7</v>
      </c>
      <c r="C110" s="98" t="s">
        <v>223</v>
      </c>
      <c r="D110" s="315">
        <v>21361071</v>
      </c>
      <c r="E110" s="315">
        <v>-5243217</v>
      </c>
      <c r="F110" s="315">
        <v>-11331</v>
      </c>
      <c r="G110" s="315">
        <v>16106523</v>
      </c>
      <c r="H110" s="315">
        <v>13285062</v>
      </c>
      <c r="I110" s="315">
        <v>2821461</v>
      </c>
      <c r="J110" s="315">
        <v>2821461</v>
      </c>
      <c r="K110" s="315"/>
      <c r="L110" s="315">
        <v>9173791</v>
      </c>
      <c r="M110" s="315">
        <v>5685808</v>
      </c>
      <c r="N110" s="315">
        <v>2331874</v>
      </c>
      <c r="O110" s="315"/>
      <c r="P110" s="315"/>
      <c r="Q110" s="315"/>
      <c r="R110" s="315">
        <v>1156109</v>
      </c>
      <c r="S110" s="315">
        <v>-2057474</v>
      </c>
      <c r="T110" s="315">
        <v>-2047532</v>
      </c>
      <c r="U110" s="315">
        <v>-46991</v>
      </c>
      <c r="V110" s="315"/>
      <c r="W110" s="315">
        <v>-1982493</v>
      </c>
      <c r="X110" s="315">
        <v>0</v>
      </c>
      <c r="Y110" s="315">
        <v>-18048</v>
      </c>
      <c r="Z110" s="315"/>
      <c r="AA110" s="315">
        <v>-9942</v>
      </c>
      <c r="AB110" s="315">
        <v>0</v>
      </c>
      <c r="AC110" s="315">
        <v>-11331</v>
      </c>
      <c r="AD110" s="315">
        <v>7104986</v>
      </c>
      <c r="AE110" s="315">
        <v>5992256</v>
      </c>
      <c r="AF110" s="315">
        <v>1112730</v>
      </c>
      <c r="AG110" s="315">
        <v>1112730</v>
      </c>
      <c r="AH110" s="315"/>
      <c r="AI110" s="315">
        <v>5677136</v>
      </c>
      <c r="AJ110" s="315">
        <v>835627</v>
      </c>
      <c r="AK110" s="315">
        <v>1996991</v>
      </c>
      <c r="AL110" s="315">
        <v>2787306</v>
      </c>
      <c r="AM110" s="315">
        <v>230598</v>
      </c>
      <c r="AN110" s="315">
        <v>226584</v>
      </c>
      <c r="AO110" s="315">
        <v>21495</v>
      </c>
      <c r="AP110" s="315"/>
      <c r="AQ110" s="315">
        <v>676162</v>
      </c>
      <c r="AR110" s="315">
        <v>284342</v>
      </c>
      <c r="AS110" s="315"/>
      <c r="AT110" s="315"/>
      <c r="AU110" s="315">
        <v>-11331</v>
      </c>
      <c r="AV110" s="315">
        <v>1639549</v>
      </c>
      <c r="AW110" s="315">
        <v>14484</v>
      </c>
      <c r="AX110" s="315">
        <v>1022872</v>
      </c>
      <c r="AY110" s="315"/>
      <c r="AZ110" s="315"/>
      <c r="BA110" s="315"/>
      <c r="BB110" s="315"/>
      <c r="BC110" s="315"/>
      <c r="BD110" s="315">
        <v>602193</v>
      </c>
      <c r="BE110" s="315">
        <v>-93592</v>
      </c>
      <c r="BF110" s="315">
        <v>-90659</v>
      </c>
      <c r="BG110" s="315">
        <v>-90659</v>
      </c>
      <c r="BH110" s="315"/>
      <c r="BI110" s="315">
        <v>0</v>
      </c>
      <c r="BJ110" s="315">
        <v>-60364</v>
      </c>
      <c r="BK110" s="315">
        <v>-30295</v>
      </c>
      <c r="BL110" s="315">
        <v>-2933</v>
      </c>
      <c r="BM110" s="315">
        <v>0</v>
      </c>
      <c r="BN110" s="315">
        <v>1545957</v>
      </c>
      <c r="BO110" s="315">
        <v>496982</v>
      </c>
      <c r="BP110" s="315">
        <v>95595</v>
      </c>
      <c r="BQ110" s="315">
        <v>9151</v>
      </c>
      <c r="BR110" s="315"/>
      <c r="BS110" s="315">
        <v>12016</v>
      </c>
      <c r="BT110" s="315"/>
      <c r="BU110" s="315"/>
      <c r="BV110" s="315"/>
      <c r="BW110" s="315"/>
      <c r="BX110" s="315">
        <v>932213</v>
      </c>
      <c r="BY110" s="315"/>
      <c r="BZ110" s="315"/>
      <c r="CA110" s="315">
        <v>426592</v>
      </c>
      <c r="CB110" s="315">
        <v>-6471</v>
      </c>
      <c r="CC110" s="315">
        <v>-6471</v>
      </c>
      <c r="CD110" s="315">
        <v>0</v>
      </c>
      <c r="CE110" s="315">
        <v>420121</v>
      </c>
      <c r="CF110" s="315"/>
      <c r="CG110" s="315"/>
      <c r="CH110" s="315"/>
      <c r="CI110" s="315">
        <v>8276023</v>
      </c>
      <c r="CJ110" s="315">
        <v>1002793</v>
      </c>
      <c r="CK110" s="315">
        <v>7273230</v>
      </c>
      <c r="CL110" s="315">
        <v>2172628</v>
      </c>
      <c r="CM110" s="315">
        <v>4909176</v>
      </c>
      <c r="CN110" s="315">
        <v>191426</v>
      </c>
      <c r="CO110" s="315">
        <v>0</v>
      </c>
      <c r="CP110" s="315">
        <v>0</v>
      </c>
      <c r="CQ110" s="315">
        <v>191426</v>
      </c>
      <c r="CR110" s="315">
        <v>-3051306</v>
      </c>
      <c r="CS110" s="315">
        <v>-1852674</v>
      </c>
      <c r="CT110" s="315">
        <v>-1796738</v>
      </c>
      <c r="CU110" s="315">
        <v>-7326</v>
      </c>
      <c r="CV110" s="315">
        <v>-710</v>
      </c>
      <c r="CW110" s="315">
        <v>-47900</v>
      </c>
      <c r="CX110" s="315">
        <v>-924647</v>
      </c>
      <c r="CY110" s="315">
        <v>-686115</v>
      </c>
      <c r="CZ110" s="315">
        <v>-204460</v>
      </c>
      <c r="DA110" s="315">
        <v>-34072</v>
      </c>
      <c r="DB110" s="315">
        <v>-273985</v>
      </c>
      <c r="DC110" s="315">
        <v>0</v>
      </c>
      <c r="DD110" s="315">
        <v>5224717</v>
      </c>
      <c r="DE110" s="315">
        <v>4104796</v>
      </c>
      <c r="DF110" s="315">
        <v>1119921</v>
      </c>
      <c r="DG110" s="315">
        <v>1119921</v>
      </c>
      <c r="DH110" s="315"/>
      <c r="DI110" s="315">
        <v>1546245</v>
      </c>
      <c r="DJ110" s="315">
        <v>60915</v>
      </c>
      <c r="DK110" s="315">
        <v>19259</v>
      </c>
      <c r="DL110" s="315">
        <v>2131</v>
      </c>
      <c r="DM110" s="315">
        <v>842163</v>
      </c>
      <c r="DN110" s="315">
        <v>559855</v>
      </c>
      <c r="DO110" s="315">
        <v>61600</v>
      </c>
      <c r="DP110" s="315"/>
      <c r="DQ110" s="315"/>
      <c r="DR110" s="315">
        <v>322</v>
      </c>
      <c r="DS110" s="315">
        <v>-25906</v>
      </c>
      <c r="DT110" s="315">
        <v>-12046</v>
      </c>
      <c r="DU110" s="315">
        <v>-2547</v>
      </c>
      <c r="DV110" s="315">
        <v>0</v>
      </c>
      <c r="DW110" s="315">
        <v>-156</v>
      </c>
      <c r="DX110" s="315"/>
      <c r="DY110" s="315"/>
      <c r="DZ110" s="315"/>
      <c r="EA110" s="315">
        <v>-9668</v>
      </c>
      <c r="EB110" s="315">
        <v>0</v>
      </c>
      <c r="EC110" s="315"/>
      <c r="ED110" s="315"/>
      <c r="EE110" s="315">
        <v>-1489</v>
      </c>
      <c r="EF110" s="315">
        <v>1520339</v>
      </c>
      <c r="EG110" s="315">
        <v>931529</v>
      </c>
      <c r="EH110" s="315">
        <v>588810</v>
      </c>
      <c r="EI110" s="315">
        <v>588810</v>
      </c>
      <c r="EJ110" s="315"/>
      <c r="EK110" s="315">
        <v>48869</v>
      </c>
      <c r="EL110" s="315">
        <v>18757</v>
      </c>
      <c r="EM110" s="315">
        <v>30112</v>
      </c>
      <c r="EN110" s="315">
        <v>30112</v>
      </c>
      <c r="EO110" s="315"/>
      <c r="EP110" s="315">
        <v>16712</v>
      </c>
      <c r="EQ110" s="315">
        <v>9352</v>
      </c>
      <c r="ER110" s="315">
        <v>7360</v>
      </c>
      <c r="ES110" s="315">
        <v>7360</v>
      </c>
      <c r="ET110" s="315"/>
      <c r="EU110" s="315">
        <v>2131</v>
      </c>
      <c r="EV110" s="315">
        <v>1579</v>
      </c>
      <c r="EW110" s="315">
        <v>552</v>
      </c>
      <c r="EX110" s="315">
        <v>552</v>
      </c>
      <c r="EY110" s="315"/>
      <c r="EZ110" s="315">
        <v>842007</v>
      </c>
      <c r="FA110" s="315">
        <v>521887</v>
      </c>
      <c r="FB110" s="315">
        <v>320120</v>
      </c>
      <c r="FC110" s="315">
        <v>320120</v>
      </c>
      <c r="FD110" s="315"/>
      <c r="FE110" s="315">
        <v>550187</v>
      </c>
      <c r="FF110" s="315">
        <v>378325</v>
      </c>
      <c r="FG110" s="315">
        <v>171862</v>
      </c>
      <c r="FH110" s="315">
        <v>171862</v>
      </c>
      <c r="FI110" s="315"/>
      <c r="FJ110" s="315">
        <v>61600</v>
      </c>
      <c r="FK110" s="315">
        <v>2796</v>
      </c>
      <c r="FL110" s="315">
        <v>58804</v>
      </c>
      <c r="FM110" s="315">
        <v>58804</v>
      </c>
      <c r="FN110" s="315"/>
      <c r="FO110" s="315"/>
      <c r="FP110" s="315"/>
      <c r="FQ110" s="315">
        <v>-1167</v>
      </c>
      <c r="FR110" s="315">
        <v>298871</v>
      </c>
      <c r="FS110" s="315">
        <v>-8468</v>
      </c>
      <c r="FT110" s="315">
        <v>290403</v>
      </c>
      <c r="FU110" s="315"/>
      <c r="FV110" s="315"/>
      <c r="FW110" s="315"/>
      <c r="FX110" s="315">
        <v>87274</v>
      </c>
      <c r="FY110" s="315">
        <v>98523</v>
      </c>
      <c r="FZ110" s="315"/>
      <c r="GA110" s="315"/>
      <c r="GB110" s="315"/>
      <c r="GC110" s="315">
        <v>41655</v>
      </c>
      <c r="GD110" s="315">
        <v>281</v>
      </c>
      <c r="GE110" s="315"/>
      <c r="GF110" s="315">
        <v>41374</v>
      </c>
      <c r="GG110" s="315">
        <v>62951</v>
      </c>
      <c r="GH110" s="315">
        <v>4637</v>
      </c>
      <c r="GI110" s="315">
        <v>-244</v>
      </c>
      <c r="GJ110" s="315">
        <v>58558</v>
      </c>
      <c r="GL110"/>
      <c r="GM110"/>
      <c r="GN110"/>
      <c r="GO110"/>
      <c r="GQ110" s="100"/>
    </row>
    <row r="111" spans="1:199">
      <c r="A111" s="98" t="s">
        <v>21</v>
      </c>
      <c r="B111" s="98">
        <v>8</v>
      </c>
      <c r="C111" s="98" t="s">
        <v>224</v>
      </c>
      <c r="D111" s="315">
        <v>10270826</v>
      </c>
      <c r="E111" s="315">
        <v>-1933546</v>
      </c>
      <c r="F111" s="315">
        <v>-11332</v>
      </c>
      <c r="G111" s="315">
        <v>8325948</v>
      </c>
      <c r="H111" s="315">
        <v>5504486</v>
      </c>
      <c r="I111" s="315">
        <v>2821462</v>
      </c>
      <c r="J111" s="315">
        <v>2821462</v>
      </c>
      <c r="K111" s="315"/>
      <c r="L111" s="315">
        <v>491064</v>
      </c>
      <c r="M111" s="315">
        <v>419327</v>
      </c>
      <c r="N111" s="315">
        <v>54509</v>
      </c>
      <c r="O111" s="315"/>
      <c r="P111" s="315"/>
      <c r="Q111" s="315"/>
      <c r="R111" s="315">
        <v>17228</v>
      </c>
      <c r="S111" s="315">
        <v>-577148</v>
      </c>
      <c r="T111" s="315">
        <v>-574356</v>
      </c>
      <c r="U111" s="315">
        <v>-45841</v>
      </c>
      <c r="V111" s="315"/>
      <c r="W111" s="315">
        <v>-521472</v>
      </c>
      <c r="X111" s="315">
        <v>0</v>
      </c>
      <c r="Y111" s="315">
        <v>-7043</v>
      </c>
      <c r="Z111" s="315"/>
      <c r="AA111" s="315">
        <v>-2792</v>
      </c>
      <c r="AB111" s="315">
        <v>0</v>
      </c>
      <c r="AC111" s="315">
        <v>-11332</v>
      </c>
      <c r="AD111" s="315">
        <v>-97416</v>
      </c>
      <c r="AE111" s="315">
        <v>-1210146</v>
      </c>
      <c r="AF111" s="315">
        <v>1112730</v>
      </c>
      <c r="AG111" s="315">
        <v>1112730</v>
      </c>
      <c r="AH111" s="315"/>
      <c r="AI111" s="315">
        <v>417180</v>
      </c>
      <c r="AJ111" s="315">
        <v>202863</v>
      </c>
      <c r="AK111" s="315">
        <v>127966</v>
      </c>
      <c r="AL111" s="315">
        <v>16253</v>
      </c>
      <c r="AM111" s="315">
        <v>4065</v>
      </c>
      <c r="AN111" s="315">
        <v>4809</v>
      </c>
      <c r="AO111" s="315">
        <v>347</v>
      </c>
      <c r="AP111" s="315"/>
      <c r="AQ111" s="315">
        <v>7362</v>
      </c>
      <c r="AR111" s="315">
        <v>-519847</v>
      </c>
      <c r="AS111" s="315"/>
      <c r="AT111" s="315"/>
      <c r="AU111" s="315">
        <v>-11332</v>
      </c>
      <c r="AV111" s="315">
        <v>7265284</v>
      </c>
      <c r="AW111" s="315">
        <v>5151</v>
      </c>
      <c r="AX111" s="315">
        <v>7255195</v>
      </c>
      <c r="AY111" s="315"/>
      <c r="AZ111" s="315"/>
      <c r="BA111" s="315"/>
      <c r="BB111" s="315"/>
      <c r="BC111" s="315"/>
      <c r="BD111" s="315">
        <v>4938</v>
      </c>
      <c r="BE111" s="315">
        <v>-35086</v>
      </c>
      <c r="BF111" s="315">
        <v>-33760</v>
      </c>
      <c r="BG111" s="315">
        <v>-33760</v>
      </c>
      <c r="BH111" s="315"/>
      <c r="BI111" s="315">
        <v>0</v>
      </c>
      <c r="BJ111" s="315">
        <v>0</v>
      </c>
      <c r="BK111" s="315">
        <v>-33760</v>
      </c>
      <c r="BL111" s="315">
        <v>-1326</v>
      </c>
      <c r="BM111" s="315">
        <v>0</v>
      </c>
      <c r="BN111" s="315">
        <v>7230198</v>
      </c>
      <c r="BO111" s="315">
        <v>3208</v>
      </c>
      <c r="BP111" s="315">
        <v>1381</v>
      </c>
      <c r="BQ111" s="315">
        <v>125</v>
      </c>
      <c r="BR111" s="315"/>
      <c r="BS111" s="315">
        <v>4049</v>
      </c>
      <c r="BT111" s="315"/>
      <c r="BU111" s="315"/>
      <c r="BV111" s="315"/>
      <c r="BW111" s="315"/>
      <c r="BX111" s="315">
        <v>7221435</v>
      </c>
      <c r="BY111" s="315"/>
      <c r="BZ111" s="315"/>
      <c r="CA111" s="315">
        <v>100884</v>
      </c>
      <c r="CB111" s="315">
        <v>-2219</v>
      </c>
      <c r="CC111" s="315">
        <v>-2219</v>
      </c>
      <c r="CD111" s="315">
        <v>0</v>
      </c>
      <c r="CE111" s="315">
        <v>98665</v>
      </c>
      <c r="CF111" s="315"/>
      <c r="CG111" s="315"/>
      <c r="CH111" s="315"/>
      <c r="CI111" s="315">
        <v>699148</v>
      </c>
      <c r="CJ111" s="315">
        <v>504811</v>
      </c>
      <c r="CK111" s="315">
        <v>194337</v>
      </c>
      <c r="CL111" s="315">
        <v>62483</v>
      </c>
      <c r="CM111" s="315">
        <v>23236</v>
      </c>
      <c r="CN111" s="315">
        <v>108618</v>
      </c>
      <c r="CO111" s="315">
        <v>0</v>
      </c>
      <c r="CP111" s="315">
        <v>0</v>
      </c>
      <c r="CQ111" s="315">
        <v>108618</v>
      </c>
      <c r="CR111" s="315">
        <v>-1313151</v>
      </c>
      <c r="CS111" s="315">
        <v>-1009726</v>
      </c>
      <c r="CT111" s="315">
        <v>-993359</v>
      </c>
      <c r="CU111" s="315">
        <v>-2503</v>
      </c>
      <c r="CV111" s="315">
        <v>-448</v>
      </c>
      <c r="CW111" s="315">
        <v>-13416</v>
      </c>
      <c r="CX111" s="315">
        <v>-303425</v>
      </c>
      <c r="CY111" s="315">
        <v>-258599</v>
      </c>
      <c r="CZ111" s="315">
        <v>-43194</v>
      </c>
      <c r="DA111" s="315">
        <v>-1632</v>
      </c>
      <c r="DB111" s="315">
        <v>0</v>
      </c>
      <c r="DC111" s="315">
        <v>0</v>
      </c>
      <c r="DD111" s="315">
        <v>-614003</v>
      </c>
      <c r="DE111" s="315">
        <v>-1733924</v>
      </c>
      <c r="DF111" s="315">
        <v>1119921</v>
      </c>
      <c r="DG111" s="315">
        <v>1119921</v>
      </c>
      <c r="DH111" s="315"/>
      <c r="DI111" s="315">
        <v>1553271</v>
      </c>
      <c r="DJ111" s="315">
        <v>88339</v>
      </c>
      <c r="DK111" s="315">
        <v>23443</v>
      </c>
      <c r="DL111" s="315">
        <v>2295</v>
      </c>
      <c r="DM111" s="315">
        <v>896256</v>
      </c>
      <c r="DN111" s="315">
        <v>478464</v>
      </c>
      <c r="DO111" s="315">
        <v>64314</v>
      </c>
      <c r="DP111" s="315"/>
      <c r="DQ111" s="315"/>
      <c r="DR111" s="315">
        <v>160</v>
      </c>
      <c r="DS111" s="315">
        <v>-760</v>
      </c>
      <c r="DT111" s="315">
        <v>-407</v>
      </c>
      <c r="DU111" s="315">
        <v>-17</v>
      </c>
      <c r="DV111" s="315">
        <v>-9</v>
      </c>
      <c r="DW111" s="315">
        <v>-60</v>
      </c>
      <c r="DX111" s="315"/>
      <c r="DY111" s="315"/>
      <c r="DZ111" s="315"/>
      <c r="EA111" s="315">
        <v>-1</v>
      </c>
      <c r="EB111" s="315">
        <v>0</v>
      </c>
      <c r="EC111" s="315"/>
      <c r="ED111" s="315"/>
      <c r="EE111" s="315">
        <v>-266</v>
      </c>
      <c r="EF111" s="315">
        <v>1552511</v>
      </c>
      <c r="EG111" s="315">
        <v>963700</v>
      </c>
      <c r="EH111" s="315">
        <v>588811</v>
      </c>
      <c r="EI111" s="315">
        <v>588811</v>
      </c>
      <c r="EJ111" s="315"/>
      <c r="EK111" s="315">
        <v>87932</v>
      </c>
      <c r="EL111" s="315">
        <v>57820</v>
      </c>
      <c r="EM111" s="315">
        <v>30112</v>
      </c>
      <c r="EN111" s="315">
        <v>30112</v>
      </c>
      <c r="EO111" s="315"/>
      <c r="EP111" s="315">
        <v>23426</v>
      </c>
      <c r="EQ111" s="315">
        <v>16067</v>
      </c>
      <c r="ER111" s="315">
        <v>7359</v>
      </c>
      <c r="ES111" s="315">
        <v>7359</v>
      </c>
      <c r="ET111" s="315"/>
      <c r="EU111" s="315">
        <v>2286</v>
      </c>
      <c r="EV111" s="315">
        <v>1733</v>
      </c>
      <c r="EW111" s="315">
        <v>553</v>
      </c>
      <c r="EX111" s="315">
        <v>553</v>
      </c>
      <c r="EY111" s="315"/>
      <c r="EZ111" s="315">
        <v>896196</v>
      </c>
      <c r="FA111" s="315">
        <v>576076</v>
      </c>
      <c r="FB111" s="315">
        <v>320120</v>
      </c>
      <c r="FC111" s="315">
        <v>320120</v>
      </c>
      <c r="FD111" s="315"/>
      <c r="FE111" s="315">
        <v>478463</v>
      </c>
      <c r="FF111" s="315">
        <v>306600</v>
      </c>
      <c r="FG111" s="315">
        <v>171863</v>
      </c>
      <c r="FH111" s="315">
        <v>171863</v>
      </c>
      <c r="FI111" s="315"/>
      <c r="FJ111" s="315">
        <v>64314</v>
      </c>
      <c r="FK111" s="315">
        <v>5510</v>
      </c>
      <c r="FL111" s="315">
        <v>58804</v>
      </c>
      <c r="FM111" s="315">
        <v>58804</v>
      </c>
      <c r="FN111" s="315"/>
      <c r="FO111" s="315"/>
      <c r="FP111" s="315"/>
      <c r="FQ111" s="315">
        <v>-106</v>
      </c>
      <c r="FR111" s="315">
        <v>161175</v>
      </c>
      <c r="FS111" s="315">
        <v>-5182</v>
      </c>
      <c r="FT111" s="315">
        <v>155993</v>
      </c>
      <c r="FU111" s="315"/>
      <c r="FV111" s="315"/>
      <c r="FW111" s="315"/>
      <c r="FX111" s="315">
        <v>87797</v>
      </c>
      <c r="FY111" s="315">
        <v>2764</v>
      </c>
      <c r="FZ111" s="315"/>
      <c r="GA111" s="315"/>
      <c r="GB111" s="315"/>
      <c r="GC111" s="315">
        <v>34805</v>
      </c>
      <c r="GD111" s="315">
        <v>3801</v>
      </c>
      <c r="GE111" s="315"/>
      <c r="GF111" s="315">
        <v>31004</v>
      </c>
      <c r="GG111" s="315">
        <v>30627</v>
      </c>
      <c r="GH111" s="315">
        <v>1846</v>
      </c>
      <c r="GI111" s="315">
        <v>711</v>
      </c>
      <c r="GJ111" s="315">
        <v>28070</v>
      </c>
      <c r="GL111"/>
      <c r="GM111"/>
      <c r="GN111"/>
      <c r="GO111"/>
      <c r="GQ111" s="100"/>
    </row>
    <row r="112" spans="1:199">
      <c r="A112" s="98" t="s">
        <v>21</v>
      </c>
      <c r="B112" s="98">
        <v>9</v>
      </c>
      <c r="C112" s="98" t="s">
        <v>225</v>
      </c>
      <c r="D112" s="315">
        <v>12491434</v>
      </c>
      <c r="E112" s="315">
        <v>-2974686</v>
      </c>
      <c r="F112" s="315">
        <v>-11331</v>
      </c>
      <c r="G112" s="315">
        <v>9505417</v>
      </c>
      <c r="H112" s="315">
        <v>6683956</v>
      </c>
      <c r="I112" s="315">
        <v>2821461</v>
      </c>
      <c r="J112" s="315">
        <v>2821461</v>
      </c>
      <c r="K112" s="315"/>
      <c r="L112" s="315">
        <v>4737953</v>
      </c>
      <c r="M112" s="315">
        <v>4258904</v>
      </c>
      <c r="N112" s="315">
        <v>49954</v>
      </c>
      <c r="O112" s="315"/>
      <c r="P112" s="315"/>
      <c r="Q112" s="315"/>
      <c r="R112" s="315">
        <v>429095</v>
      </c>
      <c r="S112" s="315">
        <v>-624551</v>
      </c>
      <c r="T112" s="315">
        <v>-619723</v>
      </c>
      <c r="U112" s="315">
        <v>-46843</v>
      </c>
      <c r="V112" s="315"/>
      <c r="W112" s="315">
        <v>-562220</v>
      </c>
      <c r="X112" s="315">
        <v>0</v>
      </c>
      <c r="Y112" s="315">
        <v>-10660</v>
      </c>
      <c r="Z112" s="315"/>
      <c r="AA112" s="315">
        <v>-4828</v>
      </c>
      <c r="AB112" s="315">
        <v>0</v>
      </c>
      <c r="AC112" s="315">
        <v>-11331</v>
      </c>
      <c r="AD112" s="315">
        <v>4102071</v>
      </c>
      <c r="AE112" s="315">
        <v>2989341</v>
      </c>
      <c r="AF112" s="315">
        <v>1112730</v>
      </c>
      <c r="AG112" s="315">
        <v>1112730</v>
      </c>
      <c r="AH112" s="315"/>
      <c r="AI112" s="315">
        <v>4256026</v>
      </c>
      <c r="AJ112" s="315">
        <v>936759</v>
      </c>
      <c r="AK112" s="315">
        <v>3234566</v>
      </c>
      <c r="AL112" s="315">
        <v>8503</v>
      </c>
      <c r="AM112" s="315">
        <v>354508</v>
      </c>
      <c r="AN112" s="315">
        <v>40895</v>
      </c>
      <c r="AO112" s="315">
        <v>26065</v>
      </c>
      <c r="AP112" s="315"/>
      <c r="AQ112" s="315">
        <v>5677</v>
      </c>
      <c r="AR112" s="315">
        <v>-569769</v>
      </c>
      <c r="AS112" s="315"/>
      <c r="AT112" s="315"/>
      <c r="AU112" s="315">
        <v>-11331</v>
      </c>
      <c r="AV112" s="315">
        <v>490341</v>
      </c>
      <c r="AW112" s="315">
        <v>5832</v>
      </c>
      <c r="AX112" s="315">
        <v>268630</v>
      </c>
      <c r="AY112" s="315"/>
      <c r="AZ112" s="315"/>
      <c r="BA112" s="315"/>
      <c r="BB112" s="315"/>
      <c r="BC112" s="315"/>
      <c r="BD112" s="315">
        <v>215879</v>
      </c>
      <c r="BE112" s="315">
        <v>-471168</v>
      </c>
      <c r="BF112" s="315">
        <v>-67246</v>
      </c>
      <c r="BG112" s="315">
        <v>-67246</v>
      </c>
      <c r="BH112" s="315"/>
      <c r="BI112" s="315">
        <v>-828</v>
      </c>
      <c r="BJ112" s="315">
        <v>0</v>
      </c>
      <c r="BK112" s="315">
        <v>-66418</v>
      </c>
      <c r="BL112" s="315">
        <v>-10249</v>
      </c>
      <c r="BM112" s="315">
        <v>-393673</v>
      </c>
      <c r="BN112" s="315">
        <v>19173</v>
      </c>
      <c r="BO112" s="315">
        <v>-206339</v>
      </c>
      <c r="BP112" s="315">
        <v>16715</v>
      </c>
      <c r="BQ112" s="315">
        <v>11094</v>
      </c>
      <c r="BR112" s="315"/>
      <c r="BS112" s="315">
        <v>-3681</v>
      </c>
      <c r="BT112" s="315"/>
      <c r="BU112" s="315"/>
      <c r="BV112" s="315"/>
      <c r="BW112" s="315"/>
      <c r="BX112" s="315">
        <v>201384</v>
      </c>
      <c r="BY112" s="315"/>
      <c r="BZ112" s="315"/>
      <c r="CA112" s="315">
        <v>152416</v>
      </c>
      <c r="CB112" s="315">
        <v>-332936</v>
      </c>
      <c r="CC112" s="315">
        <v>-9778</v>
      </c>
      <c r="CD112" s="315">
        <v>-323158</v>
      </c>
      <c r="CE112" s="315">
        <v>-180520</v>
      </c>
      <c r="CF112" s="315"/>
      <c r="CG112" s="315"/>
      <c r="CH112" s="315"/>
      <c r="CI112" s="315">
        <v>5308456</v>
      </c>
      <c r="CJ112" s="315">
        <v>1360127</v>
      </c>
      <c r="CK112" s="315">
        <v>3948329</v>
      </c>
      <c r="CL112" s="315">
        <v>3815387</v>
      </c>
      <c r="CM112" s="315">
        <v>9414</v>
      </c>
      <c r="CN112" s="315">
        <v>123528</v>
      </c>
      <c r="CO112" s="315">
        <v>0</v>
      </c>
      <c r="CP112" s="315">
        <v>0</v>
      </c>
      <c r="CQ112" s="315">
        <v>123528</v>
      </c>
      <c r="CR112" s="315">
        <v>-1513281</v>
      </c>
      <c r="CS112" s="315">
        <v>-672480</v>
      </c>
      <c r="CT112" s="315">
        <v>-650078</v>
      </c>
      <c r="CU112" s="315">
        <v>-4241</v>
      </c>
      <c r="CV112" s="315">
        <v>-659</v>
      </c>
      <c r="CW112" s="315">
        <v>-17502</v>
      </c>
      <c r="CX112" s="315">
        <v>-785927</v>
      </c>
      <c r="CY112" s="315">
        <v>-741561</v>
      </c>
      <c r="CZ112" s="315">
        <v>-41068</v>
      </c>
      <c r="DA112" s="315">
        <v>-3298</v>
      </c>
      <c r="DB112" s="315">
        <v>0</v>
      </c>
      <c r="DC112" s="315">
        <v>-54874</v>
      </c>
      <c r="DD112" s="315">
        <v>3795175</v>
      </c>
      <c r="DE112" s="315">
        <v>2675254</v>
      </c>
      <c r="DF112" s="315">
        <v>1119921</v>
      </c>
      <c r="DG112" s="315">
        <v>1119921</v>
      </c>
      <c r="DH112" s="315"/>
      <c r="DI112" s="315">
        <v>1429622</v>
      </c>
      <c r="DJ112" s="315">
        <v>68287</v>
      </c>
      <c r="DK112" s="315">
        <v>24909</v>
      </c>
      <c r="DL112" s="315">
        <v>1161</v>
      </c>
      <c r="DM112" s="315">
        <v>830539</v>
      </c>
      <c r="DN112" s="315">
        <v>440108</v>
      </c>
      <c r="DO112" s="315">
        <v>64461</v>
      </c>
      <c r="DP112" s="315"/>
      <c r="DQ112" s="315"/>
      <c r="DR112" s="315">
        <v>157</v>
      </c>
      <c r="DS112" s="315">
        <v>-25718</v>
      </c>
      <c r="DT112" s="315">
        <v>-3373</v>
      </c>
      <c r="DU112" s="315">
        <v>-76</v>
      </c>
      <c r="DV112" s="315">
        <v>-118</v>
      </c>
      <c r="DW112" s="315">
        <v>-1337</v>
      </c>
      <c r="DX112" s="315"/>
      <c r="DY112" s="315"/>
      <c r="DZ112" s="315"/>
      <c r="EA112" s="315">
        <v>-20615</v>
      </c>
      <c r="EB112" s="315">
        <v>-4</v>
      </c>
      <c r="EC112" s="315"/>
      <c r="ED112" s="315"/>
      <c r="EE112" s="315">
        <v>-195</v>
      </c>
      <c r="EF112" s="315">
        <v>1403904</v>
      </c>
      <c r="EG112" s="315">
        <v>815094</v>
      </c>
      <c r="EH112" s="315">
        <v>588810</v>
      </c>
      <c r="EI112" s="315">
        <v>588810</v>
      </c>
      <c r="EJ112" s="315"/>
      <c r="EK112" s="315">
        <v>64914</v>
      </c>
      <c r="EL112" s="315">
        <v>34802</v>
      </c>
      <c r="EM112" s="315">
        <v>30112</v>
      </c>
      <c r="EN112" s="315">
        <v>30112</v>
      </c>
      <c r="EO112" s="315"/>
      <c r="EP112" s="315">
        <v>24833</v>
      </c>
      <c r="EQ112" s="315">
        <v>17473</v>
      </c>
      <c r="ER112" s="315">
        <v>7360</v>
      </c>
      <c r="ES112" s="315">
        <v>7360</v>
      </c>
      <c r="ET112" s="315"/>
      <c r="EU112" s="315">
        <v>1043</v>
      </c>
      <c r="EV112" s="315">
        <v>491</v>
      </c>
      <c r="EW112" s="315">
        <v>552</v>
      </c>
      <c r="EX112" s="315">
        <v>552</v>
      </c>
      <c r="EY112" s="315"/>
      <c r="EZ112" s="315">
        <v>829202</v>
      </c>
      <c r="FA112" s="315">
        <v>509082</v>
      </c>
      <c r="FB112" s="315">
        <v>320120</v>
      </c>
      <c r="FC112" s="315">
        <v>320120</v>
      </c>
      <c r="FD112" s="315"/>
      <c r="FE112" s="315">
        <v>419493</v>
      </c>
      <c r="FF112" s="315">
        <v>247631</v>
      </c>
      <c r="FG112" s="315">
        <v>171862</v>
      </c>
      <c r="FH112" s="315">
        <v>171862</v>
      </c>
      <c r="FI112" s="315"/>
      <c r="FJ112" s="315">
        <v>64457</v>
      </c>
      <c r="FK112" s="315">
        <v>5653</v>
      </c>
      <c r="FL112" s="315">
        <v>58804</v>
      </c>
      <c r="FM112" s="315">
        <v>58804</v>
      </c>
      <c r="FN112" s="315"/>
      <c r="FO112" s="315"/>
      <c r="FP112" s="315"/>
      <c r="FQ112" s="315">
        <v>-38</v>
      </c>
      <c r="FR112" s="315">
        <v>372646</v>
      </c>
      <c r="FS112" s="315">
        <v>-7032</v>
      </c>
      <c r="FT112" s="315">
        <v>365614</v>
      </c>
      <c r="FU112" s="315"/>
      <c r="FV112" s="315"/>
      <c r="FW112" s="315"/>
      <c r="FX112" s="315">
        <v>85333</v>
      </c>
      <c r="FY112" s="315">
        <v>191255</v>
      </c>
      <c r="FZ112" s="315"/>
      <c r="GA112" s="315"/>
      <c r="GB112" s="315"/>
      <c r="GC112" s="315">
        <v>41164</v>
      </c>
      <c r="GD112" s="315">
        <v>4243</v>
      </c>
      <c r="GE112" s="315"/>
      <c r="GF112" s="315">
        <v>36921</v>
      </c>
      <c r="GG112" s="315">
        <v>47862</v>
      </c>
      <c r="GH112" s="315">
        <v>1850</v>
      </c>
      <c r="GI112" s="315">
        <v>249</v>
      </c>
      <c r="GJ112" s="315">
        <v>45763</v>
      </c>
      <c r="GL112"/>
      <c r="GM112"/>
      <c r="GN112"/>
      <c r="GO112"/>
      <c r="GQ112" s="100"/>
    </row>
    <row r="113" spans="1:199">
      <c r="A113" s="98" t="s">
        <v>21</v>
      </c>
      <c r="B113" s="98">
        <v>10</v>
      </c>
      <c r="C113" s="98" t="s">
        <v>226</v>
      </c>
      <c r="D113" s="315">
        <v>23355946</v>
      </c>
      <c r="E113" s="315">
        <v>-2712148</v>
      </c>
      <c r="F113" s="315">
        <v>-11331</v>
      </c>
      <c r="G113" s="315">
        <v>20632467</v>
      </c>
      <c r="H113" s="315">
        <v>17541971</v>
      </c>
      <c r="I113" s="315">
        <v>3090496</v>
      </c>
      <c r="J113" s="315">
        <v>3090496</v>
      </c>
      <c r="K113" s="315"/>
      <c r="L113" s="315">
        <v>6456624</v>
      </c>
      <c r="M113" s="315">
        <v>5250051</v>
      </c>
      <c r="N113" s="315">
        <v>60092</v>
      </c>
      <c r="O113" s="315"/>
      <c r="P113" s="315"/>
      <c r="Q113" s="315"/>
      <c r="R113" s="315">
        <v>1146481</v>
      </c>
      <c r="S113" s="315">
        <v>-706779</v>
      </c>
      <c r="T113" s="315">
        <v>-676130</v>
      </c>
      <c r="U113" s="315">
        <v>-47978</v>
      </c>
      <c r="V113" s="315"/>
      <c r="W113" s="315">
        <v>-614819</v>
      </c>
      <c r="X113" s="315">
        <v>0</v>
      </c>
      <c r="Y113" s="315">
        <v>-13333</v>
      </c>
      <c r="Z113" s="315"/>
      <c r="AA113" s="315">
        <v>-30649</v>
      </c>
      <c r="AB113" s="315">
        <v>0</v>
      </c>
      <c r="AC113" s="315">
        <v>-11331</v>
      </c>
      <c r="AD113" s="315">
        <v>5738514</v>
      </c>
      <c r="AE113" s="315">
        <v>4356749</v>
      </c>
      <c r="AF113" s="315">
        <v>1381765</v>
      </c>
      <c r="AG113" s="315">
        <v>1381765</v>
      </c>
      <c r="AH113" s="315"/>
      <c r="AI113" s="315">
        <v>5239003</v>
      </c>
      <c r="AJ113" s="315">
        <v>845679</v>
      </c>
      <c r="AK113" s="315">
        <v>1586562</v>
      </c>
      <c r="AL113" s="315">
        <v>2662933</v>
      </c>
      <c r="AM113" s="315">
        <v>192042</v>
      </c>
      <c r="AN113" s="315">
        <v>233469</v>
      </c>
      <c r="AO113" s="315">
        <v>22647</v>
      </c>
      <c r="AP113" s="315"/>
      <c r="AQ113" s="315">
        <v>678722</v>
      </c>
      <c r="AR113" s="315">
        <v>-616038</v>
      </c>
      <c r="AS113" s="315"/>
      <c r="AT113" s="315"/>
      <c r="AU113" s="315">
        <v>-11331</v>
      </c>
      <c r="AV113" s="315">
        <v>6763223</v>
      </c>
      <c r="AW113" s="315">
        <v>6253700</v>
      </c>
      <c r="AX113" s="315">
        <v>99014</v>
      </c>
      <c r="AY113" s="315"/>
      <c r="AZ113" s="315"/>
      <c r="BA113" s="315"/>
      <c r="BB113" s="315"/>
      <c r="BC113" s="315"/>
      <c r="BD113" s="315">
        <v>410509</v>
      </c>
      <c r="BE113" s="315">
        <v>-214134</v>
      </c>
      <c r="BF113" s="315">
        <v>-201377</v>
      </c>
      <c r="BG113" s="315">
        <v>-201377</v>
      </c>
      <c r="BH113" s="315"/>
      <c r="BI113" s="315">
        <v>-164746</v>
      </c>
      <c r="BJ113" s="315">
        <v>0</v>
      </c>
      <c r="BK113" s="315">
        <v>-36631</v>
      </c>
      <c r="BL113" s="315">
        <v>-10919</v>
      </c>
      <c r="BM113" s="315">
        <v>-1838</v>
      </c>
      <c r="BN113" s="315">
        <v>6549089</v>
      </c>
      <c r="BO113" s="315">
        <v>299728</v>
      </c>
      <c r="BP113" s="315">
        <v>98586</v>
      </c>
      <c r="BQ113" s="315">
        <v>9640</v>
      </c>
      <c r="BR113" s="315"/>
      <c r="BS113" s="315">
        <v>6243498</v>
      </c>
      <c r="BT113" s="315"/>
      <c r="BU113" s="315"/>
      <c r="BV113" s="315"/>
      <c r="BW113" s="315"/>
      <c r="BX113" s="315">
        <v>-102363</v>
      </c>
      <c r="BY113" s="315"/>
      <c r="BZ113" s="315"/>
      <c r="CA113" s="315">
        <v>277633</v>
      </c>
      <c r="CB113" s="315">
        <v>-23791</v>
      </c>
      <c r="CC113" s="315">
        <v>-7250</v>
      </c>
      <c r="CD113" s="315">
        <v>-16541</v>
      </c>
      <c r="CE113" s="315">
        <v>253842</v>
      </c>
      <c r="CF113" s="315"/>
      <c r="CG113" s="315"/>
      <c r="CH113" s="315"/>
      <c r="CI113" s="315">
        <v>8086152</v>
      </c>
      <c r="CJ113" s="315">
        <v>1024454</v>
      </c>
      <c r="CK113" s="315">
        <v>7061698</v>
      </c>
      <c r="CL113" s="315">
        <v>2074719</v>
      </c>
      <c r="CM113" s="315">
        <v>4824605</v>
      </c>
      <c r="CN113" s="315">
        <v>162374</v>
      </c>
      <c r="CO113" s="315">
        <v>0</v>
      </c>
      <c r="CP113" s="315">
        <v>0</v>
      </c>
      <c r="CQ113" s="315">
        <v>162374</v>
      </c>
      <c r="CR113" s="315">
        <v>-1723296</v>
      </c>
      <c r="CS113" s="315">
        <v>-571996</v>
      </c>
      <c r="CT113" s="315">
        <v>-531737</v>
      </c>
      <c r="CU113" s="315">
        <v>-15292</v>
      </c>
      <c r="CV113" s="315">
        <v>-1763</v>
      </c>
      <c r="CW113" s="315">
        <v>-23204</v>
      </c>
      <c r="CX113" s="315">
        <v>-933898</v>
      </c>
      <c r="CY113" s="315">
        <v>-896653</v>
      </c>
      <c r="CZ113" s="315">
        <v>-36839</v>
      </c>
      <c r="DA113" s="315">
        <v>-406</v>
      </c>
      <c r="DB113" s="315">
        <v>-217402</v>
      </c>
      <c r="DC113" s="315">
        <v>0</v>
      </c>
      <c r="DD113" s="315">
        <v>6362856</v>
      </c>
      <c r="DE113" s="315">
        <v>5242936</v>
      </c>
      <c r="DF113" s="315">
        <v>1119920</v>
      </c>
      <c r="DG113" s="315">
        <v>1119920</v>
      </c>
      <c r="DH113" s="315"/>
      <c r="DI113" s="315">
        <v>1475610</v>
      </c>
      <c r="DJ113" s="315">
        <v>79287</v>
      </c>
      <c r="DK113" s="315">
        <v>29118</v>
      </c>
      <c r="DL113" s="315">
        <v>1198</v>
      </c>
      <c r="DM113" s="315">
        <v>830556</v>
      </c>
      <c r="DN113" s="315">
        <v>466338</v>
      </c>
      <c r="DO113" s="315">
        <v>68948</v>
      </c>
      <c r="DP113" s="315"/>
      <c r="DQ113" s="315"/>
      <c r="DR113" s="315">
        <v>165</v>
      </c>
      <c r="DS113" s="315">
        <v>-34153</v>
      </c>
      <c r="DT113" s="315">
        <v>-13366</v>
      </c>
      <c r="DU113" s="315">
        <v>-3403</v>
      </c>
      <c r="DV113" s="315">
        <v>-12</v>
      </c>
      <c r="DW113" s="315">
        <v>-1356</v>
      </c>
      <c r="DX113" s="315"/>
      <c r="DY113" s="315"/>
      <c r="DZ113" s="315"/>
      <c r="EA113" s="315">
        <v>-15986</v>
      </c>
      <c r="EB113" s="315">
        <v>-9</v>
      </c>
      <c r="EC113" s="315"/>
      <c r="ED113" s="315"/>
      <c r="EE113" s="315">
        <v>-21</v>
      </c>
      <c r="EF113" s="315">
        <v>1441457</v>
      </c>
      <c r="EG113" s="315">
        <v>852646</v>
      </c>
      <c r="EH113" s="315">
        <v>588811</v>
      </c>
      <c r="EI113" s="315">
        <v>588811</v>
      </c>
      <c r="EJ113" s="315"/>
      <c r="EK113" s="315">
        <v>65921</v>
      </c>
      <c r="EL113" s="315">
        <v>35809</v>
      </c>
      <c r="EM113" s="315">
        <v>30112</v>
      </c>
      <c r="EN113" s="315">
        <v>30112</v>
      </c>
      <c r="EO113" s="315"/>
      <c r="EP113" s="315">
        <v>25715</v>
      </c>
      <c r="EQ113" s="315">
        <v>18355</v>
      </c>
      <c r="ER113" s="315">
        <v>7360</v>
      </c>
      <c r="ES113" s="315">
        <v>7360</v>
      </c>
      <c r="ET113" s="315"/>
      <c r="EU113" s="315">
        <v>1186</v>
      </c>
      <c r="EV113" s="315">
        <v>634</v>
      </c>
      <c r="EW113" s="315">
        <v>552</v>
      </c>
      <c r="EX113" s="315">
        <v>552</v>
      </c>
      <c r="EY113" s="315"/>
      <c r="EZ113" s="315">
        <v>829200</v>
      </c>
      <c r="FA113" s="315">
        <v>509079</v>
      </c>
      <c r="FB113" s="315">
        <v>320121</v>
      </c>
      <c r="FC113" s="315">
        <v>320121</v>
      </c>
      <c r="FD113" s="315"/>
      <c r="FE113" s="315">
        <v>450352</v>
      </c>
      <c r="FF113" s="315">
        <v>278489</v>
      </c>
      <c r="FG113" s="315">
        <v>171863</v>
      </c>
      <c r="FH113" s="315">
        <v>171863</v>
      </c>
      <c r="FI113" s="315"/>
      <c r="FJ113" s="315">
        <v>68939</v>
      </c>
      <c r="FK113" s="315">
        <v>10136</v>
      </c>
      <c r="FL113" s="315">
        <v>58803</v>
      </c>
      <c r="FM113" s="315">
        <v>58803</v>
      </c>
      <c r="FN113" s="315"/>
      <c r="FO113" s="315"/>
      <c r="FP113" s="315"/>
      <c r="FQ113" s="315">
        <v>144</v>
      </c>
      <c r="FR113" s="315">
        <v>296704</v>
      </c>
      <c r="FS113" s="315">
        <v>-9995</v>
      </c>
      <c r="FT113" s="315">
        <v>286709</v>
      </c>
      <c r="FU113" s="315"/>
      <c r="FV113" s="315"/>
      <c r="FW113" s="315"/>
      <c r="FX113" s="315">
        <v>95584</v>
      </c>
      <c r="FY113" s="315">
        <v>90969</v>
      </c>
      <c r="FZ113" s="315"/>
      <c r="GA113" s="315"/>
      <c r="GB113" s="315"/>
      <c r="GC113" s="315">
        <v>35210</v>
      </c>
      <c r="GD113" s="315">
        <v>4253</v>
      </c>
      <c r="GE113" s="315"/>
      <c r="GF113" s="315">
        <v>30957</v>
      </c>
      <c r="GG113" s="315">
        <v>64946</v>
      </c>
      <c r="GH113" s="315">
        <v>2872</v>
      </c>
      <c r="GI113" s="315">
        <v>652</v>
      </c>
      <c r="GJ113" s="315">
        <v>61422</v>
      </c>
      <c r="GL113"/>
      <c r="GM113"/>
      <c r="GN113"/>
      <c r="GO113"/>
      <c r="GQ113" s="100"/>
    </row>
    <row r="114" spans="1:199">
      <c r="A114" s="98" t="s">
        <v>21</v>
      </c>
      <c r="B114" s="98">
        <v>11</v>
      </c>
      <c r="C114" s="98" t="s">
        <v>227</v>
      </c>
      <c r="D114" s="315">
        <v>9770881</v>
      </c>
      <c r="E114" s="315">
        <v>-2136670</v>
      </c>
      <c r="F114" s="315">
        <v>-11332</v>
      </c>
      <c r="G114" s="315">
        <v>7622879</v>
      </c>
      <c r="H114" s="315">
        <v>4801417</v>
      </c>
      <c r="I114" s="315">
        <v>2821462</v>
      </c>
      <c r="J114" s="315">
        <v>2821462</v>
      </c>
      <c r="K114" s="315"/>
      <c r="L114" s="315">
        <v>4307134</v>
      </c>
      <c r="M114" s="315">
        <v>2274970</v>
      </c>
      <c r="N114" s="315">
        <v>1839104</v>
      </c>
      <c r="O114" s="315"/>
      <c r="P114" s="315"/>
      <c r="Q114" s="315"/>
      <c r="R114" s="315">
        <v>193060</v>
      </c>
      <c r="S114" s="315">
        <v>-472702</v>
      </c>
      <c r="T114" s="315">
        <v>-453864</v>
      </c>
      <c r="U114" s="315">
        <v>-47863</v>
      </c>
      <c r="V114" s="315"/>
      <c r="W114" s="315">
        <v>-393832</v>
      </c>
      <c r="X114" s="315">
        <v>0</v>
      </c>
      <c r="Y114" s="315">
        <v>-12169</v>
      </c>
      <c r="Z114" s="315"/>
      <c r="AA114" s="315">
        <v>-18838</v>
      </c>
      <c r="AB114" s="315">
        <v>0</v>
      </c>
      <c r="AC114" s="315">
        <v>-11332</v>
      </c>
      <c r="AD114" s="315">
        <v>3823100</v>
      </c>
      <c r="AE114" s="315">
        <v>2710370</v>
      </c>
      <c r="AF114" s="315">
        <v>1112730</v>
      </c>
      <c r="AG114" s="315">
        <v>1112730</v>
      </c>
      <c r="AH114" s="315"/>
      <c r="AI114" s="315">
        <v>2262149</v>
      </c>
      <c r="AJ114" s="315">
        <v>597386</v>
      </c>
      <c r="AK114" s="315">
        <v>1576475</v>
      </c>
      <c r="AL114" s="315">
        <v>17586</v>
      </c>
      <c r="AM114" s="315">
        <v>133595</v>
      </c>
      <c r="AN114" s="315">
        <v>26951</v>
      </c>
      <c r="AO114" s="315">
        <v>17417</v>
      </c>
      <c r="AP114" s="315"/>
      <c r="AQ114" s="315">
        <v>9080</v>
      </c>
      <c r="AR114" s="315">
        <v>1385240</v>
      </c>
      <c r="AS114" s="315"/>
      <c r="AT114" s="315"/>
      <c r="AU114" s="315">
        <v>-11332</v>
      </c>
      <c r="AV114" s="315">
        <v>337892</v>
      </c>
      <c r="AW114" s="315">
        <v>28956</v>
      </c>
      <c r="AX114" s="315">
        <v>231823</v>
      </c>
      <c r="AY114" s="315"/>
      <c r="AZ114" s="315"/>
      <c r="BA114" s="315"/>
      <c r="BB114" s="315"/>
      <c r="BC114" s="315"/>
      <c r="BD114" s="315">
        <v>77113</v>
      </c>
      <c r="BE114" s="315">
        <v>-377303</v>
      </c>
      <c r="BF114" s="315">
        <v>-191164</v>
      </c>
      <c r="BG114" s="315">
        <v>-191164</v>
      </c>
      <c r="BH114" s="315"/>
      <c r="BI114" s="315">
        <v>-152597</v>
      </c>
      <c r="BJ114" s="315">
        <v>0</v>
      </c>
      <c r="BK114" s="315">
        <v>-38567</v>
      </c>
      <c r="BL114" s="315">
        <v>-8203</v>
      </c>
      <c r="BM114" s="315">
        <v>-177936</v>
      </c>
      <c r="BN114" s="315">
        <v>-39411</v>
      </c>
      <c r="BO114" s="315">
        <v>-121139</v>
      </c>
      <c r="BP114" s="315">
        <v>10628</v>
      </c>
      <c r="BQ114" s="315">
        <v>7413</v>
      </c>
      <c r="BR114" s="315"/>
      <c r="BS114" s="315">
        <v>23028</v>
      </c>
      <c r="BT114" s="315"/>
      <c r="BU114" s="315"/>
      <c r="BV114" s="315"/>
      <c r="BW114" s="315"/>
      <c r="BX114" s="315">
        <v>40659</v>
      </c>
      <c r="BY114" s="315"/>
      <c r="BZ114" s="315"/>
      <c r="CA114" s="315">
        <v>66470</v>
      </c>
      <c r="CB114" s="315">
        <v>-166478</v>
      </c>
      <c r="CC114" s="315">
        <v>-5027</v>
      </c>
      <c r="CD114" s="315">
        <v>-161451</v>
      </c>
      <c r="CE114" s="315">
        <v>-100008</v>
      </c>
      <c r="CF114" s="315"/>
      <c r="CG114" s="315"/>
      <c r="CH114" s="315"/>
      <c r="CI114" s="315">
        <v>3273511</v>
      </c>
      <c r="CJ114" s="315">
        <v>973836</v>
      </c>
      <c r="CK114" s="315">
        <v>2299675</v>
      </c>
      <c r="CL114" s="315">
        <v>2111336</v>
      </c>
      <c r="CM114" s="315">
        <v>30064</v>
      </c>
      <c r="CN114" s="315">
        <v>158275</v>
      </c>
      <c r="CO114" s="315">
        <v>0</v>
      </c>
      <c r="CP114" s="315">
        <v>0</v>
      </c>
      <c r="CQ114" s="315">
        <v>158275</v>
      </c>
      <c r="CR114" s="315">
        <v>-1103864</v>
      </c>
      <c r="CS114" s="315">
        <v>-486382</v>
      </c>
      <c r="CT114" s="315">
        <v>-454033</v>
      </c>
      <c r="CU114" s="315">
        <v>-2780</v>
      </c>
      <c r="CV114" s="315">
        <v>-713</v>
      </c>
      <c r="CW114" s="315">
        <v>-28856</v>
      </c>
      <c r="CX114" s="315">
        <v>-617482</v>
      </c>
      <c r="CY114" s="315">
        <v>-589701</v>
      </c>
      <c r="CZ114" s="315">
        <v>-26874</v>
      </c>
      <c r="DA114" s="315">
        <v>-907</v>
      </c>
      <c r="DB114" s="315">
        <v>0</v>
      </c>
      <c r="DC114" s="315">
        <v>0</v>
      </c>
      <c r="DD114" s="315">
        <v>2169647</v>
      </c>
      <c r="DE114" s="315">
        <v>1049726</v>
      </c>
      <c r="DF114" s="315">
        <v>1119921</v>
      </c>
      <c r="DG114" s="315">
        <v>1119921</v>
      </c>
      <c r="DH114" s="315"/>
      <c r="DI114" s="315">
        <v>1503025</v>
      </c>
      <c r="DJ114" s="315">
        <v>94633</v>
      </c>
      <c r="DK114" s="315">
        <v>27492</v>
      </c>
      <c r="DL114" s="315">
        <v>2192</v>
      </c>
      <c r="DM114" s="315">
        <v>837444</v>
      </c>
      <c r="DN114" s="315">
        <v>477670</v>
      </c>
      <c r="DO114" s="315">
        <v>63393</v>
      </c>
      <c r="DP114" s="315"/>
      <c r="DQ114" s="315"/>
      <c r="DR114" s="315">
        <v>201</v>
      </c>
      <c r="DS114" s="315">
        <v>-5799</v>
      </c>
      <c r="DT114" s="315">
        <v>-2415</v>
      </c>
      <c r="DU114" s="315">
        <v>-34</v>
      </c>
      <c r="DV114" s="315">
        <v>-13</v>
      </c>
      <c r="DW114" s="315">
        <v>-2704</v>
      </c>
      <c r="DX114" s="315"/>
      <c r="DY114" s="315"/>
      <c r="DZ114" s="315"/>
      <c r="EA114" s="315">
        <v>-272</v>
      </c>
      <c r="EB114" s="315">
        <v>0</v>
      </c>
      <c r="EC114" s="315"/>
      <c r="ED114" s="315"/>
      <c r="EE114" s="315">
        <v>-361</v>
      </c>
      <c r="EF114" s="315">
        <v>1497226</v>
      </c>
      <c r="EG114" s="315">
        <v>908415</v>
      </c>
      <c r="EH114" s="315">
        <v>588811</v>
      </c>
      <c r="EI114" s="315">
        <v>588811</v>
      </c>
      <c r="EJ114" s="315"/>
      <c r="EK114" s="315">
        <v>92218</v>
      </c>
      <c r="EL114" s="315">
        <v>62106</v>
      </c>
      <c r="EM114" s="315">
        <v>30112</v>
      </c>
      <c r="EN114" s="315">
        <v>30112</v>
      </c>
      <c r="EO114" s="315"/>
      <c r="EP114" s="315">
        <v>27458</v>
      </c>
      <c r="EQ114" s="315">
        <v>20098</v>
      </c>
      <c r="ER114" s="315">
        <v>7360</v>
      </c>
      <c r="ES114" s="315">
        <v>7360</v>
      </c>
      <c r="ET114" s="315"/>
      <c r="EU114" s="315">
        <v>2179</v>
      </c>
      <c r="EV114" s="315">
        <v>1627</v>
      </c>
      <c r="EW114" s="315">
        <v>552</v>
      </c>
      <c r="EX114" s="315">
        <v>552</v>
      </c>
      <c r="EY114" s="315"/>
      <c r="EZ114" s="315">
        <v>834740</v>
      </c>
      <c r="FA114" s="315">
        <v>514620</v>
      </c>
      <c r="FB114" s="315">
        <v>320120</v>
      </c>
      <c r="FC114" s="315">
        <v>320120</v>
      </c>
      <c r="FD114" s="315"/>
      <c r="FE114" s="315">
        <v>477398</v>
      </c>
      <c r="FF114" s="315">
        <v>305535</v>
      </c>
      <c r="FG114" s="315">
        <v>171863</v>
      </c>
      <c r="FH114" s="315">
        <v>171863</v>
      </c>
      <c r="FI114" s="315"/>
      <c r="FJ114" s="315">
        <v>63393</v>
      </c>
      <c r="FK114" s="315">
        <v>4589</v>
      </c>
      <c r="FL114" s="315">
        <v>58804</v>
      </c>
      <c r="FM114" s="315">
        <v>58804</v>
      </c>
      <c r="FN114" s="315"/>
      <c r="FO114" s="315"/>
      <c r="FP114" s="315"/>
      <c r="FQ114" s="315">
        <v>-160</v>
      </c>
      <c r="FR114" s="315">
        <v>282849</v>
      </c>
      <c r="FS114" s="315">
        <v>-10524</v>
      </c>
      <c r="FT114" s="315">
        <v>272325</v>
      </c>
      <c r="FU114" s="315"/>
      <c r="FV114" s="315"/>
      <c r="FW114" s="315"/>
      <c r="FX114" s="315">
        <v>85376</v>
      </c>
      <c r="FY114" s="315">
        <v>99139</v>
      </c>
      <c r="FZ114" s="315"/>
      <c r="GA114" s="315"/>
      <c r="GB114" s="315"/>
      <c r="GC114" s="315">
        <v>40968</v>
      </c>
      <c r="GD114" s="315">
        <v>392</v>
      </c>
      <c r="GE114" s="315"/>
      <c r="GF114" s="315">
        <v>40576</v>
      </c>
      <c r="GG114" s="315">
        <v>46842</v>
      </c>
      <c r="GH114" s="315">
        <v>5092</v>
      </c>
      <c r="GI114" s="315">
        <v>2152</v>
      </c>
      <c r="GJ114" s="315">
        <v>39598</v>
      </c>
      <c r="GL114"/>
      <c r="GM114"/>
      <c r="GN114"/>
      <c r="GO114"/>
      <c r="GQ114" s="100"/>
    </row>
    <row r="115" spans="1:199">
      <c r="A115" s="98" t="s">
        <v>21</v>
      </c>
      <c r="B115" s="98">
        <v>12</v>
      </c>
      <c r="C115" s="98" t="s">
        <v>228</v>
      </c>
      <c r="D115" s="315">
        <v>12065173</v>
      </c>
      <c r="E115" s="315">
        <v>-2807320</v>
      </c>
      <c r="F115" s="315">
        <v>-11331</v>
      </c>
      <c r="G115" s="315">
        <v>9246522</v>
      </c>
      <c r="H115" s="315">
        <v>6425060</v>
      </c>
      <c r="I115" s="315">
        <v>2821462</v>
      </c>
      <c r="J115" s="315">
        <v>2821462</v>
      </c>
      <c r="K115" s="315"/>
      <c r="L115" s="315">
        <v>3609288</v>
      </c>
      <c r="M115" s="315">
        <v>3374694</v>
      </c>
      <c r="N115" s="315">
        <v>52256</v>
      </c>
      <c r="O115" s="315"/>
      <c r="P115" s="315"/>
      <c r="Q115" s="315"/>
      <c r="R115" s="315">
        <v>182338</v>
      </c>
      <c r="S115" s="315">
        <v>-256284</v>
      </c>
      <c r="T115" s="315">
        <v>-252039</v>
      </c>
      <c r="U115" s="315">
        <v>-47877</v>
      </c>
      <c r="V115" s="315"/>
      <c r="W115" s="315">
        <v>-188083</v>
      </c>
      <c r="X115" s="315">
        <v>0</v>
      </c>
      <c r="Y115" s="315">
        <v>-16079</v>
      </c>
      <c r="Z115" s="315"/>
      <c r="AA115" s="315">
        <v>-4245</v>
      </c>
      <c r="AB115" s="315">
        <v>0</v>
      </c>
      <c r="AC115" s="315">
        <v>-11331</v>
      </c>
      <c r="AD115" s="315">
        <v>3341673</v>
      </c>
      <c r="AE115" s="315">
        <v>2228943</v>
      </c>
      <c r="AF115" s="315">
        <v>1112730</v>
      </c>
      <c r="AG115" s="315">
        <v>1112730</v>
      </c>
      <c r="AH115" s="315"/>
      <c r="AI115" s="315">
        <v>3371327</v>
      </c>
      <c r="AJ115" s="315">
        <v>1639527</v>
      </c>
      <c r="AK115" s="315">
        <v>1657004</v>
      </c>
      <c r="AL115" s="315">
        <v>9140</v>
      </c>
      <c r="AM115" s="315">
        <v>136873</v>
      </c>
      <c r="AN115" s="315">
        <v>23228</v>
      </c>
      <c r="AO115" s="315">
        <v>15748</v>
      </c>
      <c r="AP115" s="315"/>
      <c r="AQ115" s="315">
        <v>5611</v>
      </c>
      <c r="AR115" s="315">
        <v>-199783</v>
      </c>
      <c r="AS115" s="315"/>
      <c r="AT115" s="315"/>
      <c r="AU115" s="315">
        <v>-11331</v>
      </c>
      <c r="AV115" s="315">
        <v>3443962</v>
      </c>
      <c r="AW115" s="315">
        <v>3206111</v>
      </c>
      <c r="AX115" s="315">
        <v>104570</v>
      </c>
      <c r="AY115" s="315"/>
      <c r="AZ115" s="315"/>
      <c r="BA115" s="315"/>
      <c r="BB115" s="315"/>
      <c r="BC115" s="315"/>
      <c r="BD115" s="315">
        <v>133281</v>
      </c>
      <c r="BE115" s="315">
        <v>-806150</v>
      </c>
      <c r="BF115" s="315">
        <v>-804480</v>
      </c>
      <c r="BG115" s="315">
        <v>-804480</v>
      </c>
      <c r="BH115" s="315"/>
      <c r="BI115" s="315">
        <v>-770618</v>
      </c>
      <c r="BJ115" s="315">
        <v>0</v>
      </c>
      <c r="BK115" s="315">
        <v>-33862</v>
      </c>
      <c r="BL115" s="315">
        <v>-1670</v>
      </c>
      <c r="BM115" s="315">
        <v>0</v>
      </c>
      <c r="BN115" s="315">
        <v>2637812</v>
      </c>
      <c r="BO115" s="315">
        <v>117556</v>
      </c>
      <c r="BP115" s="315">
        <v>8777</v>
      </c>
      <c r="BQ115" s="315">
        <v>6704</v>
      </c>
      <c r="BR115" s="315"/>
      <c r="BS115" s="315">
        <v>3204685</v>
      </c>
      <c r="BT115" s="315"/>
      <c r="BU115" s="315"/>
      <c r="BV115" s="315"/>
      <c r="BW115" s="315"/>
      <c r="BX115" s="315">
        <v>-699910</v>
      </c>
      <c r="BY115" s="315"/>
      <c r="BZ115" s="315"/>
      <c r="CA115" s="315">
        <v>22615</v>
      </c>
      <c r="CB115" s="315">
        <v>-6179</v>
      </c>
      <c r="CC115" s="315">
        <v>-6179</v>
      </c>
      <c r="CD115" s="315">
        <v>0</v>
      </c>
      <c r="CE115" s="315">
        <v>16436</v>
      </c>
      <c r="CF115" s="315"/>
      <c r="CG115" s="315"/>
      <c r="CH115" s="315"/>
      <c r="CI115" s="315">
        <v>3273817</v>
      </c>
      <c r="CJ115" s="315">
        <v>1020236</v>
      </c>
      <c r="CK115" s="315">
        <v>2253581</v>
      </c>
      <c r="CL115" s="315">
        <v>2079892</v>
      </c>
      <c r="CM115" s="315">
        <v>14186</v>
      </c>
      <c r="CN115" s="315">
        <v>159503</v>
      </c>
      <c r="CO115" s="315">
        <v>0</v>
      </c>
      <c r="CP115" s="315">
        <v>0</v>
      </c>
      <c r="CQ115" s="315">
        <v>159503</v>
      </c>
      <c r="CR115" s="315">
        <v>-1685164</v>
      </c>
      <c r="CS115" s="315">
        <v>-315584</v>
      </c>
      <c r="CT115" s="315">
        <v>-260871</v>
      </c>
      <c r="CU115" s="315">
        <v>-6251</v>
      </c>
      <c r="CV115" s="315">
        <v>-1171</v>
      </c>
      <c r="CW115" s="315">
        <v>-47291</v>
      </c>
      <c r="CX115" s="315">
        <v>-937849</v>
      </c>
      <c r="CY115" s="315">
        <v>-921679</v>
      </c>
      <c r="CZ115" s="315">
        <v>-15036</v>
      </c>
      <c r="DA115" s="315">
        <v>-1134</v>
      </c>
      <c r="DB115" s="315">
        <v>-358155</v>
      </c>
      <c r="DC115" s="315">
        <v>-73576</v>
      </c>
      <c r="DD115" s="315">
        <v>1588653</v>
      </c>
      <c r="DE115" s="315">
        <v>468732</v>
      </c>
      <c r="DF115" s="315">
        <v>1119921</v>
      </c>
      <c r="DG115" s="315">
        <v>1119921</v>
      </c>
      <c r="DH115" s="315"/>
      <c r="DI115" s="315">
        <v>1390892</v>
      </c>
      <c r="DJ115" s="315">
        <v>67070</v>
      </c>
      <c r="DK115" s="315">
        <v>21820</v>
      </c>
      <c r="DL115" s="315">
        <v>1106</v>
      </c>
      <c r="DM115" s="315">
        <v>834402</v>
      </c>
      <c r="DN115" s="315">
        <v>405838</v>
      </c>
      <c r="DO115" s="315">
        <v>60400</v>
      </c>
      <c r="DP115" s="315"/>
      <c r="DQ115" s="315"/>
      <c r="DR115" s="315">
        <v>256</v>
      </c>
      <c r="DS115" s="315">
        <v>-42178</v>
      </c>
      <c r="DT115" s="315">
        <v>-7869</v>
      </c>
      <c r="DU115" s="315">
        <v>-1610</v>
      </c>
      <c r="DV115" s="315">
        <v>-5</v>
      </c>
      <c r="DW115" s="315">
        <v>-450</v>
      </c>
      <c r="DX115" s="315"/>
      <c r="DY115" s="315"/>
      <c r="DZ115" s="315"/>
      <c r="EA115" s="315">
        <v>-31430</v>
      </c>
      <c r="EB115" s="315">
        <v>-775</v>
      </c>
      <c r="EC115" s="315"/>
      <c r="ED115" s="315"/>
      <c r="EE115" s="315">
        <v>-39</v>
      </c>
      <c r="EF115" s="315">
        <v>1348714</v>
      </c>
      <c r="EG115" s="315">
        <v>759903</v>
      </c>
      <c r="EH115" s="315">
        <v>588811</v>
      </c>
      <c r="EI115" s="315">
        <v>588811</v>
      </c>
      <c r="EJ115" s="315"/>
      <c r="EK115" s="315">
        <v>59201</v>
      </c>
      <c r="EL115" s="315">
        <v>29088</v>
      </c>
      <c r="EM115" s="315">
        <v>30113</v>
      </c>
      <c r="EN115" s="315">
        <v>30113</v>
      </c>
      <c r="EO115" s="315"/>
      <c r="EP115" s="315">
        <v>20210</v>
      </c>
      <c r="EQ115" s="315">
        <v>12850</v>
      </c>
      <c r="ER115" s="315">
        <v>7360</v>
      </c>
      <c r="ES115" s="315">
        <v>7360</v>
      </c>
      <c r="ET115" s="315"/>
      <c r="EU115" s="315">
        <v>1101</v>
      </c>
      <c r="EV115" s="315">
        <v>549</v>
      </c>
      <c r="EW115" s="315">
        <v>552</v>
      </c>
      <c r="EX115" s="315">
        <v>552</v>
      </c>
      <c r="EY115" s="315"/>
      <c r="EZ115" s="315">
        <v>833952</v>
      </c>
      <c r="FA115" s="315">
        <v>513832</v>
      </c>
      <c r="FB115" s="315">
        <v>320120</v>
      </c>
      <c r="FC115" s="315">
        <v>320120</v>
      </c>
      <c r="FD115" s="315"/>
      <c r="FE115" s="315">
        <v>374408</v>
      </c>
      <c r="FF115" s="315">
        <v>202546</v>
      </c>
      <c r="FG115" s="315">
        <v>171862</v>
      </c>
      <c r="FH115" s="315">
        <v>171862</v>
      </c>
      <c r="FI115" s="315"/>
      <c r="FJ115" s="315">
        <v>59625</v>
      </c>
      <c r="FK115" s="315">
        <v>821</v>
      </c>
      <c r="FL115" s="315">
        <v>58804</v>
      </c>
      <c r="FM115" s="315">
        <v>58804</v>
      </c>
      <c r="FN115" s="315"/>
      <c r="FO115" s="315"/>
      <c r="FP115" s="315"/>
      <c r="FQ115" s="315">
        <v>217</v>
      </c>
      <c r="FR115" s="315">
        <v>324599</v>
      </c>
      <c r="FS115" s="315">
        <v>-11365</v>
      </c>
      <c r="FT115" s="315">
        <v>313234</v>
      </c>
      <c r="FU115" s="315"/>
      <c r="FV115" s="315"/>
      <c r="FW115" s="315"/>
      <c r="FX115" s="315">
        <v>103631</v>
      </c>
      <c r="FY115" s="315">
        <v>87352</v>
      </c>
      <c r="FZ115" s="315"/>
      <c r="GA115" s="315"/>
      <c r="GB115" s="315"/>
      <c r="GC115" s="315">
        <v>42139</v>
      </c>
      <c r="GD115" s="315">
        <v>4582</v>
      </c>
      <c r="GE115" s="315"/>
      <c r="GF115" s="315">
        <v>37557</v>
      </c>
      <c r="GG115" s="315">
        <v>80112</v>
      </c>
      <c r="GH115" s="315">
        <v>19926</v>
      </c>
      <c r="GI115" s="315">
        <v>8466</v>
      </c>
      <c r="GJ115" s="315">
        <v>51720</v>
      </c>
      <c r="GL115"/>
      <c r="GM115"/>
      <c r="GN115"/>
      <c r="GO115"/>
      <c r="GQ115" s="100"/>
    </row>
    <row r="116" spans="1:199">
      <c r="A116" s="96" t="s">
        <v>22</v>
      </c>
      <c r="B116" s="96">
        <v>1</v>
      </c>
      <c r="C116" s="97" t="s">
        <v>217</v>
      </c>
      <c r="D116" s="314">
        <v>10611598</v>
      </c>
      <c r="E116" s="314">
        <v>-1276982</v>
      </c>
      <c r="F116" s="314">
        <v>-11331</v>
      </c>
      <c r="G116" s="314">
        <v>9323285</v>
      </c>
      <c r="H116" s="314">
        <v>6153117</v>
      </c>
      <c r="I116" s="314">
        <v>3170168</v>
      </c>
      <c r="J116" s="314">
        <v>3063738</v>
      </c>
      <c r="K116" s="314">
        <v>106430</v>
      </c>
      <c r="L116" s="314">
        <v>7501119</v>
      </c>
      <c r="M116" s="314">
        <v>6710166</v>
      </c>
      <c r="N116" s="314">
        <v>38084</v>
      </c>
      <c r="O116" s="314"/>
      <c r="P116" s="314"/>
      <c r="Q116" s="314"/>
      <c r="R116" s="314">
        <v>752869</v>
      </c>
      <c r="S116" s="314">
        <v>-142956</v>
      </c>
      <c r="T116" s="314">
        <v>-140329</v>
      </c>
      <c r="U116" s="314">
        <v>0</v>
      </c>
      <c r="V116" s="314">
        <v>-46722</v>
      </c>
      <c r="W116" s="314">
        <v>0</v>
      </c>
      <c r="X116" s="314">
        <v>-83711</v>
      </c>
      <c r="Y116" s="314">
        <v>-9896</v>
      </c>
      <c r="Z116" s="314"/>
      <c r="AA116" s="314">
        <v>-2627</v>
      </c>
      <c r="AB116" s="314">
        <v>0</v>
      </c>
      <c r="AC116" s="314">
        <v>-11331</v>
      </c>
      <c r="AD116" s="314">
        <v>7346832</v>
      </c>
      <c r="AE116" s="314">
        <v>6075430</v>
      </c>
      <c r="AF116" s="314">
        <v>1271402</v>
      </c>
      <c r="AG116" s="314">
        <v>1218712</v>
      </c>
      <c r="AH116" s="314">
        <v>52690</v>
      </c>
      <c r="AI116" s="314">
        <v>6708156</v>
      </c>
      <c r="AJ116" s="314">
        <v>821624</v>
      </c>
      <c r="AK116" s="314">
        <v>2471791</v>
      </c>
      <c r="AL116" s="314">
        <v>3376085</v>
      </c>
      <c r="AM116" s="314">
        <v>324950</v>
      </c>
      <c r="AN116" s="314">
        <v>253787</v>
      </c>
      <c r="AO116" s="314">
        <v>41197</v>
      </c>
      <c r="AP116" s="314"/>
      <c r="AQ116" s="314">
        <v>132318</v>
      </c>
      <c r="AR116" s="314">
        <v>-102245</v>
      </c>
      <c r="AS116" s="314"/>
      <c r="AT116" s="314"/>
      <c r="AU116" s="314">
        <v>-11331</v>
      </c>
      <c r="AV116" s="314">
        <v>384841</v>
      </c>
      <c r="AW116" s="314">
        <v>39027</v>
      </c>
      <c r="AX116" s="314">
        <v>84521</v>
      </c>
      <c r="AY116" s="314"/>
      <c r="AZ116" s="314"/>
      <c r="BA116" s="314"/>
      <c r="BB116" s="314"/>
      <c r="BC116" s="314"/>
      <c r="BD116" s="314">
        <v>261293</v>
      </c>
      <c r="BE116" s="314">
        <v>-508954</v>
      </c>
      <c r="BF116" s="314">
        <v>-504775</v>
      </c>
      <c r="BG116" s="314">
        <v>-504775</v>
      </c>
      <c r="BH116" s="314"/>
      <c r="BI116" s="314">
        <v>0</v>
      </c>
      <c r="BJ116" s="314">
        <v>-481041</v>
      </c>
      <c r="BK116" s="314">
        <v>-23734</v>
      </c>
      <c r="BL116" s="314">
        <v>-2871</v>
      </c>
      <c r="BM116" s="314">
        <v>-1308</v>
      </c>
      <c r="BN116" s="314">
        <v>-124113</v>
      </c>
      <c r="BO116" s="314">
        <v>134623</v>
      </c>
      <c r="BP116" s="314">
        <v>107623</v>
      </c>
      <c r="BQ116" s="314">
        <v>17534</v>
      </c>
      <c r="BR116" s="314"/>
      <c r="BS116" s="314">
        <v>36361</v>
      </c>
      <c r="BT116" s="314"/>
      <c r="BU116" s="314"/>
      <c r="BV116" s="314"/>
      <c r="BW116" s="314"/>
      <c r="BX116" s="314">
        <v>-420254</v>
      </c>
      <c r="BY116" s="314"/>
      <c r="BZ116" s="314"/>
      <c r="CA116" s="314">
        <v>137570</v>
      </c>
      <c r="CB116" s="314">
        <v>-18095</v>
      </c>
      <c r="CC116" s="314">
        <v>-6321</v>
      </c>
      <c r="CD116" s="314">
        <v>-11774</v>
      </c>
      <c r="CE116" s="314">
        <v>119475</v>
      </c>
      <c r="CF116" s="314"/>
      <c r="CG116" s="314"/>
      <c r="CH116" s="314"/>
      <c r="CI116" s="314">
        <v>897928</v>
      </c>
      <c r="CJ116" s="314">
        <v>391806</v>
      </c>
      <c r="CK116" s="314">
        <v>506122</v>
      </c>
      <c r="CL116" s="314">
        <v>86933</v>
      </c>
      <c r="CM116" s="314">
        <v>290337</v>
      </c>
      <c r="CN116" s="314">
        <v>128852</v>
      </c>
      <c r="CO116" s="314">
        <v>0</v>
      </c>
      <c r="CP116" s="314">
        <v>0</v>
      </c>
      <c r="CQ116" s="314">
        <v>128852</v>
      </c>
      <c r="CR116" s="314">
        <v>-591323</v>
      </c>
      <c r="CS116" s="314">
        <v>-217696</v>
      </c>
      <c r="CT116" s="314">
        <v>0</v>
      </c>
      <c r="CU116" s="314">
        <v>-190471</v>
      </c>
      <c r="CV116" s="314">
        <v>-88</v>
      </c>
      <c r="CW116" s="314">
        <v>-27137</v>
      </c>
      <c r="CX116" s="314">
        <v>-373627</v>
      </c>
      <c r="CY116" s="314">
        <v>0</v>
      </c>
      <c r="CZ116" s="314">
        <v>-366933</v>
      </c>
      <c r="DA116" s="314">
        <v>-6694</v>
      </c>
      <c r="DB116" s="314">
        <v>0</v>
      </c>
      <c r="DC116" s="314">
        <v>0</v>
      </c>
      <c r="DD116" s="314">
        <v>306605</v>
      </c>
      <c r="DE116" s="314">
        <v>-956783</v>
      </c>
      <c r="DF116" s="314">
        <v>1263388</v>
      </c>
      <c r="DG116" s="314">
        <v>1225482</v>
      </c>
      <c r="DH116" s="314">
        <v>37906</v>
      </c>
      <c r="DI116" s="314">
        <v>1450306</v>
      </c>
      <c r="DJ116" s="314">
        <v>52188</v>
      </c>
      <c r="DK116" s="314">
        <v>17940</v>
      </c>
      <c r="DL116" s="314">
        <v>919</v>
      </c>
      <c r="DM116" s="314">
        <v>839551</v>
      </c>
      <c r="DN116" s="314">
        <v>472345</v>
      </c>
      <c r="DO116" s="314">
        <v>67208</v>
      </c>
      <c r="DP116" s="314"/>
      <c r="DQ116" s="314"/>
      <c r="DR116" s="314">
        <v>155</v>
      </c>
      <c r="DS116" s="314">
        <v>-8013</v>
      </c>
      <c r="DT116" s="314">
        <v>-3327</v>
      </c>
      <c r="DU116" s="314">
        <v>-63</v>
      </c>
      <c r="DV116" s="314">
        <v>-26</v>
      </c>
      <c r="DW116" s="314">
        <v>-522</v>
      </c>
      <c r="DX116" s="314"/>
      <c r="DY116" s="314"/>
      <c r="DZ116" s="314"/>
      <c r="EA116" s="314">
        <v>-4</v>
      </c>
      <c r="EB116" s="314">
        <v>-4059</v>
      </c>
      <c r="EC116" s="314"/>
      <c r="ED116" s="314"/>
      <c r="EE116" s="314">
        <v>-12</v>
      </c>
      <c r="EF116" s="314">
        <v>1442293</v>
      </c>
      <c r="EG116" s="314">
        <v>806915</v>
      </c>
      <c r="EH116" s="314">
        <v>635378</v>
      </c>
      <c r="EI116" s="314">
        <v>619544</v>
      </c>
      <c r="EJ116" s="314">
        <v>15834</v>
      </c>
      <c r="EK116" s="314">
        <v>48861</v>
      </c>
      <c r="EL116" s="314">
        <v>19763</v>
      </c>
      <c r="EM116" s="314">
        <v>29098</v>
      </c>
      <c r="EN116" s="314">
        <v>28322</v>
      </c>
      <c r="EO116" s="314">
        <v>776</v>
      </c>
      <c r="EP116" s="314">
        <v>17877</v>
      </c>
      <c r="EQ116" s="314">
        <v>10223</v>
      </c>
      <c r="ER116" s="314">
        <v>7654</v>
      </c>
      <c r="ES116" s="314">
        <v>7448</v>
      </c>
      <c r="ET116" s="314">
        <v>206</v>
      </c>
      <c r="EU116" s="314">
        <v>893</v>
      </c>
      <c r="EV116" s="314">
        <v>221</v>
      </c>
      <c r="EW116" s="314">
        <v>672</v>
      </c>
      <c r="EX116" s="314">
        <v>653</v>
      </c>
      <c r="EY116" s="314">
        <v>19</v>
      </c>
      <c r="EZ116" s="314">
        <v>839029</v>
      </c>
      <c r="FA116" s="314">
        <v>497516</v>
      </c>
      <c r="FB116" s="314">
        <v>341513</v>
      </c>
      <c r="FC116" s="314">
        <v>332024</v>
      </c>
      <c r="FD116" s="314">
        <v>9489</v>
      </c>
      <c r="FE116" s="314">
        <v>472341</v>
      </c>
      <c r="FF116" s="314">
        <v>281712</v>
      </c>
      <c r="FG116" s="314">
        <v>190629</v>
      </c>
      <c r="FH116" s="314">
        <v>185285</v>
      </c>
      <c r="FI116" s="314">
        <v>5344</v>
      </c>
      <c r="FJ116" s="314">
        <v>63149</v>
      </c>
      <c r="FK116" s="314">
        <v>-2663</v>
      </c>
      <c r="FL116" s="314">
        <v>65812</v>
      </c>
      <c r="FM116" s="314">
        <v>65812</v>
      </c>
      <c r="FN116" s="314"/>
      <c r="FO116" s="314"/>
      <c r="FP116" s="314"/>
      <c r="FQ116" s="314">
        <v>143</v>
      </c>
      <c r="FR116" s="314">
        <v>239834</v>
      </c>
      <c r="FS116" s="314">
        <v>-7641</v>
      </c>
      <c r="FT116" s="314">
        <v>232193</v>
      </c>
      <c r="FU116" s="314"/>
      <c r="FV116" s="314"/>
      <c r="FW116" s="314"/>
      <c r="FX116" s="314">
        <v>72281</v>
      </c>
      <c r="FY116" s="314">
        <v>101838</v>
      </c>
      <c r="FZ116" s="314"/>
      <c r="GA116" s="314"/>
      <c r="GB116" s="314"/>
      <c r="GC116" s="314">
        <v>30000</v>
      </c>
      <c r="GD116" s="314">
        <v>231</v>
      </c>
      <c r="GE116" s="314"/>
      <c r="GF116" s="314">
        <v>29769</v>
      </c>
      <c r="GG116" s="314">
        <v>28074</v>
      </c>
      <c r="GH116" s="314">
        <v>1044</v>
      </c>
      <c r="GI116" s="314">
        <v>2063</v>
      </c>
      <c r="GJ116" s="314">
        <v>24967</v>
      </c>
      <c r="GL116"/>
      <c r="GM116"/>
      <c r="GN116"/>
      <c r="GO116"/>
      <c r="GQ116" s="100"/>
    </row>
    <row r="117" spans="1:199">
      <c r="A117" s="98" t="s">
        <v>22</v>
      </c>
      <c r="B117" s="98">
        <v>2</v>
      </c>
      <c r="C117" s="98" t="s">
        <v>218</v>
      </c>
      <c r="D117" s="315">
        <v>18460471</v>
      </c>
      <c r="E117" s="315">
        <v>-776442</v>
      </c>
      <c r="F117" s="315">
        <v>-11558</v>
      </c>
      <c r="G117" s="315">
        <v>17672471</v>
      </c>
      <c r="H117" s="315">
        <v>14502301</v>
      </c>
      <c r="I117" s="315">
        <v>3170170</v>
      </c>
      <c r="J117" s="315">
        <v>3063741</v>
      </c>
      <c r="K117" s="315">
        <v>106429</v>
      </c>
      <c r="L117" s="315">
        <v>3396385</v>
      </c>
      <c r="M117" s="315">
        <v>2475606</v>
      </c>
      <c r="N117" s="315">
        <v>61579</v>
      </c>
      <c r="O117" s="315"/>
      <c r="P117" s="315"/>
      <c r="Q117" s="315"/>
      <c r="R117" s="315">
        <v>859200</v>
      </c>
      <c r="S117" s="315">
        <v>-121364</v>
      </c>
      <c r="T117" s="315">
        <v>-117426</v>
      </c>
      <c r="U117" s="315">
        <v>-43455</v>
      </c>
      <c r="V117" s="315">
        <v>0</v>
      </c>
      <c r="W117" s="315">
        <v>0</v>
      </c>
      <c r="X117" s="315">
        <v>-58579</v>
      </c>
      <c r="Y117" s="315">
        <v>-15392</v>
      </c>
      <c r="Z117" s="315"/>
      <c r="AA117" s="315">
        <v>-3938</v>
      </c>
      <c r="AB117" s="315">
        <v>0</v>
      </c>
      <c r="AC117" s="315">
        <v>-11558</v>
      </c>
      <c r="AD117" s="315">
        <v>3263463</v>
      </c>
      <c r="AE117" s="315">
        <v>1992061</v>
      </c>
      <c r="AF117" s="315">
        <v>1271402</v>
      </c>
      <c r="AG117" s="315">
        <v>1218712</v>
      </c>
      <c r="AH117" s="315">
        <v>52690</v>
      </c>
      <c r="AI117" s="315">
        <v>2472378</v>
      </c>
      <c r="AJ117" s="315">
        <v>639948</v>
      </c>
      <c r="AK117" s="315">
        <v>1727871</v>
      </c>
      <c r="AL117" s="315">
        <v>34556</v>
      </c>
      <c r="AM117" s="315">
        <v>207322</v>
      </c>
      <c r="AN117" s="315">
        <v>27758</v>
      </c>
      <c r="AO117" s="315">
        <v>20760</v>
      </c>
      <c r="AP117" s="315"/>
      <c r="AQ117" s="315">
        <v>602650</v>
      </c>
      <c r="AR117" s="315">
        <v>-55847</v>
      </c>
      <c r="AS117" s="315"/>
      <c r="AT117" s="315"/>
      <c r="AU117" s="315">
        <v>-11558</v>
      </c>
      <c r="AV117" s="315">
        <v>662247</v>
      </c>
      <c r="AW117" s="315">
        <v>25744</v>
      </c>
      <c r="AX117" s="315">
        <v>203616</v>
      </c>
      <c r="AY117" s="315"/>
      <c r="AZ117" s="315"/>
      <c r="BA117" s="315"/>
      <c r="BB117" s="315"/>
      <c r="BC117" s="315"/>
      <c r="BD117" s="315">
        <v>432887</v>
      </c>
      <c r="BE117" s="315">
        <v>-256192</v>
      </c>
      <c r="BF117" s="315">
        <v>-249603</v>
      </c>
      <c r="BG117" s="315">
        <v>-249603</v>
      </c>
      <c r="BH117" s="315"/>
      <c r="BI117" s="315">
        <v>0</v>
      </c>
      <c r="BJ117" s="315">
        <v>-224220</v>
      </c>
      <c r="BK117" s="315">
        <v>-25383</v>
      </c>
      <c r="BL117" s="315">
        <v>-6589</v>
      </c>
      <c r="BM117" s="315">
        <v>0</v>
      </c>
      <c r="BN117" s="315">
        <v>406055</v>
      </c>
      <c r="BO117" s="315">
        <v>412934</v>
      </c>
      <c r="BP117" s="315">
        <v>10882</v>
      </c>
      <c r="BQ117" s="315">
        <v>8834</v>
      </c>
      <c r="BR117" s="315"/>
      <c r="BS117" s="315">
        <v>19392</v>
      </c>
      <c r="BT117" s="315"/>
      <c r="BU117" s="315"/>
      <c r="BV117" s="315"/>
      <c r="BW117" s="315"/>
      <c r="BX117" s="315">
        <v>-45987</v>
      </c>
      <c r="BY117" s="315"/>
      <c r="BZ117" s="315"/>
      <c r="CA117" s="315">
        <v>369581</v>
      </c>
      <c r="CB117" s="315">
        <v>-21204</v>
      </c>
      <c r="CC117" s="315">
        <v>-21204</v>
      </c>
      <c r="CD117" s="315">
        <v>0</v>
      </c>
      <c r="CE117" s="315">
        <v>348377</v>
      </c>
      <c r="CF117" s="315"/>
      <c r="CG117" s="315"/>
      <c r="CH117" s="315"/>
      <c r="CI117" s="315">
        <v>12383226</v>
      </c>
      <c r="CJ117" s="315">
        <v>1430729</v>
      </c>
      <c r="CK117" s="315">
        <v>10952497</v>
      </c>
      <c r="CL117" s="315">
        <v>4768739</v>
      </c>
      <c r="CM117" s="315">
        <v>5941625</v>
      </c>
      <c r="CN117" s="315">
        <v>242133</v>
      </c>
      <c r="CO117" s="315">
        <v>0</v>
      </c>
      <c r="CP117" s="315">
        <v>0</v>
      </c>
      <c r="CQ117" s="315">
        <v>242133</v>
      </c>
      <c r="CR117" s="315">
        <v>-365782</v>
      </c>
      <c r="CS117" s="315">
        <v>-152841</v>
      </c>
      <c r="CT117" s="315">
        <v>-11385</v>
      </c>
      <c r="CU117" s="315">
        <v>-110903</v>
      </c>
      <c r="CV117" s="315">
        <v>-330</v>
      </c>
      <c r="CW117" s="315">
        <v>-30223</v>
      </c>
      <c r="CX117" s="315">
        <v>-212941</v>
      </c>
      <c r="CY117" s="315">
        <v>0</v>
      </c>
      <c r="CZ117" s="315">
        <v>-206677</v>
      </c>
      <c r="DA117" s="315">
        <v>-6264</v>
      </c>
      <c r="DB117" s="315">
        <v>0</v>
      </c>
      <c r="DC117" s="315">
        <v>0</v>
      </c>
      <c r="DD117" s="315">
        <v>12017444</v>
      </c>
      <c r="DE117" s="315">
        <v>10754056</v>
      </c>
      <c r="DF117" s="315">
        <v>1263388</v>
      </c>
      <c r="DG117" s="315">
        <v>1225482</v>
      </c>
      <c r="DH117" s="315">
        <v>37906</v>
      </c>
      <c r="DI117" s="315">
        <v>1358336</v>
      </c>
      <c r="DJ117" s="315">
        <v>111981</v>
      </c>
      <c r="DK117" s="315">
        <v>17451</v>
      </c>
      <c r="DL117" s="315">
        <v>2877</v>
      </c>
      <c r="DM117" s="315">
        <v>781237</v>
      </c>
      <c r="DN117" s="315">
        <v>376861</v>
      </c>
      <c r="DO117" s="315">
        <v>67661</v>
      </c>
      <c r="DP117" s="315"/>
      <c r="DQ117" s="315"/>
      <c r="DR117" s="315">
        <v>268</v>
      </c>
      <c r="DS117" s="315">
        <v>-3769</v>
      </c>
      <c r="DT117" s="315">
        <v>-2229</v>
      </c>
      <c r="DU117" s="315">
        <v>-35</v>
      </c>
      <c r="DV117" s="315">
        <v>-48</v>
      </c>
      <c r="DW117" s="315">
        <v>-988</v>
      </c>
      <c r="DX117" s="315"/>
      <c r="DY117" s="315"/>
      <c r="DZ117" s="315"/>
      <c r="EA117" s="315">
        <v>0</v>
      </c>
      <c r="EB117" s="315">
        <v>-1</v>
      </c>
      <c r="EC117" s="315"/>
      <c r="ED117" s="315"/>
      <c r="EE117" s="315">
        <v>-468</v>
      </c>
      <c r="EF117" s="315">
        <v>1354567</v>
      </c>
      <c r="EG117" s="315">
        <v>719187</v>
      </c>
      <c r="EH117" s="315">
        <v>635380</v>
      </c>
      <c r="EI117" s="315">
        <v>619547</v>
      </c>
      <c r="EJ117" s="315">
        <v>15833</v>
      </c>
      <c r="EK117" s="315">
        <v>109752</v>
      </c>
      <c r="EL117" s="315">
        <v>80655</v>
      </c>
      <c r="EM117" s="315">
        <v>29097</v>
      </c>
      <c r="EN117" s="315">
        <v>28322</v>
      </c>
      <c r="EO117" s="315">
        <v>775</v>
      </c>
      <c r="EP117" s="315">
        <v>17416</v>
      </c>
      <c r="EQ117" s="315">
        <v>9763</v>
      </c>
      <c r="ER117" s="315">
        <v>7653</v>
      </c>
      <c r="ES117" s="315">
        <v>7448</v>
      </c>
      <c r="ET117" s="315">
        <v>205</v>
      </c>
      <c r="EU117" s="315">
        <v>2829</v>
      </c>
      <c r="EV117" s="315">
        <v>2156</v>
      </c>
      <c r="EW117" s="315">
        <v>673</v>
      </c>
      <c r="EX117" s="315">
        <v>654</v>
      </c>
      <c r="EY117" s="315">
        <v>19</v>
      </c>
      <c r="EZ117" s="315">
        <v>780249</v>
      </c>
      <c r="FA117" s="315">
        <v>438735</v>
      </c>
      <c r="FB117" s="315">
        <v>341514</v>
      </c>
      <c r="FC117" s="315">
        <v>332024</v>
      </c>
      <c r="FD117" s="315">
        <v>9490</v>
      </c>
      <c r="FE117" s="315">
        <v>376861</v>
      </c>
      <c r="FF117" s="315">
        <v>186231</v>
      </c>
      <c r="FG117" s="315">
        <v>190630</v>
      </c>
      <c r="FH117" s="315">
        <v>185286</v>
      </c>
      <c r="FI117" s="315">
        <v>5344</v>
      </c>
      <c r="FJ117" s="315">
        <v>67660</v>
      </c>
      <c r="FK117" s="315">
        <v>1847</v>
      </c>
      <c r="FL117" s="315">
        <v>65813</v>
      </c>
      <c r="FM117" s="315">
        <v>65813</v>
      </c>
      <c r="FN117" s="315"/>
      <c r="FO117" s="315"/>
      <c r="FP117" s="315"/>
      <c r="FQ117" s="315">
        <v>-200</v>
      </c>
      <c r="FR117" s="315">
        <v>290696</v>
      </c>
      <c r="FS117" s="315">
        <v>-8131</v>
      </c>
      <c r="FT117" s="315">
        <v>282565</v>
      </c>
      <c r="FU117" s="315"/>
      <c r="FV117" s="315"/>
      <c r="FW117" s="315"/>
      <c r="FX117" s="315">
        <v>101356</v>
      </c>
      <c r="FY117" s="315">
        <v>98979</v>
      </c>
      <c r="FZ117" s="315"/>
      <c r="GA117" s="315"/>
      <c r="GB117" s="315"/>
      <c r="GC117" s="315">
        <v>36777</v>
      </c>
      <c r="GD117" s="315">
        <v>92</v>
      </c>
      <c r="GE117" s="315"/>
      <c r="GF117" s="315">
        <v>36685</v>
      </c>
      <c r="GG117" s="315">
        <v>45453</v>
      </c>
      <c r="GH117" s="315">
        <v>1560</v>
      </c>
      <c r="GI117" s="315">
        <v>1102</v>
      </c>
      <c r="GJ117" s="315">
        <v>42791</v>
      </c>
      <c r="GL117"/>
      <c r="GM117"/>
      <c r="GN117"/>
      <c r="GO117"/>
    </row>
    <row r="118" spans="1:199">
      <c r="A118" s="98" t="s">
        <v>22</v>
      </c>
      <c r="B118" s="98">
        <v>3</v>
      </c>
      <c r="C118" s="98" t="s">
        <v>219</v>
      </c>
      <c r="D118" s="315">
        <v>8222210</v>
      </c>
      <c r="E118" s="315">
        <v>-2312359</v>
      </c>
      <c r="F118" s="315">
        <v>-11558</v>
      </c>
      <c r="G118" s="315">
        <v>5898293</v>
      </c>
      <c r="H118" s="315">
        <v>2727915</v>
      </c>
      <c r="I118" s="315">
        <v>3170378</v>
      </c>
      <c r="J118" s="315">
        <v>3063757</v>
      </c>
      <c r="K118" s="315">
        <v>106621</v>
      </c>
      <c r="L118" s="315">
        <v>2851582</v>
      </c>
      <c r="M118" s="315">
        <v>2614556</v>
      </c>
      <c r="N118" s="315">
        <v>56596</v>
      </c>
      <c r="O118" s="315"/>
      <c r="P118" s="315"/>
      <c r="Q118" s="315"/>
      <c r="R118" s="315">
        <v>180430</v>
      </c>
      <c r="S118" s="315">
        <v>-115128</v>
      </c>
      <c r="T118" s="315">
        <v>-109344</v>
      </c>
      <c r="U118" s="315">
        <v>-49474</v>
      </c>
      <c r="V118" s="315">
        <v>0</v>
      </c>
      <c r="W118" s="315">
        <v>-10585</v>
      </c>
      <c r="X118" s="315">
        <v>-36407</v>
      </c>
      <c r="Y118" s="315">
        <v>-12878</v>
      </c>
      <c r="Z118" s="315"/>
      <c r="AA118" s="315">
        <v>-5784</v>
      </c>
      <c r="AB118" s="315">
        <v>0</v>
      </c>
      <c r="AC118" s="315">
        <v>-11558</v>
      </c>
      <c r="AD118" s="315">
        <v>2724896</v>
      </c>
      <c r="AE118" s="315">
        <v>1453409</v>
      </c>
      <c r="AF118" s="315">
        <v>1271487</v>
      </c>
      <c r="AG118" s="315">
        <v>1218712</v>
      </c>
      <c r="AH118" s="315">
        <v>52775</v>
      </c>
      <c r="AI118" s="315">
        <v>2610290</v>
      </c>
      <c r="AJ118" s="315">
        <v>611686</v>
      </c>
      <c r="AK118" s="315">
        <v>1924624</v>
      </c>
      <c r="AL118" s="315">
        <v>14406</v>
      </c>
      <c r="AM118" s="315">
        <v>122670</v>
      </c>
      <c r="AN118" s="315">
        <v>24343</v>
      </c>
      <c r="AO118" s="315">
        <v>24156</v>
      </c>
      <c r="AP118" s="315"/>
      <c r="AQ118" s="315">
        <v>7743</v>
      </c>
      <c r="AR118" s="315">
        <v>-52748</v>
      </c>
      <c r="AS118" s="315"/>
      <c r="AT118" s="315"/>
      <c r="AU118" s="315">
        <v>-11558</v>
      </c>
      <c r="AV118" s="315">
        <v>305028</v>
      </c>
      <c r="AW118" s="315">
        <v>37492</v>
      </c>
      <c r="AX118" s="315">
        <v>105713</v>
      </c>
      <c r="AY118" s="315"/>
      <c r="AZ118" s="315"/>
      <c r="BA118" s="315"/>
      <c r="BB118" s="315"/>
      <c r="BC118" s="315"/>
      <c r="BD118" s="315">
        <v>161823</v>
      </c>
      <c r="BE118" s="315">
        <v>-444095</v>
      </c>
      <c r="BF118" s="315">
        <v>-141607</v>
      </c>
      <c r="BG118" s="315">
        <v>-141607</v>
      </c>
      <c r="BH118" s="315"/>
      <c r="BI118" s="315">
        <v>0</v>
      </c>
      <c r="BJ118" s="315">
        <v>-126771</v>
      </c>
      <c r="BK118" s="315">
        <v>-14836</v>
      </c>
      <c r="BL118" s="315">
        <v>-2625</v>
      </c>
      <c r="BM118" s="315">
        <v>-299863</v>
      </c>
      <c r="BN118" s="315">
        <v>-139067</v>
      </c>
      <c r="BO118" s="315">
        <v>-158314</v>
      </c>
      <c r="BP118" s="315">
        <v>9488</v>
      </c>
      <c r="BQ118" s="315">
        <v>10285</v>
      </c>
      <c r="BR118" s="315"/>
      <c r="BS118" s="315">
        <v>35368</v>
      </c>
      <c r="BT118" s="315"/>
      <c r="BU118" s="315"/>
      <c r="BV118" s="315"/>
      <c r="BW118" s="315"/>
      <c r="BX118" s="315">
        <v>-35894</v>
      </c>
      <c r="BY118" s="315"/>
      <c r="BZ118" s="315"/>
      <c r="CA118" s="315">
        <v>136513</v>
      </c>
      <c r="CB118" s="315">
        <v>-272386</v>
      </c>
      <c r="CC118" s="315">
        <v>-11430</v>
      </c>
      <c r="CD118" s="315">
        <v>-260956</v>
      </c>
      <c r="CE118" s="315">
        <v>-135873</v>
      </c>
      <c r="CF118" s="315"/>
      <c r="CG118" s="315"/>
      <c r="CH118" s="315"/>
      <c r="CI118" s="315">
        <v>3281170</v>
      </c>
      <c r="CJ118" s="315">
        <v>956362</v>
      </c>
      <c r="CK118" s="315">
        <v>2324808</v>
      </c>
      <c r="CL118" s="315">
        <v>1983881</v>
      </c>
      <c r="CM118" s="315">
        <v>22313</v>
      </c>
      <c r="CN118" s="315">
        <v>318614</v>
      </c>
      <c r="CO118" s="315">
        <v>0</v>
      </c>
      <c r="CP118" s="315">
        <v>91177</v>
      </c>
      <c r="CQ118" s="315">
        <v>227437</v>
      </c>
      <c r="CR118" s="315">
        <v>-1421603</v>
      </c>
      <c r="CS118" s="315">
        <v>-342940</v>
      </c>
      <c r="CT118" s="315">
        <v>-220191</v>
      </c>
      <c r="CU118" s="315">
        <v>-79843</v>
      </c>
      <c r="CV118" s="315">
        <v>-228</v>
      </c>
      <c r="CW118" s="315">
        <v>-42678</v>
      </c>
      <c r="CX118" s="315">
        <v>-1009286</v>
      </c>
      <c r="CY118" s="315">
        <v>-751765</v>
      </c>
      <c r="CZ118" s="315">
        <v>-249803</v>
      </c>
      <c r="DA118" s="315">
        <v>-7718</v>
      </c>
      <c r="DB118" s="315">
        <v>0</v>
      </c>
      <c r="DC118" s="315">
        <v>-69377</v>
      </c>
      <c r="DD118" s="315">
        <v>1859567</v>
      </c>
      <c r="DE118" s="315">
        <v>596102</v>
      </c>
      <c r="DF118" s="315">
        <v>1263465</v>
      </c>
      <c r="DG118" s="315">
        <v>1225481</v>
      </c>
      <c r="DH118" s="315">
        <v>37984</v>
      </c>
      <c r="DI118" s="315">
        <v>1360684</v>
      </c>
      <c r="DJ118" s="315">
        <v>111053</v>
      </c>
      <c r="DK118" s="315">
        <v>17321</v>
      </c>
      <c r="DL118" s="315">
        <v>1524</v>
      </c>
      <c r="DM118" s="315">
        <v>772884</v>
      </c>
      <c r="DN118" s="315">
        <v>385973</v>
      </c>
      <c r="DO118" s="315">
        <v>71830</v>
      </c>
      <c r="DP118" s="315"/>
      <c r="DQ118" s="315"/>
      <c r="DR118" s="315">
        <v>99</v>
      </c>
      <c r="DS118" s="315">
        <v>-48210</v>
      </c>
      <c r="DT118" s="315">
        <v>-900</v>
      </c>
      <c r="DU118" s="315">
        <v>-12</v>
      </c>
      <c r="DV118" s="315">
        <v>-32</v>
      </c>
      <c r="DW118" s="315">
        <v>-28863</v>
      </c>
      <c r="DX118" s="315"/>
      <c r="DY118" s="315"/>
      <c r="DZ118" s="315"/>
      <c r="EA118" s="315">
        <v>-18200</v>
      </c>
      <c r="EB118" s="315">
        <v>-200</v>
      </c>
      <c r="EC118" s="315"/>
      <c r="ED118" s="315"/>
      <c r="EE118" s="315">
        <v>-3</v>
      </c>
      <c r="EF118" s="315">
        <v>1312474</v>
      </c>
      <c r="EG118" s="315">
        <v>677048</v>
      </c>
      <c r="EH118" s="315">
        <v>635426</v>
      </c>
      <c r="EI118" s="315">
        <v>619564</v>
      </c>
      <c r="EJ118" s="315">
        <v>15862</v>
      </c>
      <c r="EK118" s="315">
        <v>110153</v>
      </c>
      <c r="EL118" s="315">
        <v>81055</v>
      </c>
      <c r="EM118" s="315">
        <v>29098</v>
      </c>
      <c r="EN118" s="315">
        <v>28342</v>
      </c>
      <c r="EO118" s="315">
        <v>756</v>
      </c>
      <c r="EP118" s="315">
        <v>17309</v>
      </c>
      <c r="EQ118" s="315">
        <v>9655</v>
      </c>
      <c r="ER118" s="315">
        <v>7654</v>
      </c>
      <c r="ES118" s="315">
        <v>7448</v>
      </c>
      <c r="ET118" s="315">
        <v>206</v>
      </c>
      <c r="EU118" s="315">
        <v>1492</v>
      </c>
      <c r="EV118" s="315">
        <v>820</v>
      </c>
      <c r="EW118" s="315">
        <v>672</v>
      </c>
      <c r="EX118" s="315">
        <v>653</v>
      </c>
      <c r="EY118" s="315">
        <v>19</v>
      </c>
      <c r="EZ118" s="315">
        <v>744021</v>
      </c>
      <c r="FA118" s="315">
        <v>402478</v>
      </c>
      <c r="FB118" s="315">
        <v>341543</v>
      </c>
      <c r="FC118" s="315">
        <v>332024</v>
      </c>
      <c r="FD118" s="315">
        <v>9519</v>
      </c>
      <c r="FE118" s="315">
        <v>367773</v>
      </c>
      <c r="FF118" s="315">
        <v>177126</v>
      </c>
      <c r="FG118" s="315">
        <v>190647</v>
      </c>
      <c r="FH118" s="315">
        <v>185285</v>
      </c>
      <c r="FI118" s="315">
        <v>5362</v>
      </c>
      <c r="FJ118" s="315">
        <v>71630</v>
      </c>
      <c r="FK118" s="315">
        <v>5818</v>
      </c>
      <c r="FL118" s="315">
        <v>65812</v>
      </c>
      <c r="FM118" s="315">
        <v>65812</v>
      </c>
      <c r="FN118" s="315"/>
      <c r="FO118" s="315"/>
      <c r="FP118" s="315"/>
      <c r="FQ118" s="315">
        <v>96</v>
      </c>
      <c r="FR118" s="315">
        <v>287233</v>
      </c>
      <c r="FS118" s="315">
        <v>-10937</v>
      </c>
      <c r="FT118" s="315">
        <v>276296</v>
      </c>
      <c r="FU118" s="315"/>
      <c r="FV118" s="315"/>
      <c r="FW118" s="315"/>
      <c r="FX118" s="315">
        <v>102711</v>
      </c>
      <c r="FY118" s="315">
        <v>97206</v>
      </c>
      <c r="FZ118" s="315"/>
      <c r="GA118" s="315"/>
      <c r="GB118" s="315"/>
      <c r="GC118" s="315">
        <v>39476</v>
      </c>
      <c r="GD118" s="315">
        <v>91</v>
      </c>
      <c r="GE118" s="315"/>
      <c r="GF118" s="315">
        <v>39385</v>
      </c>
      <c r="GG118" s="315">
        <v>36903</v>
      </c>
      <c r="GH118" s="315">
        <v>996</v>
      </c>
      <c r="GI118" s="315">
        <v>1725</v>
      </c>
      <c r="GJ118" s="315">
        <v>34182</v>
      </c>
      <c r="GL118"/>
      <c r="GM118"/>
      <c r="GN118"/>
      <c r="GO118"/>
    </row>
    <row r="119" spans="1:199">
      <c r="A119" s="98" t="s">
        <v>22</v>
      </c>
      <c r="B119" s="98">
        <v>4</v>
      </c>
      <c r="C119" s="98" t="s">
        <v>220</v>
      </c>
      <c r="D119" s="315">
        <v>21747236</v>
      </c>
      <c r="E119" s="315">
        <v>-2216033</v>
      </c>
      <c r="F119" s="315">
        <v>-11558</v>
      </c>
      <c r="G119" s="315">
        <v>19519645</v>
      </c>
      <c r="H119" s="315">
        <v>16349433</v>
      </c>
      <c r="I119" s="315">
        <v>3170212</v>
      </c>
      <c r="J119" s="315">
        <v>3063720</v>
      </c>
      <c r="K119" s="315">
        <v>106492</v>
      </c>
      <c r="L119" s="315">
        <v>6563644</v>
      </c>
      <c r="M119" s="315">
        <v>5404920</v>
      </c>
      <c r="N119" s="315">
        <v>50478</v>
      </c>
      <c r="O119" s="315"/>
      <c r="P119" s="315"/>
      <c r="Q119" s="315"/>
      <c r="R119" s="315">
        <v>1108246</v>
      </c>
      <c r="S119" s="315">
        <v>-216601</v>
      </c>
      <c r="T119" s="315">
        <v>-211060</v>
      </c>
      <c r="U119" s="315">
        <v>-46593</v>
      </c>
      <c r="V119" s="315">
        <v>0</v>
      </c>
      <c r="W119" s="315">
        <v>-138460</v>
      </c>
      <c r="X119" s="315">
        <v>-16048</v>
      </c>
      <c r="Y119" s="315">
        <v>-9959</v>
      </c>
      <c r="Z119" s="315"/>
      <c r="AA119" s="315">
        <v>-5541</v>
      </c>
      <c r="AB119" s="315">
        <v>0</v>
      </c>
      <c r="AC119" s="315">
        <v>-11558</v>
      </c>
      <c r="AD119" s="315">
        <v>6335485</v>
      </c>
      <c r="AE119" s="315">
        <v>5064083</v>
      </c>
      <c r="AF119" s="315">
        <v>1271402</v>
      </c>
      <c r="AG119" s="315">
        <v>1218713</v>
      </c>
      <c r="AH119" s="315">
        <v>52689</v>
      </c>
      <c r="AI119" s="315">
        <v>5401165</v>
      </c>
      <c r="AJ119" s="315">
        <v>592102</v>
      </c>
      <c r="AK119" s="315">
        <v>1985187</v>
      </c>
      <c r="AL119" s="315">
        <v>2773978</v>
      </c>
      <c r="AM119" s="315">
        <v>165967</v>
      </c>
      <c r="AN119" s="315">
        <v>235267</v>
      </c>
      <c r="AO119" s="315">
        <v>29201</v>
      </c>
      <c r="AP119" s="315"/>
      <c r="AQ119" s="315">
        <v>676025</v>
      </c>
      <c r="AR119" s="315">
        <v>-160582</v>
      </c>
      <c r="AS119" s="315"/>
      <c r="AT119" s="315"/>
      <c r="AU119" s="315">
        <v>-11558</v>
      </c>
      <c r="AV119" s="315">
        <v>4138544</v>
      </c>
      <c r="AW119" s="315">
        <v>3798116</v>
      </c>
      <c r="AX119" s="315">
        <v>138538</v>
      </c>
      <c r="AY119" s="315"/>
      <c r="AZ119" s="315"/>
      <c r="BA119" s="315"/>
      <c r="BB119" s="315"/>
      <c r="BC119" s="315"/>
      <c r="BD119" s="315">
        <v>201890</v>
      </c>
      <c r="BE119" s="315">
        <v>-83019</v>
      </c>
      <c r="BF119" s="315">
        <v>-73132</v>
      </c>
      <c r="BG119" s="315">
        <v>-73132</v>
      </c>
      <c r="BH119" s="315"/>
      <c r="BI119" s="315">
        <v>0</v>
      </c>
      <c r="BJ119" s="315">
        <v>-57907</v>
      </c>
      <c r="BK119" s="315">
        <v>-15225</v>
      </c>
      <c r="BL119" s="315">
        <v>-1266</v>
      </c>
      <c r="BM119" s="315">
        <v>-8621</v>
      </c>
      <c r="BN119" s="315">
        <v>4055525</v>
      </c>
      <c r="BO119" s="315">
        <v>80641</v>
      </c>
      <c r="BP119" s="315">
        <v>99494</v>
      </c>
      <c r="BQ119" s="315">
        <v>12433</v>
      </c>
      <c r="BR119" s="315"/>
      <c r="BS119" s="315">
        <v>3797551</v>
      </c>
      <c r="BT119" s="315"/>
      <c r="BU119" s="315"/>
      <c r="BV119" s="315"/>
      <c r="BW119" s="315"/>
      <c r="BX119" s="315">
        <v>65406</v>
      </c>
      <c r="BY119" s="315"/>
      <c r="BZ119" s="315"/>
      <c r="CA119" s="315">
        <v>361843</v>
      </c>
      <c r="CB119" s="315">
        <v>-76460</v>
      </c>
      <c r="CC119" s="315">
        <v>-4518</v>
      </c>
      <c r="CD119" s="315">
        <v>-71942</v>
      </c>
      <c r="CE119" s="315">
        <v>285383</v>
      </c>
      <c r="CF119" s="315"/>
      <c r="CG119" s="315"/>
      <c r="CH119" s="315"/>
      <c r="CI119" s="315">
        <v>8666573</v>
      </c>
      <c r="CJ119" s="315">
        <v>1071611</v>
      </c>
      <c r="CK119" s="315">
        <v>7594962</v>
      </c>
      <c r="CL119" s="315">
        <v>2460794</v>
      </c>
      <c r="CM119" s="315">
        <v>4948540</v>
      </c>
      <c r="CN119" s="315">
        <v>185628</v>
      </c>
      <c r="CO119" s="315">
        <v>0</v>
      </c>
      <c r="CP119" s="315">
        <v>0</v>
      </c>
      <c r="CQ119" s="315">
        <v>185628</v>
      </c>
      <c r="CR119" s="315">
        <v>-1801951</v>
      </c>
      <c r="CS119" s="315">
        <v>-682394</v>
      </c>
      <c r="CT119" s="315">
        <v>-621311</v>
      </c>
      <c r="CU119" s="315">
        <v>-38791</v>
      </c>
      <c r="CV119" s="315">
        <v>-187</v>
      </c>
      <c r="CW119" s="315">
        <v>-22105</v>
      </c>
      <c r="CX119" s="315">
        <v>-818913</v>
      </c>
      <c r="CY119" s="315">
        <v>-655270</v>
      </c>
      <c r="CZ119" s="315">
        <v>-157577</v>
      </c>
      <c r="DA119" s="315">
        <v>-6066</v>
      </c>
      <c r="DB119" s="315">
        <v>-300644</v>
      </c>
      <c r="DC119" s="315">
        <v>0</v>
      </c>
      <c r="DD119" s="315">
        <v>6864622</v>
      </c>
      <c r="DE119" s="315">
        <v>5601207</v>
      </c>
      <c r="DF119" s="315">
        <v>1263415</v>
      </c>
      <c r="DG119" s="315">
        <v>1225482</v>
      </c>
      <c r="DH119" s="315">
        <v>37933</v>
      </c>
      <c r="DI119" s="315">
        <v>1551647</v>
      </c>
      <c r="DJ119" s="315">
        <v>38693</v>
      </c>
      <c r="DK119" s="315">
        <v>16106</v>
      </c>
      <c r="DL119" s="315">
        <v>459</v>
      </c>
      <c r="DM119" s="315">
        <v>900503</v>
      </c>
      <c r="DN119" s="315">
        <v>520724</v>
      </c>
      <c r="DO119" s="315">
        <v>74880</v>
      </c>
      <c r="DP119" s="315"/>
      <c r="DQ119" s="315"/>
      <c r="DR119" s="315">
        <v>282</v>
      </c>
      <c r="DS119" s="315">
        <v>-29676</v>
      </c>
      <c r="DT119" s="315">
        <v>-17868</v>
      </c>
      <c r="DU119" s="315">
        <v>-4928</v>
      </c>
      <c r="DV119" s="315">
        <v>-17</v>
      </c>
      <c r="DW119" s="315">
        <v>-882</v>
      </c>
      <c r="DX119" s="315"/>
      <c r="DY119" s="315"/>
      <c r="DZ119" s="315"/>
      <c r="EA119" s="315">
        <v>-5965</v>
      </c>
      <c r="EB119" s="315">
        <v>0</v>
      </c>
      <c r="EC119" s="315"/>
      <c r="ED119" s="315"/>
      <c r="EE119" s="315">
        <v>-16</v>
      </c>
      <c r="EF119" s="315">
        <v>1521971</v>
      </c>
      <c r="EG119" s="315">
        <v>886576</v>
      </c>
      <c r="EH119" s="315">
        <v>635395</v>
      </c>
      <c r="EI119" s="315">
        <v>619525</v>
      </c>
      <c r="EJ119" s="315">
        <v>15870</v>
      </c>
      <c r="EK119" s="315">
        <v>20825</v>
      </c>
      <c r="EL119" s="315">
        <v>-8273</v>
      </c>
      <c r="EM119" s="315">
        <v>29098</v>
      </c>
      <c r="EN119" s="315">
        <v>28302</v>
      </c>
      <c r="EO119" s="315">
        <v>796</v>
      </c>
      <c r="EP119" s="315">
        <v>11178</v>
      </c>
      <c r="EQ119" s="315">
        <v>3525</v>
      </c>
      <c r="ER119" s="315">
        <v>7653</v>
      </c>
      <c r="ES119" s="315">
        <v>7448</v>
      </c>
      <c r="ET119" s="315">
        <v>205</v>
      </c>
      <c r="EU119" s="315">
        <v>442</v>
      </c>
      <c r="EV119" s="315">
        <v>-230</v>
      </c>
      <c r="EW119" s="315">
        <v>672</v>
      </c>
      <c r="EX119" s="315">
        <v>653</v>
      </c>
      <c r="EY119" s="315">
        <v>19</v>
      </c>
      <c r="EZ119" s="315">
        <v>899621</v>
      </c>
      <c r="FA119" s="315">
        <v>558097</v>
      </c>
      <c r="FB119" s="315">
        <v>341524</v>
      </c>
      <c r="FC119" s="315">
        <v>332024</v>
      </c>
      <c r="FD119" s="315">
        <v>9500</v>
      </c>
      <c r="FE119" s="315">
        <v>514759</v>
      </c>
      <c r="FF119" s="315">
        <v>324124</v>
      </c>
      <c r="FG119" s="315">
        <v>190635</v>
      </c>
      <c r="FH119" s="315">
        <v>185285</v>
      </c>
      <c r="FI119" s="315">
        <v>5350</v>
      </c>
      <c r="FJ119" s="315">
        <v>74880</v>
      </c>
      <c r="FK119" s="315">
        <v>9067</v>
      </c>
      <c r="FL119" s="315">
        <v>65813</v>
      </c>
      <c r="FM119" s="315">
        <v>65813</v>
      </c>
      <c r="FN119" s="315"/>
      <c r="FO119" s="315"/>
      <c r="FP119" s="315"/>
      <c r="FQ119" s="315">
        <v>266</v>
      </c>
      <c r="FR119" s="315">
        <v>464985</v>
      </c>
      <c r="FS119" s="315">
        <v>-8326</v>
      </c>
      <c r="FT119" s="315">
        <v>456659</v>
      </c>
      <c r="FU119" s="315"/>
      <c r="FV119" s="315"/>
      <c r="FW119" s="315"/>
      <c r="FX119" s="315">
        <v>93618</v>
      </c>
      <c r="FY119" s="315">
        <v>104635</v>
      </c>
      <c r="FZ119" s="315"/>
      <c r="GA119" s="315"/>
      <c r="GB119" s="315"/>
      <c r="GC119" s="315">
        <v>213643</v>
      </c>
      <c r="GD119" s="315">
        <v>183067</v>
      </c>
      <c r="GE119" s="315"/>
      <c r="GF119" s="315">
        <v>30576</v>
      </c>
      <c r="GG119" s="315">
        <v>44763</v>
      </c>
      <c r="GH119" s="315">
        <v>1472</v>
      </c>
      <c r="GI119" s="315">
        <v>-1010</v>
      </c>
      <c r="GJ119" s="315">
        <v>44301</v>
      </c>
      <c r="GL119"/>
      <c r="GM119"/>
      <c r="GN119"/>
      <c r="GO119"/>
    </row>
    <row r="120" spans="1:199">
      <c r="A120" s="98" t="s">
        <v>22</v>
      </c>
      <c r="B120" s="98">
        <v>5</v>
      </c>
      <c r="C120" s="98" t="s">
        <v>221</v>
      </c>
      <c r="D120" s="315">
        <v>8382072</v>
      </c>
      <c r="E120" s="315">
        <v>-3878410</v>
      </c>
      <c r="F120" s="315">
        <v>-11558</v>
      </c>
      <c r="G120" s="315">
        <v>4492104</v>
      </c>
      <c r="H120" s="315">
        <v>1321890</v>
      </c>
      <c r="I120" s="315">
        <v>3170214</v>
      </c>
      <c r="J120" s="315">
        <v>3063740</v>
      </c>
      <c r="K120" s="315">
        <v>106474</v>
      </c>
      <c r="L120" s="315">
        <v>2705053</v>
      </c>
      <c r="M120" s="315">
        <v>2367951</v>
      </c>
      <c r="N120" s="315">
        <v>144758</v>
      </c>
      <c r="O120" s="315"/>
      <c r="P120" s="315"/>
      <c r="Q120" s="315"/>
      <c r="R120" s="315">
        <v>192344</v>
      </c>
      <c r="S120" s="315">
        <v>-1819202</v>
      </c>
      <c r="T120" s="315">
        <v>-1812831</v>
      </c>
      <c r="U120" s="315">
        <v>-50083</v>
      </c>
      <c r="V120" s="315">
        <v>0</v>
      </c>
      <c r="W120" s="315">
        <v>-1741059</v>
      </c>
      <c r="X120" s="315">
        <v>0</v>
      </c>
      <c r="Y120" s="315">
        <v>-21689</v>
      </c>
      <c r="Z120" s="315"/>
      <c r="AA120" s="315">
        <v>-6371</v>
      </c>
      <c r="AB120" s="315">
        <v>0</v>
      </c>
      <c r="AC120" s="315">
        <v>-11558</v>
      </c>
      <c r="AD120" s="315">
        <v>874293</v>
      </c>
      <c r="AE120" s="315">
        <v>-397110</v>
      </c>
      <c r="AF120" s="315">
        <v>1271403</v>
      </c>
      <c r="AG120" s="315">
        <v>1218712</v>
      </c>
      <c r="AH120" s="315">
        <v>52691</v>
      </c>
      <c r="AI120" s="315">
        <v>2362814</v>
      </c>
      <c r="AJ120" s="315">
        <v>558970</v>
      </c>
      <c r="AK120" s="315">
        <v>1715112</v>
      </c>
      <c r="AL120" s="315">
        <v>20095</v>
      </c>
      <c r="AM120" s="315">
        <v>137104</v>
      </c>
      <c r="AN120" s="315">
        <v>27795</v>
      </c>
      <c r="AO120" s="315">
        <v>15809</v>
      </c>
      <c r="AP120" s="315"/>
      <c r="AQ120" s="315">
        <v>10402</v>
      </c>
      <c r="AR120" s="315">
        <v>-1668073</v>
      </c>
      <c r="AS120" s="315"/>
      <c r="AT120" s="315"/>
      <c r="AU120" s="315">
        <v>-11558</v>
      </c>
      <c r="AV120" s="315">
        <v>353308</v>
      </c>
      <c r="AW120" s="315">
        <v>41179</v>
      </c>
      <c r="AX120" s="315">
        <v>208547</v>
      </c>
      <c r="AY120" s="315"/>
      <c r="AZ120" s="315"/>
      <c r="BA120" s="315"/>
      <c r="BB120" s="315"/>
      <c r="BC120" s="315"/>
      <c r="BD120" s="315">
        <v>103582</v>
      </c>
      <c r="BE120" s="315">
        <v>-133393</v>
      </c>
      <c r="BF120" s="315">
        <v>-127166</v>
      </c>
      <c r="BG120" s="315">
        <v>-127166</v>
      </c>
      <c r="BH120" s="315"/>
      <c r="BI120" s="315">
        <v>0</v>
      </c>
      <c r="BJ120" s="315">
        <v>-57263</v>
      </c>
      <c r="BK120" s="315">
        <v>-69903</v>
      </c>
      <c r="BL120" s="315">
        <v>-4721</v>
      </c>
      <c r="BM120" s="315">
        <v>-1506</v>
      </c>
      <c r="BN120" s="315">
        <v>219915</v>
      </c>
      <c r="BO120" s="315">
        <v>84169</v>
      </c>
      <c r="BP120" s="315">
        <v>10803</v>
      </c>
      <c r="BQ120" s="315">
        <v>6727</v>
      </c>
      <c r="BR120" s="315"/>
      <c r="BS120" s="315">
        <v>36835</v>
      </c>
      <c r="BT120" s="315"/>
      <c r="BU120" s="315"/>
      <c r="BV120" s="315"/>
      <c r="BW120" s="315"/>
      <c r="BX120" s="315">
        <v>81381</v>
      </c>
      <c r="BY120" s="315"/>
      <c r="BZ120" s="315"/>
      <c r="CA120" s="315">
        <v>97610</v>
      </c>
      <c r="CB120" s="315">
        <v>-18973</v>
      </c>
      <c r="CC120" s="315">
        <v>-5420</v>
      </c>
      <c r="CD120" s="315">
        <v>-13553</v>
      </c>
      <c r="CE120" s="315">
        <v>78637</v>
      </c>
      <c r="CF120" s="315"/>
      <c r="CG120" s="315"/>
      <c r="CH120" s="315"/>
      <c r="CI120" s="315">
        <v>3383688</v>
      </c>
      <c r="CJ120" s="315">
        <v>1082876</v>
      </c>
      <c r="CK120" s="315">
        <v>2300812</v>
      </c>
      <c r="CL120" s="315">
        <v>2074356</v>
      </c>
      <c r="CM120" s="315">
        <v>44975</v>
      </c>
      <c r="CN120" s="315">
        <v>181481</v>
      </c>
      <c r="CO120" s="315">
        <v>0</v>
      </c>
      <c r="CP120" s="315">
        <v>0</v>
      </c>
      <c r="CQ120" s="315">
        <v>181481</v>
      </c>
      <c r="CR120" s="315">
        <v>-1895084</v>
      </c>
      <c r="CS120" s="315">
        <v>-1019159</v>
      </c>
      <c r="CT120" s="315">
        <v>-935906</v>
      </c>
      <c r="CU120" s="315">
        <v>-48966</v>
      </c>
      <c r="CV120" s="315">
        <v>-221</v>
      </c>
      <c r="CW120" s="315">
        <v>-34066</v>
      </c>
      <c r="CX120" s="315">
        <v>-875925</v>
      </c>
      <c r="CY120" s="315">
        <v>-582996</v>
      </c>
      <c r="CZ120" s="315">
        <v>-285771</v>
      </c>
      <c r="DA120" s="315">
        <v>-7158</v>
      </c>
      <c r="DB120" s="315">
        <v>0</v>
      </c>
      <c r="DC120" s="315">
        <v>0</v>
      </c>
      <c r="DD120" s="315">
        <v>1488604</v>
      </c>
      <c r="DE120" s="315">
        <v>225190</v>
      </c>
      <c r="DF120" s="315">
        <v>1263414</v>
      </c>
      <c r="DG120" s="315">
        <v>1225482</v>
      </c>
      <c r="DH120" s="315">
        <v>37932</v>
      </c>
      <c r="DI120" s="315">
        <v>1510613</v>
      </c>
      <c r="DJ120" s="315">
        <v>66263</v>
      </c>
      <c r="DK120" s="315">
        <v>16173</v>
      </c>
      <c r="DL120" s="315">
        <v>2087</v>
      </c>
      <c r="DM120" s="315">
        <v>829243</v>
      </c>
      <c r="DN120" s="315">
        <v>530373</v>
      </c>
      <c r="DO120" s="315">
        <v>66133</v>
      </c>
      <c r="DP120" s="315"/>
      <c r="DQ120" s="315"/>
      <c r="DR120" s="315">
        <v>341</v>
      </c>
      <c r="DS120" s="315">
        <v>-3713</v>
      </c>
      <c r="DT120" s="315">
        <v>-2119</v>
      </c>
      <c r="DU120" s="315">
        <v>-14</v>
      </c>
      <c r="DV120" s="315">
        <v>-7</v>
      </c>
      <c r="DW120" s="315">
        <v>-1557</v>
      </c>
      <c r="DX120" s="315"/>
      <c r="DY120" s="315"/>
      <c r="DZ120" s="315"/>
      <c r="EA120" s="315">
        <v>-7</v>
      </c>
      <c r="EB120" s="315">
        <v>0</v>
      </c>
      <c r="EC120" s="315"/>
      <c r="ED120" s="315"/>
      <c r="EE120" s="315">
        <v>-9</v>
      </c>
      <c r="EF120" s="315">
        <v>1506900</v>
      </c>
      <c r="EG120" s="315">
        <v>871503</v>
      </c>
      <c r="EH120" s="315">
        <v>635397</v>
      </c>
      <c r="EI120" s="315">
        <v>619546</v>
      </c>
      <c r="EJ120" s="315">
        <v>15851</v>
      </c>
      <c r="EK120" s="315">
        <v>64144</v>
      </c>
      <c r="EL120" s="315">
        <v>35047</v>
      </c>
      <c r="EM120" s="315">
        <v>29097</v>
      </c>
      <c r="EN120" s="315">
        <v>28322</v>
      </c>
      <c r="EO120" s="315">
        <v>775</v>
      </c>
      <c r="EP120" s="315">
        <v>16159</v>
      </c>
      <c r="EQ120" s="315">
        <v>8504</v>
      </c>
      <c r="ER120" s="315">
        <v>7655</v>
      </c>
      <c r="ES120" s="315">
        <v>7448</v>
      </c>
      <c r="ET120" s="315">
        <v>207</v>
      </c>
      <c r="EU120" s="315">
        <v>2080</v>
      </c>
      <c r="EV120" s="315">
        <v>1407</v>
      </c>
      <c r="EW120" s="315">
        <v>673</v>
      </c>
      <c r="EX120" s="315">
        <v>654</v>
      </c>
      <c r="EY120" s="315">
        <v>19</v>
      </c>
      <c r="EZ120" s="315">
        <v>827686</v>
      </c>
      <c r="FA120" s="315">
        <v>486162</v>
      </c>
      <c r="FB120" s="315">
        <v>341524</v>
      </c>
      <c r="FC120" s="315">
        <v>332024</v>
      </c>
      <c r="FD120" s="315">
        <v>9500</v>
      </c>
      <c r="FE120" s="315">
        <v>530366</v>
      </c>
      <c r="FF120" s="315">
        <v>339730</v>
      </c>
      <c r="FG120" s="315">
        <v>190636</v>
      </c>
      <c r="FH120" s="315">
        <v>185286</v>
      </c>
      <c r="FI120" s="315">
        <v>5350</v>
      </c>
      <c r="FJ120" s="315">
        <v>66133</v>
      </c>
      <c r="FK120" s="315">
        <v>321</v>
      </c>
      <c r="FL120" s="315">
        <v>65812</v>
      </c>
      <c r="FM120" s="315">
        <v>65812</v>
      </c>
      <c r="FN120" s="315"/>
      <c r="FO120" s="315"/>
      <c r="FP120" s="315"/>
      <c r="FQ120" s="315">
        <v>332</v>
      </c>
      <c r="FR120" s="315">
        <v>331800</v>
      </c>
      <c r="FS120" s="315">
        <v>-8045</v>
      </c>
      <c r="FT120" s="315">
        <v>323755</v>
      </c>
      <c r="FU120" s="315"/>
      <c r="FV120" s="315"/>
      <c r="FW120" s="315"/>
      <c r="FX120" s="315">
        <v>99619</v>
      </c>
      <c r="FY120" s="315">
        <v>109316</v>
      </c>
      <c r="FZ120" s="315"/>
      <c r="GA120" s="315"/>
      <c r="GB120" s="315"/>
      <c r="GC120" s="315">
        <v>63052</v>
      </c>
      <c r="GD120" s="315">
        <v>26941</v>
      </c>
      <c r="GE120" s="315"/>
      <c r="GF120" s="315">
        <v>36111</v>
      </c>
      <c r="GG120" s="315">
        <v>51768</v>
      </c>
      <c r="GH120" s="315">
        <v>1991</v>
      </c>
      <c r="GI120" s="315">
        <v>957</v>
      </c>
      <c r="GJ120" s="315">
        <v>48820</v>
      </c>
      <c r="GL120"/>
      <c r="GM120"/>
      <c r="GN120"/>
      <c r="GO120"/>
    </row>
    <row r="121" spans="1:199">
      <c r="A121" s="98" t="s">
        <v>22</v>
      </c>
      <c r="B121" s="98">
        <v>6</v>
      </c>
      <c r="C121" s="98" t="s">
        <v>222</v>
      </c>
      <c r="D121" s="315">
        <v>9454799</v>
      </c>
      <c r="E121" s="315">
        <v>-6240135</v>
      </c>
      <c r="F121" s="315">
        <v>-11558</v>
      </c>
      <c r="G121" s="315">
        <v>3203106</v>
      </c>
      <c r="H121" s="315">
        <v>32894</v>
      </c>
      <c r="I121" s="315">
        <v>3170212</v>
      </c>
      <c r="J121" s="315">
        <v>3063739</v>
      </c>
      <c r="K121" s="315">
        <v>106473</v>
      </c>
      <c r="L121" s="315">
        <v>3616160</v>
      </c>
      <c r="M121" s="315">
        <v>2509477</v>
      </c>
      <c r="N121" s="315">
        <v>850326</v>
      </c>
      <c r="O121" s="315"/>
      <c r="P121" s="315"/>
      <c r="Q121" s="315"/>
      <c r="R121" s="315">
        <v>256357</v>
      </c>
      <c r="S121" s="315">
        <v>-2905983</v>
      </c>
      <c r="T121" s="315">
        <v>-2901678</v>
      </c>
      <c r="U121" s="315">
        <v>-49043</v>
      </c>
      <c r="V121" s="315">
        <v>0</v>
      </c>
      <c r="W121" s="315">
        <v>-2834046</v>
      </c>
      <c r="X121" s="315">
        <v>0</v>
      </c>
      <c r="Y121" s="315">
        <v>-18589</v>
      </c>
      <c r="Z121" s="315"/>
      <c r="AA121" s="315">
        <v>-4305</v>
      </c>
      <c r="AB121" s="315">
        <v>0</v>
      </c>
      <c r="AC121" s="315">
        <v>-11558</v>
      </c>
      <c r="AD121" s="315">
        <v>698619</v>
      </c>
      <c r="AE121" s="315">
        <v>-572785</v>
      </c>
      <c r="AF121" s="315">
        <v>1271404</v>
      </c>
      <c r="AG121" s="315">
        <v>1218712</v>
      </c>
      <c r="AH121" s="315">
        <v>52692</v>
      </c>
      <c r="AI121" s="315">
        <v>2505729</v>
      </c>
      <c r="AJ121" s="315">
        <v>722204</v>
      </c>
      <c r="AK121" s="315">
        <v>1721101</v>
      </c>
      <c r="AL121" s="315">
        <v>12208</v>
      </c>
      <c r="AM121" s="315">
        <v>202993</v>
      </c>
      <c r="AN121" s="315">
        <v>25373</v>
      </c>
      <c r="AO121" s="315">
        <v>19898</v>
      </c>
      <c r="AP121" s="315"/>
      <c r="AQ121" s="315">
        <v>7536</v>
      </c>
      <c r="AR121" s="315">
        <v>-2051352</v>
      </c>
      <c r="AS121" s="315"/>
      <c r="AT121" s="315"/>
      <c r="AU121" s="315">
        <v>-11558</v>
      </c>
      <c r="AV121" s="315">
        <v>295815</v>
      </c>
      <c r="AW121" s="315">
        <v>72185</v>
      </c>
      <c r="AX121" s="315">
        <v>119123</v>
      </c>
      <c r="AY121" s="315"/>
      <c r="AZ121" s="315"/>
      <c r="BA121" s="315"/>
      <c r="BB121" s="315"/>
      <c r="BC121" s="315"/>
      <c r="BD121" s="315">
        <v>104507</v>
      </c>
      <c r="BE121" s="315">
        <v>-71470</v>
      </c>
      <c r="BF121" s="315">
        <v>-65500</v>
      </c>
      <c r="BG121" s="315">
        <v>-65500</v>
      </c>
      <c r="BH121" s="315"/>
      <c r="BI121" s="315">
        <v>0</v>
      </c>
      <c r="BJ121" s="315">
        <v>-43592</v>
      </c>
      <c r="BK121" s="315">
        <v>-21908</v>
      </c>
      <c r="BL121" s="315">
        <v>-3684</v>
      </c>
      <c r="BM121" s="315">
        <v>-2286</v>
      </c>
      <c r="BN121" s="315">
        <v>224345</v>
      </c>
      <c r="BO121" s="315">
        <v>83757</v>
      </c>
      <c r="BP121" s="315">
        <v>9806</v>
      </c>
      <c r="BQ121" s="315">
        <v>8470</v>
      </c>
      <c r="BR121" s="315"/>
      <c r="BS121" s="315">
        <v>68689</v>
      </c>
      <c r="BT121" s="315"/>
      <c r="BU121" s="315"/>
      <c r="BV121" s="315"/>
      <c r="BW121" s="315"/>
      <c r="BX121" s="315">
        <v>53623</v>
      </c>
      <c r="BY121" s="315"/>
      <c r="BZ121" s="315"/>
      <c r="CA121" s="315">
        <v>110136</v>
      </c>
      <c r="CB121" s="315">
        <v>-34890</v>
      </c>
      <c r="CC121" s="315">
        <v>-14313</v>
      </c>
      <c r="CD121" s="315">
        <v>-20577</v>
      </c>
      <c r="CE121" s="315">
        <v>75246</v>
      </c>
      <c r="CF121" s="315"/>
      <c r="CG121" s="315"/>
      <c r="CH121" s="315"/>
      <c r="CI121" s="315">
        <v>3477283</v>
      </c>
      <c r="CJ121" s="315">
        <v>1137169</v>
      </c>
      <c r="CK121" s="315">
        <v>2340114</v>
      </c>
      <c r="CL121" s="315">
        <v>2134821</v>
      </c>
      <c r="CM121" s="315">
        <v>20825</v>
      </c>
      <c r="CN121" s="315">
        <v>184468</v>
      </c>
      <c r="CO121" s="315">
        <v>0</v>
      </c>
      <c r="CP121" s="315">
        <v>0</v>
      </c>
      <c r="CQ121" s="315">
        <v>184468</v>
      </c>
      <c r="CR121" s="315">
        <v>-3212030</v>
      </c>
      <c r="CS121" s="315">
        <v>-1958248</v>
      </c>
      <c r="CT121" s="315">
        <v>-1877156</v>
      </c>
      <c r="CU121" s="315">
        <v>-50253</v>
      </c>
      <c r="CV121" s="315">
        <v>-170</v>
      </c>
      <c r="CW121" s="315">
        <v>-30669</v>
      </c>
      <c r="CX121" s="315">
        <v>-1175092</v>
      </c>
      <c r="CY121" s="315">
        <v>-715860</v>
      </c>
      <c r="CZ121" s="315">
        <v>-442052</v>
      </c>
      <c r="DA121" s="315">
        <v>-17180</v>
      </c>
      <c r="DB121" s="315">
        <v>0</v>
      </c>
      <c r="DC121" s="315">
        <v>-78690</v>
      </c>
      <c r="DD121" s="315">
        <v>265253</v>
      </c>
      <c r="DE121" s="315">
        <v>-998161</v>
      </c>
      <c r="DF121" s="315">
        <v>1263414</v>
      </c>
      <c r="DG121" s="315">
        <v>1225482</v>
      </c>
      <c r="DH121" s="315">
        <v>37932</v>
      </c>
      <c r="DI121" s="315">
        <v>1642464</v>
      </c>
      <c r="DJ121" s="315">
        <v>70915</v>
      </c>
      <c r="DK121" s="315">
        <v>19435</v>
      </c>
      <c r="DL121" s="315">
        <v>1396</v>
      </c>
      <c r="DM121" s="315">
        <v>827271</v>
      </c>
      <c r="DN121" s="315">
        <v>659217</v>
      </c>
      <c r="DO121" s="315">
        <v>63926</v>
      </c>
      <c r="DP121" s="315"/>
      <c r="DQ121" s="315"/>
      <c r="DR121" s="315">
        <v>304</v>
      </c>
      <c r="DS121" s="315">
        <v>-8303</v>
      </c>
      <c r="DT121" s="315">
        <v>-1490</v>
      </c>
      <c r="DU121" s="315">
        <v>-24</v>
      </c>
      <c r="DV121" s="315">
        <v>-33</v>
      </c>
      <c r="DW121" s="315">
        <v>-771</v>
      </c>
      <c r="DX121" s="315"/>
      <c r="DY121" s="315"/>
      <c r="DZ121" s="315"/>
      <c r="EA121" s="315">
        <v>-5968</v>
      </c>
      <c r="EB121" s="315">
        <v>-15</v>
      </c>
      <c r="EC121" s="315"/>
      <c r="ED121" s="315"/>
      <c r="EE121" s="315">
        <v>-2</v>
      </c>
      <c r="EF121" s="315">
        <v>1634161</v>
      </c>
      <c r="EG121" s="315">
        <v>998767</v>
      </c>
      <c r="EH121" s="315">
        <v>635394</v>
      </c>
      <c r="EI121" s="315">
        <v>619545</v>
      </c>
      <c r="EJ121" s="315">
        <v>15849</v>
      </c>
      <c r="EK121" s="315">
        <v>69425</v>
      </c>
      <c r="EL121" s="315">
        <v>40327</v>
      </c>
      <c r="EM121" s="315">
        <v>29098</v>
      </c>
      <c r="EN121" s="315">
        <v>28322</v>
      </c>
      <c r="EO121" s="315">
        <v>776</v>
      </c>
      <c r="EP121" s="315">
        <v>19411</v>
      </c>
      <c r="EQ121" s="315">
        <v>11758</v>
      </c>
      <c r="ER121" s="315">
        <v>7653</v>
      </c>
      <c r="ES121" s="315">
        <v>7448</v>
      </c>
      <c r="ET121" s="315">
        <v>205</v>
      </c>
      <c r="EU121" s="315">
        <v>1363</v>
      </c>
      <c r="EV121" s="315">
        <v>691</v>
      </c>
      <c r="EW121" s="315">
        <v>672</v>
      </c>
      <c r="EX121" s="315">
        <v>653</v>
      </c>
      <c r="EY121" s="315">
        <v>19</v>
      </c>
      <c r="EZ121" s="315">
        <v>826500</v>
      </c>
      <c r="FA121" s="315">
        <v>484977</v>
      </c>
      <c r="FB121" s="315">
        <v>341523</v>
      </c>
      <c r="FC121" s="315">
        <v>332024</v>
      </c>
      <c r="FD121" s="315">
        <v>9499</v>
      </c>
      <c r="FE121" s="315">
        <v>653249</v>
      </c>
      <c r="FF121" s="315">
        <v>462614</v>
      </c>
      <c r="FG121" s="315">
        <v>190635</v>
      </c>
      <c r="FH121" s="315">
        <v>185285</v>
      </c>
      <c r="FI121" s="315">
        <v>5350</v>
      </c>
      <c r="FJ121" s="315">
        <v>63911</v>
      </c>
      <c r="FK121" s="315">
        <v>-1902</v>
      </c>
      <c r="FL121" s="315">
        <v>65813</v>
      </c>
      <c r="FM121" s="315">
        <v>65813</v>
      </c>
      <c r="FN121" s="315"/>
      <c r="FO121" s="315"/>
      <c r="FP121" s="315"/>
      <c r="FQ121" s="315">
        <v>302</v>
      </c>
      <c r="FR121" s="315">
        <v>312941</v>
      </c>
      <c r="FS121" s="315">
        <v>-7459</v>
      </c>
      <c r="FT121" s="315">
        <v>305482</v>
      </c>
      <c r="FU121" s="315"/>
      <c r="FV121" s="315"/>
      <c r="FW121" s="315"/>
      <c r="FX121" s="315">
        <v>107887</v>
      </c>
      <c r="FY121" s="315">
        <v>102272</v>
      </c>
      <c r="FZ121" s="315"/>
      <c r="GA121" s="315"/>
      <c r="GB121" s="315"/>
      <c r="GC121" s="315">
        <v>41392</v>
      </c>
      <c r="GD121" s="315">
        <v>1484</v>
      </c>
      <c r="GE121" s="315"/>
      <c r="GF121" s="315">
        <v>39908</v>
      </c>
      <c r="GG121" s="315">
        <v>53931</v>
      </c>
      <c r="GH121" s="315">
        <v>3409</v>
      </c>
      <c r="GI121" s="315">
        <v>11207</v>
      </c>
      <c r="GJ121" s="315">
        <v>39315</v>
      </c>
      <c r="GL121"/>
      <c r="GM121"/>
      <c r="GN121"/>
      <c r="GO121"/>
    </row>
    <row r="122" spans="1:199">
      <c r="A122" s="98" t="s">
        <v>22</v>
      </c>
      <c r="B122" s="98">
        <v>7</v>
      </c>
      <c r="C122" s="98" t="s">
        <v>223</v>
      </c>
      <c r="D122" s="315">
        <v>23028276</v>
      </c>
      <c r="E122" s="315">
        <v>-4836714</v>
      </c>
      <c r="F122" s="315">
        <v>-11558</v>
      </c>
      <c r="G122" s="315">
        <v>18180004</v>
      </c>
      <c r="H122" s="315">
        <v>15009796</v>
      </c>
      <c r="I122" s="315">
        <v>3170208</v>
      </c>
      <c r="J122" s="315">
        <v>3063737</v>
      </c>
      <c r="K122" s="315">
        <v>106471</v>
      </c>
      <c r="L122" s="315">
        <v>10132038</v>
      </c>
      <c r="M122" s="315">
        <v>6340294</v>
      </c>
      <c r="N122" s="315">
        <v>2565150</v>
      </c>
      <c r="O122" s="315"/>
      <c r="P122" s="315"/>
      <c r="Q122" s="315"/>
      <c r="R122" s="315">
        <v>1226594</v>
      </c>
      <c r="S122" s="315">
        <v>-1761026</v>
      </c>
      <c r="T122" s="315">
        <v>-1757175</v>
      </c>
      <c r="U122" s="315">
        <v>-49054</v>
      </c>
      <c r="V122" s="315">
        <v>0</v>
      </c>
      <c r="W122" s="315">
        <v>-1690773</v>
      </c>
      <c r="X122" s="315">
        <v>0</v>
      </c>
      <c r="Y122" s="315">
        <v>-17348</v>
      </c>
      <c r="Z122" s="315"/>
      <c r="AA122" s="315">
        <v>-3851</v>
      </c>
      <c r="AB122" s="315">
        <v>0</v>
      </c>
      <c r="AC122" s="315">
        <v>-11558</v>
      </c>
      <c r="AD122" s="315">
        <v>8359454</v>
      </c>
      <c r="AE122" s="315">
        <v>7088052</v>
      </c>
      <c r="AF122" s="315">
        <v>1271402</v>
      </c>
      <c r="AG122" s="315">
        <v>1218711</v>
      </c>
      <c r="AH122" s="315">
        <v>52691</v>
      </c>
      <c r="AI122" s="315">
        <v>6337235</v>
      </c>
      <c r="AJ122" s="315">
        <v>936045</v>
      </c>
      <c r="AK122" s="315">
        <v>2216870</v>
      </c>
      <c r="AL122" s="315">
        <v>3129261</v>
      </c>
      <c r="AM122" s="315">
        <v>248859</v>
      </c>
      <c r="AN122" s="315">
        <v>244852</v>
      </c>
      <c r="AO122" s="315">
        <v>23697</v>
      </c>
      <c r="AP122" s="315"/>
      <c r="AQ122" s="315">
        <v>708394</v>
      </c>
      <c r="AR122" s="315">
        <v>807975</v>
      </c>
      <c r="AS122" s="315"/>
      <c r="AT122" s="315"/>
      <c r="AU122" s="315">
        <v>-11558</v>
      </c>
      <c r="AV122" s="315">
        <v>1695628</v>
      </c>
      <c r="AW122" s="315">
        <v>14171</v>
      </c>
      <c r="AX122" s="315">
        <v>1033605</v>
      </c>
      <c r="AY122" s="315"/>
      <c r="AZ122" s="315"/>
      <c r="BA122" s="315"/>
      <c r="BB122" s="315"/>
      <c r="BC122" s="315"/>
      <c r="BD122" s="315">
        <v>647852</v>
      </c>
      <c r="BE122" s="315">
        <v>-54364</v>
      </c>
      <c r="BF122" s="315">
        <v>-52317</v>
      </c>
      <c r="BG122" s="315">
        <v>-52317</v>
      </c>
      <c r="BH122" s="315"/>
      <c r="BI122" s="315">
        <v>0</v>
      </c>
      <c r="BJ122" s="315">
        <v>-41868</v>
      </c>
      <c r="BK122" s="315">
        <v>-10449</v>
      </c>
      <c r="BL122" s="315">
        <v>-1321</v>
      </c>
      <c r="BM122" s="315">
        <v>-726</v>
      </c>
      <c r="BN122" s="315">
        <v>1641264</v>
      </c>
      <c r="BO122" s="315">
        <v>533618</v>
      </c>
      <c r="BP122" s="315">
        <v>103191</v>
      </c>
      <c r="BQ122" s="315">
        <v>10087</v>
      </c>
      <c r="BR122" s="315"/>
      <c r="BS122" s="315">
        <v>13080</v>
      </c>
      <c r="BT122" s="315"/>
      <c r="BU122" s="315"/>
      <c r="BV122" s="315"/>
      <c r="BW122" s="315"/>
      <c r="BX122" s="315">
        <v>981288</v>
      </c>
      <c r="BY122" s="315"/>
      <c r="BZ122" s="315"/>
      <c r="CA122" s="315">
        <v>491899</v>
      </c>
      <c r="CB122" s="315">
        <v>-10132</v>
      </c>
      <c r="CC122" s="315">
        <v>-3596</v>
      </c>
      <c r="CD122" s="315">
        <v>-6536</v>
      </c>
      <c r="CE122" s="315">
        <v>481767</v>
      </c>
      <c r="CF122" s="315"/>
      <c r="CG122" s="315"/>
      <c r="CH122" s="315"/>
      <c r="CI122" s="315">
        <v>9052808</v>
      </c>
      <c r="CJ122" s="315">
        <v>999657</v>
      </c>
      <c r="CK122" s="315">
        <v>8053151</v>
      </c>
      <c r="CL122" s="315">
        <v>2535869</v>
      </c>
      <c r="CM122" s="315">
        <v>5347140</v>
      </c>
      <c r="CN122" s="315">
        <v>170142</v>
      </c>
      <c r="CO122" s="315">
        <v>0</v>
      </c>
      <c r="CP122" s="315">
        <v>0</v>
      </c>
      <c r="CQ122" s="315">
        <v>170142</v>
      </c>
      <c r="CR122" s="315">
        <v>-2966668</v>
      </c>
      <c r="CS122" s="315">
        <v>-1831271</v>
      </c>
      <c r="CT122" s="315">
        <v>-1780335</v>
      </c>
      <c r="CU122" s="315">
        <v>-7796</v>
      </c>
      <c r="CV122" s="315">
        <v>-135</v>
      </c>
      <c r="CW122" s="315">
        <v>-43005</v>
      </c>
      <c r="CX122" s="315">
        <v>-848037</v>
      </c>
      <c r="CY122" s="315">
        <v>-689872</v>
      </c>
      <c r="CZ122" s="315">
        <v>-156483</v>
      </c>
      <c r="DA122" s="315">
        <v>-1682</v>
      </c>
      <c r="DB122" s="315">
        <v>-287360</v>
      </c>
      <c r="DC122" s="315">
        <v>0</v>
      </c>
      <c r="DD122" s="315">
        <v>6086140</v>
      </c>
      <c r="DE122" s="315">
        <v>4822726</v>
      </c>
      <c r="DF122" s="315">
        <v>1263414</v>
      </c>
      <c r="DG122" s="315">
        <v>1225482</v>
      </c>
      <c r="DH122" s="315">
        <v>37932</v>
      </c>
      <c r="DI122" s="315">
        <v>1335950</v>
      </c>
      <c r="DJ122" s="315">
        <v>81704</v>
      </c>
      <c r="DK122" s="315">
        <v>19924</v>
      </c>
      <c r="DL122" s="315">
        <v>1422</v>
      </c>
      <c r="DM122" s="315">
        <v>892040</v>
      </c>
      <c r="DN122" s="315">
        <v>276374</v>
      </c>
      <c r="DO122" s="315">
        <v>64166</v>
      </c>
      <c r="DP122" s="315"/>
      <c r="DQ122" s="315"/>
      <c r="DR122" s="315">
        <v>320</v>
      </c>
      <c r="DS122" s="315">
        <v>-38968</v>
      </c>
      <c r="DT122" s="315">
        <v>-12432</v>
      </c>
      <c r="DU122" s="315">
        <v>-2834</v>
      </c>
      <c r="DV122" s="315">
        <v>-7</v>
      </c>
      <c r="DW122" s="315">
        <v>-11582</v>
      </c>
      <c r="DX122" s="315"/>
      <c r="DY122" s="315"/>
      <c r="DZ122" s="315"/>
      <c r="EA122" s="315">
        <v>-11824</v>
      </c>
      <c r="EB122" s="315">
        <v>0</v>
      </c>
      <c r="EC122" s="315"/>
      <c r="ED122" s="315"/>
      <c r="EE122" s="315">
        <v>-289</v>
      </c>
      <c r="EF122" s="315">
        <v>1296982</v>
      </c>
      <c r="EG122" s="315">
        <v>661590</v>
      </c>
      <c r="EH122" s="315">
        <v>635392</v>
      </c>
      <c r="EI122" s="315">
        <v>619544</v>
      </c>
      <c r="EJ122" s="315">
        <v>15848</v>
      </c>
      <c r="EK122" s="315">
        <v>69272</v>
      </c>
      <c r="EL122" s="315">
        <v>40175</v>
      </c>
      <c r="EM122" s="315">
        <v>29097</v>
      </c>
      <c r="EN122" s="315">
        <v>28322</v>
      </c>
      <c r="EO122" s="315">
        <v>775</v>
      </c>
      <c r="EP122" s="315">
        <v>17090</v>
      </c>
      <c r="EQ122" s="315">
        <v>9437</v>
      </c>
      <c r="ER122" s="315">
        <v>7653</v>
      </c>
      <c r="ES122" s="315">
        <v>7448</v>
      </c>
      <c r="ET122" s="315">
        <v>205</v>
      </c>
      <c r="EU122" s="315">
        <v>1415</v>
      </c>
      <c r="EV122" s="315">
        <v>744</v>
      </c>
      <c r="EW122" s="315">
        <v>671</v>
      </c>
      <c r="EX122" s="315">
        <v>653</v>
      </c>
      <c r="EY122" s="315">
        <v>18</v>
      </c>
      <c r="EZ122" s="315">
        <v>880458</v>
      </c>
      <c r="FA122" s="315">
        <v>538934</v>
      </c>
      <c r="FB122" s="315">
        <v>341524</v>
      </c>
      <c r="FC122" s="315">
        <v>332024</v>
      </c>
      <c r="FD122" s="315">
        <v>9500</v>
      </c>
      <c r="FE122" s="315">
        <v>264550</v>
      </c>
      <c r="FF122" s="315">
        <v>73915</v>
      </c>
      <c r="FG122" s="315">
        <v>190635</v>
      </c>
      <c r="FH122" s="315">
        <v>185285</v>
      </c>
      <c r="FI122" s="315">
        <v>5350</v>
      </c>
      <c r="FJ122" s="315">
        <v>64166</v>
      </c>
      <c r="FK122" s="315">
        <v>-1646</v>
      </c>
      <c r="FL122" s="315">
        <v>65812</v>
      </c>
      <c r="FM122" s="315">
        <v>65812</v>
      </c>
      <c r="FN122" s="315"/>
      <c r="FO122" s="315"/>
      <c r="FP122" s="315"/>
      <c r="FQ122" s="315">
        <v>31</v>
      </c>
      <c r="FR122" s="315">
        <v>319953</v>
      </c>
      <c r="FS122" s="315">
        <v>-5556</v>
      </c>
      <c r="FT122" s="315">
        <v>314397</v>
      </c>
      <c r="FU122" s="315"/>
      <c r="FV122" s="315"/>
      <c r="FW122" s="315"/>
      <c r="FX122" s="315">
        <v>99838</v>
      </c>
      <c r="FY122" s="315">
        <v>108379</v>
      </c>
      <c r="FZ122" s="315"/>
      <c r="GA122" s="315"/>
      <c r="GB122" s="315"/>
      <c r="GC122" s="315">
        <v>31060</v>
      </c>
      <c r="GD122" s="315">
        <v>954</v>
      </c>
      <c r="GE122" s="315"/>
      <c r="GF122" s="315">
        <v>30106</v>
      </c>
      <c r="GG122" s="315">
        <v>75120</v>
      </c>
      <c r="GH122" s="315">
        <v>4063</v>
      </c>
      <c r="GI122" s="315">
        <v>1108</v>
      </c>
      <c r="GJ122" s="315">
        <v>69949</v>
      </c>
      <c r="GL122"/>
      <c r="GM122"/>
      <c r="GN122"/>
      <c r="GO122"/>
    </row>
    <row r="123" spans="1:199">
      <c r="A123" s="98" t="s">
        <v>22</v>
      </c>
      <c r="B123" s="98">
        <v>8</v>
      </c>
      <c r="C123" s="98" t="s">
        <v>224</v>
      </c>
      <c r="D123" s="315">
        <v>12262332</v>
      </c>
      <c r="E123" s="315">
        <v>-2401373</v>
      </c>
      <c r="F123" s="315">
        <v>-11558</v>
      </c>
      <c r="G123" s="315">
        <v>9849401</v>
      </c>
      <c r="H123" s="315">
        <v>6679185</v>
      </c>
      <c r="I123" s="315">
        <v>3170216</v>
      </c>
      <c r="J123" s="315">
        <v>3063742</v>
      </c>
      <c r="K123" s="315">
        <v>106474</v>
      </c>
      <c r="L123" s="315">
        <v>627586</v>
      </c>
      <c r="M123" s="315">
        <v>551450</v>
      </c>
      <c r="N123" s="315">
        <v>55123</v>
      </c>
      <c r="O123" s="315"/>
      <c r="P123" s="315"/>
      <c r="Q123" s="315"/>
      <c r="R123" s="315">
        <v>21013</v>
      </c>
      <c r="S123" s="315">
        <v>-540977</v>
      </c>
      <c r="T123" s="315">
        <v>-537277</v>
      </c>
      <c r="U123" s="315">
        <v>-47984</v>
      </c>
      <c r="V123" s="315">
        <v>0</v>
      </c>
      <c r="W123" s="315">
        <v>-479122</v>
      </c>
      <c r="X123" s="315">
        <v>0</v>
      </c>
      <c r="Y123" s="315">
        <v>-10171</v>
      </c>
      <c r="Z123" s="315"/>
      <c r="AA123" s="315">
        <v>-3700</v>
      </c>
      <c r="AB123" s="315">
        <v>0</v>
      </c>
      <c r="AC123" s="315">
        <v>-11558</v>
      </c>
      <c r="AD123" s="315">
        <v>75051</v>
      </c>
      <c r="AE123" s="315">
        <v>-1196351</v>
      </c>
      <c r="AF123" s="315">
        <v>1271402</v>
      </c>
      <c r="AG123" s="315">
        <v>1218713</v>
      </c>
      <c r="AH123" s="315">
        <v>52689</v>
      </c>
      <c r="AI123" s="315">
        <v>548335</v>
      </c>
      <c r="AJ123" s="315">
        <v>348369</v>
      </c>
      <c r="AK123" s="315">
        <v>140975</v>
      </c>
      <c r="AL123" s="315">
        <v>20676</v>
      </c>
      <c r="AM123" s="315">
        <v>3994</v>
      </c>
      <c r="AN123" s="315">
        <v>5543</v>
      </c>
      <c r="AO123" s="315">
        <v>1100</v>
      </c>
      <c r="AP123" s="315"/>
      <c r="AQ123" s="315">
        <v>9791</v>
      </c>
      <c r="AR123" s="315">
        <v>-482154</v>
      </c>
      <c r="AS123" s="315"/>
      <c r="AT123" s="315"/>
      <c r="AU123" s="315">
        <v>-11558</v>
      </c>
      <c r="AV123" s="315">
        <v>8881022</v>
      </c>
      <c r="AW123" s="315">
        <v>9227</v>
      </c>
      <c r="AX123" s="315">
        <v>8862863</v>
      </c>
      <c r="AY123" s="315"/>
      <c r="AZ123" s="315"/>
      <c r="BA123" s="315"/>
      <c r="BB123" s="315"/>
      <c r="BC123" s="315"/>
      <c r="BD123" s="315">
        <v>8932</v>
      </c>
      <c r="BE123" s="315">
        <v>-424382</v>
      </c>
      <c r="BF123" s="315">
        <v>-30121</v>
      </c>
      <c r="BG123" s="315">
        <v>-30121</v>
      </c>
      <c r="BH123" s="315"/>
      <c r="BI123" s="315">
        <v>0</v>
      </c>
      <c r="BJ123" s="315">
        <v>-24114</v>
      </c>
      <c r="BK123" s="315">
        <v>-6007</v>
      </c>
      <c r="BL123" s="315">
        <v>-901</v>
      </c>
      <c r="BM123" s="315">
        <v>-393360</v>
      </c>
      <c r="BN123" s="315">
        <v>8456640</v>
      </c>
      <c r="BO123" s="315">
        <v>-386918</v>
      </c>
      <c r="BP123" s="315">
        <v>1644</v>
      </c>
      <c r="BQ123" s="315">
        <v>470</v>
      </c>
      <c r="BR123" s="315"/>
      <c r="BS123" s="315">
        <v>8702</v>
      </c>
      <c r="BT123" s="315"/>
      <c r="BU123" s="315"/>
      <c r="BV123" s="315"/>
      <c r="BW123" s="315"/>
      <c r="BX123" s="315">
        <v>8832742</v>
      </c>
      <c r="BY123" s="315"/>
      <c r="BZ123" s="315"/>
      <c r="CA123" s="315">
        <v>91402</v>
      </c>
      <c r="CB123" s="315">
        <v>-324820</v>
      </c>
      <c r="CC123" s="315">
        <v>-2980</v>
      </c>
      <c r="CD123" s="315">
        <v>-321840</v>
      </c>
      <c r="CE123" s="315">
        <v>-233418</v>
      </c>
      <c r="CF123" s="315"/>
      <c r="CG123" s="315"/>
      <c r="CH123" s="315"/>
      <c r="CI123" s="315">
        <v>871905</v>
      </c>
      <c r="CJ123" s="315">
        <v>636881</v>
      </c>
      <c r="CK123" s="315">
        <v>235024</v>
      </c>
      <c r="CL123" s="315">
        <v>77339</v>
      </c>
      <c r="CM123" s="315">
        <v>30221</v>
      </c>
      <c r="CN123" s="315">
        <v>127464</v>
      </c>
      <c r="CO123" s="315">
        <v>0</v>
      </c>
      <c r="CP123" s="315">
        <v>0</v>
      </c>
      <c r="CQ123" s="315">
        <v>127464</v>
      </c>
      <c r="CR123" s="315">
        <v>-1105909</v>
      </c>
      <c r="CS123" s="315">
        <v>-800149</v>
      </c>
      <c r="CT123" s="315">
        <v>-782039</v>
      </c>
      <c r="CU123" s="315">
        <v>-5306</v>
      </c>
      <c r="CV123" s="315">
        <v>-1365</v>
      </c>
      <c r="CW123" s="315">
        <v>-11439</v>
      </c>
      <c r="CX123" s="315">
        <v>-305760</v>
      </c>
      <c r="CY123" s="315">
        <v>-213751</v>
      </c>
      <c r="CZ123" s="315">
        <v>-60578</v>
      </c>
      <c r="DA123" s="315">
        <v>-31431</v>
      </c>
      <c r="DB123" s="315">
        <v>0</v>
      </c>
      <c r="DC123" s="315">
        <v>0</v>
      </c>
      <c r="DD123" s="315">
        <v>-234004</v>
      </c>
      <c r="DE123" s="315">
        <v>-1497418</v>
      </c>
      <c r="DF123" s="315">
        <v>1263414</v>
      </c>
      <c r="DG123" s="315">
        <v>1225482</v>
      </c>
      <c r="DH123" s="315">
        <v>37932</v>
      </c>
      <c r="DI123" s="315">
        <v>1593981</v>
      </c>
      <c r="DJ123" s="315">
        <v>77259</v>
      </c>
      <c r="DK123" s="315">
        <v>22320</v>
      </c>
      <c r="DL123" s="315">
        <v>2326</v>
      </c>
      <c r="DM123" s="315">
        <v>915400</v>
      </c>
      <c r="DN123" s="315">
        <v>509339</v>
      </c>
      <c r="DO123" s="315">
        <v>67046</v>
      </c>
      <c r="DP123" s="315"/>
      <c r="DQ123" s="315"/>
      <c r="DR123" s="315">
        <v>291</v>
      </c>
      <c r="DS123" s="315">
        <v>-2364</v>
      </c>
      <c r="DT123" s="315">
        <v>-985</v>
      </c>
      <c r="DU123" s="315">
        <v>-22</v>
      </c>
      <c r="DV123" s="315">
        <v>-21</v>
      </c>
      <c r="DW123" s="315">
        <v>-422</v>
      </c>
      <c r="DX123" s="315"/>
      <c r="DY123" s="315"/>
      <c r="DZ123" s="315"/>
      <c r="EA123" s="315">
        <v>-4</v>
      </c>
      <c r="EB123" s="315">
        <v>-698</v>
      </c>
      <c r="EC123" s="315"/>
      <c r="ED123" s="315"/>
      <c r="EE123" s="315">
        <v>-212</v>
      </c>
      <c r="EF123" s="315">
        <v>1591617</v>
      </c>
      <c r="EG123" s="315">
        <v>956217</v>
      </c>
      <c r="EH123" s="315">
        <v>635400</v>
      </c>
      <c r="EI123" s="315">
        <v>619547</v>
      </c>
      <c r="EJ123" s="315">
        <v>15853</v>
      </c>
      <c r="EK123" s="315">
        <v>76274</v>
      </c>
      <c r="EL123" s="315">
        <v>47175</v>
      </c>
      <c r="EM123" s="315">
        <v>29099</v>
      </c>
      <c r="EN123" s="315">
        <v>28322</v>
      </c>
      <c r="EO123" s="315">
        <v>777</v>
      </c>
      <c r="EP123" s="315">
        <v>22298</v>
      </c>
      <c r="EQ123" s="315">
        <v>14643</v>
      </c>
      <c r="ER123" s="315">
        <v>7655</v>
      </c>
      <c r="ES123" s="315">
        <v>7448</v>
      </c>
      <c r="ET123" s="315">
        <v>207</v>
      </c>
      <c r="EU123" s="315">
        <v>2305</v>
      </c>
      <c r="EV123" s="315">
        <v>1632</v>
      </c>
      <c r="EW123" s="315">
        <v>673</v>
      </c>
      <c r="EX123" s="315">
        <v>654</v>
      </c>
      <c r="EY123" s="315">
        <v>19</v>
      </c>
      <c r="EZ123" s="315">
        <v>914978</v>
      </c>
      <c r="FA123" s="315">
        <v>573455</v>
      </c>
      <c r="FB123" s="315">
        <v>341523</v>
      </c>
      <c r="FC123" s="315">
        <v>332024</v>
      </c>
      <c r="FD123" s="315">
        <v>9499</v>
      </c>
      <c r="FE123" s="315">
        <v>509335</v>
      </c>
      <c r="FF123" s="315">
        <v>318698</v>
      </c>
      <c r="FG123" s="315">
        <v>190637</v>
      </c>
      <c r="FH123" s="315">
        <v>185286</v>
      </c>
      <c r="FI123" s="315">
        <v>5351</v>
      </c>
      <c r="FJ123" s="315">
        <v>66348</v>
      </c>
      <c r="FK123" s="315">
        <v>535</v>
      </c>
      <c r="FL123" s="315">
        <v>65813</v>
      </c>
      <c r="FM123" s="315">
        <v>65813</v>
      </c>
      <c r="FN123" s="315"/>
      <c r="FO123" s="315"/>
      <c r="FP123" s="315"/>
      <c r="FQ123" s="315">
        <v>79</v>
      </c>
      <c r="FR123" s="315">
        <v>196436</v>
      </c>
      <c r="FS123" s="315">
        <v>-2921</v>
      </c>
      <c r="FT123" s="315">
        <v>193515</v>
      </c>
      <c r="FU123" s="315"/>
      <c r="FV123" s="315"/>
      <c r="FW123" s="315"/>
      <c r="FX123" s="315">
        <v>126806</v>
      </c>
      <c r="FY123" s="315">
        <v>2662</v>
      </c>
      <c r="FZ123" s="315"/>
      <c r="GA123" s="315"/>
      <c r="GB123" s="315"/>
      <c r="GC123" s="315">
        <v>32859</v>
      </c>
      <c r="GD123" s="315">
        <v>1442</v>
      </c>
      <c r="GE123" s="315"/>
      <c r="GF123" s="315">
        <v>31417</v>
      </c>
      <c r="GG123" s="315">
        <v>31188</v>
      </c>
      <c r="GH123" s="315">
        <v>3660</v>
      </c>
      <c r="GI123" s="315">
        <v>1157</v>
      </c>
      <c r="GJ123" s="315">
        <v>26371</v>
      </c>
      <c r="GL123"/>
      <c r="GM123"/>
      <c r="GN123"/>
      <c r="GO123"/>
    </row>
    <row r="124" spans="1:199">
      <c r="A124" s="98" t="s">
        <v>22</v>
      </c>
      <c r="B124" s="98">
        <v>9</v>
      </c>
      <c r="C124" s="98" t="s">
        <v>225</v>
      </c>
      <c r="D124" s="315">
        <v>13349649</v>
      </c>
      <c r="E124" s="315">
        <v>-2401165</v>
      </c>
      <c r="F124" s="315">
        <v>-11558</v>
      </c>
      <c r="G124" s="315">
        <v>10936926</v>
      </c>
      <c r="H124" s="315">
        <v>7766716</v>
      </c>
      <c r="I124" s="315">
        <v>3170210</v>
      </c>
      <c r="J124" s="315">
        <v>3063737</v>
      </c>
      <c r="K124" s="315">
        <v>106473</v>
      </c>
      <c r="L124" s="315">
        <v>5156988</v>
      </c>
      <c r="M124" s="315">
        <v>4680097</v>
      </c>
      <c r="N124" s="315">
        <v>52400</v>
      </c>
      <c r="O124" s="315"/>
      <c r="P124" s="315"/>
      <c r="Q124" s="315"/>
      <c r="R124" s="315">
        <v>424491</v>
      </c>
      <c r="S124" s="315">
        <v>-778328</v>
      </c>
      <c r="T124" s="315">
        <v>-773680</v>
      </c>
      <c r="U124" s="315">
        <v>-49910</v>
      </c>
      <c r="V124" s="315">
        <v>0</v>
      </c>
      <c r="W124" s="315">
        <v>-711993</v>
      </c>
      <c r="X124" s="315">
        <v>0</v>
      </c>
      <c r="Y124" s="315">
        <v>-11777</v>
      </c>
      <c r="Z124" s="315"/>
      <c r="AA124" s="315">
        <v>-4648</v>
      </c>
      <c r="AB124" s="315">
        <v>0</v>
      </c>
      <c r="AC124" s="315">
        <v>-11558</v>
      </c>
      <c r="AD124" s="315">
        <v>4367102</v>
      </c>
      <c r="AE124" s="315">
        <v>3095699</v>
      </c>
      <c r="AF124" s="315">
        <v>1271403</v>
      </c>
      <c r="AG124" s="315">
        <v>1218712</v>
      </c>
      <c r="AH124" s="315">
        <v>52691</v>
      </c>
      <c r="AI124" s="315">
        <v>4676349</v>
      </c>
      <c r="AJ124" s="315">
        <v>1130875</v>
      </c>
      <c r="AK124" s="315">
        <v>3472647</v>
      </c>
      <c r="AL124" s="315">
        <v>7420</v>
      </c>
      <c r="AM124" s="315">
        <v>346267</v>
      </c>
      <c r="AN124" s="315">
        <v>44285</v>
      </c>
      <c r="AO124" s="315">
        <v>27436</v>
      </c>
      <c r="AP124" s="315"/>
      <c r="AQ124" s="315">
        <v>5603</v>
      </c>
      <c r="AR124" s="315">
        <v>-721280</v>
      </c>
      <c r="AS124" s="315"/>
      <c r="AT124" s="315"/>
      <c r="AU124" s="315">
        <v>-11558</v>
      </c>
      <c r="AV124" s="315">
        <v>293762</v>
      </c>
      <c r="AW124" s="315">
        <v>1958</v>
      </c>
      <c r="AX124" s="315">
        <v>114842</v>
      </c>
      <c r="AY124" s="315"/>
      <c r="AZ124" s="315"/>
      <c r="BA124" s="315"/>
      <c r="BB124" s="315"/>
      <c r="BC124" s="315"/>
      <c r="BD124" s="315">
        <v>176962</v>
      </c>
      <c r="BE124" s="315">
        <v>-78486</v>
      </c>
      <c r="BF124" s="315">
        <v>-40680</v>
      </c>
      <c r="BG124" s="315">
        <v>-40680</v>
      </c>
      <c r="BH124" s="315"/>
      <c r="BI124" s="315">
        <v>0</v>
      </c>
      <c r="BJ124" s="315">
        <v>-3886</v>
      </c>
      <c r="BK124" s="315">
        <v>-36794</v>
      </c>
      <c r="BL124" s="315">
        <v>-981</v>
      </c>
      <c r="BM124" s="315">
        <v>-36825</v>
      </c>
      <c r="BN124" s="315">
        <v>215276</v>
      </c>
      <c r="BO124" s="315">
        <v>109924</v>
      </c>
      <c r="BP124" s="315">
        <v>18225</v>
      </c>
      <c r="BQ124" s="315">
        <v>11679</v>
      </c>
      <c r="BR124" s="315"/>
      <c r="BS124" s="315">
        <v>1286</v>
      </c>
      <c r="BT124" s="315"/>
      <c r="BU124" s="315"/>
      <c r="BV124" s="315"/>
      <c r="BW124" s="315"/>
      <c r="BX124" s="315">
        <v>74162</v>
      </c>
      <c r="BY124" s="315"/>
      <c r="BZ124" s="315"/>
      <c r="CA124" s="315">
        <v>147422</v>
      </c>
      <c r="CB124" s="315">
        <v>-35325</v>
      </c>
      <c r="CC124" s="315">
        <v>-5196</v>
      </c>
      <c r="CD124" s="315">
        <v>-30129</v>
      </c>
      <c r="CE124" s="315">
        <v>112097</v>
      </c>
      <c r="CF124" s="315"/>
      <c r="CG124" s="315"/>
      <c r="CH124" s="315"/>
      <c r="CI124" s="315">
        <v>5927732</v>
      </c>
      <c r="CJ124" s="315">
        <v>1503404</v>
      </c>
      <c r="CK124" s="315">
        <v>4424328</v>
      </c>
      <c r="CL124" s="315">
        <v>4286752</v>
      </c>
      <c r="CM124" s="315">
        <v>7426</v>
      </c>
      <c r="CN124" s="315">
        <v>130150</v>
      </c>
      <c r="CO124" s="315">
        <v>0</v>
      </c>
      <c r="CP124" s="315">
        <v>0</v>
      </c>
      <c r="CQ124" s="315">
        <v>130150</v>
      </c>
      <c r="CR124" s="315">
        <v>-1487422</v>
      </c>
      <c r="CS124" s="315">
        <v>-583007</v>
      </c>
      <c r="CT124" s="315">
        <v>-556880</v>
      </c>
      <c r="CU124" s="315">
        <v>-6347</v>
      </c>
      <c r="CV124" s="315">
        <v>-230</v>
      </c>
      <c r="CW124" s="315">
        <v>-19550</v>
      </c>
      <c r="CX124" s="315">
        <v>-829621</v>
      </c>
      <c r="CY124" s="315">
        <v>-770048</v>
      </c>
      <c r="CZ124" s="315">
        <v>-48821</v>
      </c>
      <c r="DA124" s="315">
        <v>-10752</v>
      </c>
      <c r="DB124" s="315">
        <v>0</v>
      </c>
      <c r="DC124" s="315">
        <v>-74794</v>
      </c>
      <c r="DD124" s="315">
        <v>4440310</v>
      </c>
      <c r="DE124" s="315">
        <v>3176896</v>
      </c>
      <c r="DF124" s="315">
        <v>1263414</v>
      </c>
      <c r="DG124" s="315">
        <v>1225481</v>
      </c>
      <c r="DH124" s="315">
        <v>37933</v>
      </c>
      <c r="DI124" s="315">
        <v>1459521</v>
      </c>
      <c r="DJ124" s="315">
        <v>73361</v>
      </c>
      <c r="DK124" s="315">
        <v>25753</v>
      </c>
      <c r="DL124" s="315">
        <v>1185</v>
      </c>
      <c r="DM124" s="315">
        <v>825721</v>
      </c>
      <c r="DN124" s="315">
        <v>464420</v>
      </c>
      <c r="DO124" s="315">
        <v>68872</v>
      </c>
      <c r="DP124" s="315"/>
      <c r="DQ124" s="315"/>
      <c r="DR124" s="315">
        <v>209</v>
      </c>
      <c r="DS124" s="315">
        <v>-12862</v>
      </c>
      <c r="DT124" s="315">
        <v>-1858</v>
      </c>
      <c r="DU124" s="315">
        <v>-32</v>
      </c>
      <c r="DV124" s="315">
        <v>-21</v>
      </c>
      <c r="DW124" s="315">
        <v>-655</v>
      </c>
      <c r="DX124" s="315"/>
      <c r="DY124" s="315"/>
      <c r="DZ124" s="315"/>
      <c r="EA124" s="315">
        <v>-9907</v>
      </c>
      <c r="EB124" s="315">
        <v>0</v>
      </c>
      <c r="EC124" s="315"/>
      <c r="ED124" s="315"/>
      <c r="EE124" s="315">
        <v>-389</v>
      </c>
      <c r="EF124" s="315">
        <v>1446659</v>
      </c>
      <c r="EG124" s="315">
        <v>811266</v>
      </c>
      <c r="EH124" s="315">
        <v>635393</v>
      </c>
      <c r="EI124" s="315">
        <v>619544</v>
      </c>
      <c r="EJ124" s="315">
        <v>15849</v>
      </c>
      <c r="EK124" s="315">
        <v>71503</v>
      </c>
      <c r="EL124" s="315">
        <v>42406</v>
      </c>
      <c r="EM124" s="315">
        <v>29097</v>
      </c>
      <c r="EN124" s="315">
        <v>28322</v>
      </c>
      <c r="EO124" s="315">
        <v>775</v>
      </c>
      <c r="EP124" s="315">
        <v>25721</v>
      </c>
      <c r="EQ124" s="315">
        <v>18068</v>
      </c>
      <c r="ER124" s="315">
        <v>7653</v>
      </c>
      <c r="ES124" s="315">
        <v>7448</v>
      </c>
      <c r="ET124" s="315">
        <v>205</v>
      </c>
      <c r="EU124" s="315">
        <v>1164</v>
      </c>
      <c r="EV124" s="315">
        <v>491</v>
      </c>
      <c r="EW124" s="315">
        <v>673</v>
      </c>
      <c r="EX124" s="315">
        <v>653</v>
      </c>
      <c r="EY124" s="315">
        <v>20</v>
      </c>
      <c r="EZ124" s="315">
        <v>825066</v>
      </c>
      <c r="FA124" s="315">
        <v>483542</v>
      </c>
      <c r="FB124" s="315">
        <v>341524</v>
      </c>
      <c r="FC124" s="315">
        <v>332024</v>
      </c>
      <c r="FD124" s="315">
        <v>9500</v>
      </c>
      <c r="FE124" s="315">
        <v>454513</v>
      </c>
      <c r="FF124" s="315">
        <v>263879</v>
      </c>
      <c r="FG124" s="315">
        <v>190634</v>
      </c>
      <c r="FH124" s="315">
        <v>185285</v>
      </c>
      <c r="FI124" s="315">
        <v>5349</v>
      </c>
      <c r="FJ124" s="315">
        <v>68872</v>
      </c>
      <c r="FK124" s="315">
        <v>3060</v>
      </c>
      <c r="FL124" s="315">
        <v>65812</v>
      </c>
      <c r="FM124" s="315">
        <v>65812</v>
      </c>
      <c r="FN124" s="315"/>
      <c r="FO124" s="315"/>
      <c r="FP124" s="315"/>
      <c r="FQ124" s="315">
        <v>-180</v>
      </c>
      <c r="FR124" s="315">
        <v>364224</v>
      </c>
      <c r="FS124" s="315">
        <v>-8742</v>
      </c>
      <c r="FT124" s="315">
        <v>355482</v>
      </c>
      <c r="FU124" s="315"/>
      <c r="FV124" s="315"/>
      <c r="FW124" s="315"/>
      <c r="FX124" s="315">
        <v>96435</v>
      </c>
      <c r="FY124" s="315">
        <v>207405</v>
      </c>
      <c r="FZ124" s="315"/>
      <c r="GA124" s="315"/>
      <c r="GB124" s="315"/>
      <c r="GC124" s="315">
        <v>23447</v>
      </c>
      <c r="GD124" s="315">
        <v>568</v>
      </c>
      <c r="GE124" s="315"/>
      <c r="GF124" s="315">
        <v>22879</v>
      </c>
      <c r="GG124" s="315">
        <v>28195</v>
      </c>
      <c r="GH124" s="315">
        <v>1328</v>
      </c>
      <c r="GI124" s="315">
        <v>-812</v>
      </c>
      <c r="GJ124" s="315">
        <v>27679</v>
      </c>
      <c r="GL124"/>
      <c r="GM124"/>
      <c r="GN124"/>
      <c r="GO124"/>
    </row>
    <row r="125" spans="1:199">
      <c r="A125" s="98" t="s">
        <v>22</v>
      </c>
      <c r="B125" s="98">
        <v>10</v>
      </c>
      <c r="C125" s="98" t="s">
        <v>226</v>
      </c>
      <c r="D125" s="315">
        <v>26008919</v>
      </c>
      <c r="E125" s="315">
        <v>-2458255</v>
      </c>
      <c r="F125" s="315">
        <v>-11558</v>
      </c>
      <c r="G125" s="315">
        <v>23539106</v>
      </c>
      <c r="H125" s="315">
        <v>17954727</v>
      </c>
      <c r="I125" s="315">
        <v>5584379</v>
      </c>
      <c r="J125" s="315">
        <v>5477907</v>
      </c>
      <c r="K125" s="315">
        <v>106472</v>
      </c>
      <c r="L125" s="315">
        <v>6613205</v>
      </c>
      <c r="M125" s="315">
        <v>5394763</v>
      </c>
      <c r="N125" s="315">
        <v>59326</v>
      </c>
      <c r="O125" s="315"/>
      <c r="P125" s="315"/>
      <c r="Q125" s="315"/>
      <c r="R125" s="315">
        <v>1159116</v>
      </c>
      <c r="S125" s="315">
        <v>-605081</v>
      </c>
      <c r="T125" s="315">
        <v>-600755</v>
      </c>
      <c r="U125" s="315">
        <v>-49544</v>
      </c>
      <c r="V125" s="315">
        <v>0</v>
      </c>
      <c r="W125" s="315">
        <v>-539441</v>
      </c>
      <c r="X125" s="315">
        <v>0</v>
      </c>
      <c r="Y125" s="315">
        <v>-11770</v>
      </c>
      <c r="Z125" s="315"/>
      <c r="AA125" s="315">
        <v>-4326</v>
      </c>
      <c r="AB125" s="315">
        <v>0</v>
      </c>
      <c r="AC125" s="315">
        <v>-11558</v>
      </c>
      <c r="AD125" s="315">
        <v>5996566</v>
      </c>
      <c r="AE125" s="315">
        <v>2671823</v>
      </c>
      <c r="AF125" s="315">
        <v>3324743</v>
      </c>
      <c r="AG125" s="315">
        <v>3272052</v>
      </c>
      <c r="AH125" s="315">
        <v>52691</v>
      </c>
      <c r="AI125" s="315">
        <v>5391176</v>
      </c>
      <c r="AJ125" s="315">
        <v>612791</v>
      </c>
      <c r="AK125" s="315">
        <v>1733979</v>
      </c>
      <c r="AL125" s="315">
        <v>2990572</v>
      </c>
      <c r="AM125" s="315">
        <v>177538</v>
      </c>
      <c r="AN125" s="315">
        <v>251281</v>
      </c>
      <c r="AO125" s="315">
        <v>23287</v>
      </c>
      <c r="AP125" s="315"/>
      <c r="AQ125" s="315">
        <v>706271</v>
      </c>
      <c r="AR125" s="315">
        <v>-541429</v>
      </c>
      <c r="AS125" s="315"/>
      <c r="AT125" s="315"/>
      <c r="AU125" s="315">
        <v>-11558</v>
      </c>
      <c r="AV125" s="315">
        <v>8388527</v>
      </c>
      <c r="AW125" s="315">
        <v>7682830</v>
      </c>
      <c r="AX125" s="315">
        <v>328534</v>
      </c>
      <c r="AY125" s="315"/>
      <c r="AZ125" s="315"/>
      <c r="BA125" s="315"/>
      <c r="BB125" s="315"/>
      <c r="BC125" s="315"/>
      <c r="BD125" s="315">
        <v>377163</v>
      </c>
      <c r="BE125" s="315">
        <v>-213555</v>
      </c>
      <c r="BF125" s="315">
        <v>-212374</v>
      </c>
      <c r="BG125" s="315">
        <v>-212374</v>
      </c>
      <c r="BH125" s="315"/>
      <c r="BI125" s="315">
        <v>-191040</v>
      </c>
      <c r="BJ125" s="315">
        <v>0</v>
      </c>
      <c r="BK125" s="315">
        <v>-21334</v>
      </c>
      <c r="BL125" s="315">
        <v>-1115</v>
      </c>
      <c r="BM125" s="315">
        <v>-66</v>
      </c>
      <c r="BN125" s="315">
        <v>8174972</v>
      </c>
      <c r="BO125" s="315">
        <v>260821</v>
      </c>
      <c r="BP125" s="315">
        <v>106156</v>
      </c>
      <c r="BQ125" s="315">
        <v>9915</v>
      </c>
      <c r="BR125" s="315"/>
      <c r="BS125" s="315">
        <v>7681920</v>
      </c>
      <c r="BT125" s="315"/>
      <c r="BU125" s="315"/>
      <c r="BV125" s="315"/>
      <c r="BW125" s="315"/>
      <c r="BX125" s="315">
        <v>116160</v>
      </c>
      <c r="BY125" s="315"/>
      <c r="BZ125" s="315"/>
      <c r="CA125" s="315">
        <v>296527</v>
      </c>
      <c r="CB125" s="315">
        <v>-5338</v>
      </c>
      <c r="CC125" s="315">
        <v>-5284</v>
      </c>
      <c r="CD125" s="315">
        <v>-54</v>
      </c>
      <c r="CE125" s="315">
        <v>291189</v>
      </c>
      <c r="CF125" s="315"/>
      <c r="CG125" s="315"/>
      <c r="CH125" s="315"/>
      <c r="CI125" s="315">
        <v>8870121</v>
      </c>
      <c r="CJ125" s="315">
        <v>1141710</v>
      </c>
      <c r="CK125" s="315">
        <v>7728411</v>
      </c>
      <c r="CL125" s="315">
        <v>2251361</v>
      </c>
      <c r="CM125" s="315">
        <v>5302351</v>
      </c>
      <c r="CN125" s="315">
        <v>174699</v>
      </c>
      <c r="CO125" s="315">
        <v>0</v>
      </c>
      <c r="CP125" s="315">
        <v>0</v>
      </c>
      <c r="CQ125" s="315">
        <v>174699</v>
      </c>
      <c r="CR125" s="315">
        <v>-1536582</v>
      </c>
      <c r="CS125" s="315">
        <v>-431450</v>
      </c>
      <c r="CT125" s="315">
        <v>-404225</v>
      </c>
      <c r="CU125" s="315">
        <v>-3608</v>
      </c>
      <c r="CV125" s="315">
        <v>-136</v>
      </c>
      <c r="CW125" s="315">
        <v>-23481</v>
      </c>
      <c r="CX125" s="315">
        <v>-761280</v>
      </c>
      <c r="CY125" s="315">
        <v>-724117</v>
      </c>
      <c r="CZ125" s="315">
        <v>-25518</v>
      </c>
      <c r="DA125" s="315">
        <v>-11645</v>
      </c>
      <c r="DB125" s="315">
        <v>-343852</v>
      </c>
      <c r="DC125" s="315">
        <v>0</v>
      </c>
      <c r="DD125" s="315">
        <v>7333539</v>
      </c>
      <c r="DE125" s="315">
        <v>5847287</v>
      </c>
      <c r="DF125" s="315">
        <v>1486252</v>
      </c>
      <c r="DG125" s="315">
        <v>1448321</v>
      </c>
      <c r="DH125" s="315">
        <v>37931</v>
      </c>
      <c r="DI125" s="315">
        <v>1530739</v>
      </c>
      <c r="DJ125" s="315">
        <v>60089</v>
      </c>
      <c r="DK125" s="315">
        <v>26445</v>
      </c>
      <c r="DL125" s="315">
        <v>1058</v>
      </c>
      <c r="DM125" s="315">
        <v>891533</v>
      </c>
      <c r="DN125" s="315">
        <v>481483</v>
      </c>
      <c r="DO125" s="315">
        <v>69934</v>
      </c>
      <c r="DP125" s="315"/>
      <c r="DQ125" s="315"/>
      <c r="DR125" s="315">
        <v>197</v>
      </c>
      <c r="DS125" s="315">
        <v>-83415</v>
      </c>
      <c r="DT125" s="315">
        <v>-14418</v>
      </c>
      <c r="DU125" s="315">
        <v>-4237</v>
      </c>
      <c r="DV125" s="315">
        <v>-5</v>
      </c>
      <c r="DW125" s="315">
        <v>-756</v>
      </c>
      <c r="DX125" s="315"/>
      <c r="DY125" s="315"/>
      <c r="DZ125" s="315"/>
      <c r="EA125" s="315">
        <v>-63071</v>
      </c>
      <c r="EB125" s="315">
        <v>-456</v>
      </c>
      <c r="EC125" s="315"/>
      <c r="ED125" s="315"/>
      <c r="EE125" s="315">
        <v>-472</v>
      </c>
      <c r="EF125" s="315">
        <v>1447324</v>
      </c>
      <c r="EG125" s="315">
        <v>673940</v>
      </c>
      <c r="EH125" s="315">
        <v>773384</v>
      </c>
      <c r="EI125" s="315">
        <v>757534</v>
      </c>
      <c r="EJ125" s="315">
        <v>15850</v>
      </c>
      <c r="EK125" s="315">
        <v>45671</v>
      </c>
      <c r="EL125" s="315">
        <v>-8774</v>
      </c>
      <c r="EM125" s="315">
        <v>54445</v>
      </c>
      <c r="EN125" s="315">
        <v>53669</v>
      </c>
      <c r="EO125" s="315">
        <v>776</v>
      </c>
      <c r="EP125" s="315">
        <v>22208</v>
      </c>
      <c r="EQ125" s="315">
        <v>8836</v>
      </c>
      <c r="ER125" s="315">
        <v>13372</v>
      </c>
      <c r="ES125" s="315">
        <v>13167</v>
      </c>
      <c r="ET125" s="315">
        <v>205</v>
      </c>
      <c r="EU125" s="315">
        <v>1053</v>
      </c>
      <c r="EV125" s="315">
        <v>473</v>
      </c>
      <c r="EW125" s="315">
        <v>580</v>
      </c>
      <c r="EX125" s="315">
        <v>562</v>
      </c>
      <c r="EY125" s="315">
        <v>18</v>
      </c>
      <c r="EZ125" s="315">
        <v>890777</v>
      </c>
      <c r="FA125" s="315">
        <v>474360</v>
      </c>
      <c r="FB125" s="315">
        <v>416417</v>
      </c>
      <c r="FC125" s="315">
        <v>406918</v>
      </c>
      <c r="FD125" s="315">
        <v>9499</v>
      </c>
      <c r="FE125" s="315">
        <v>418412</v>
      </c>
      <c r="FF125" s="315">
        <v>227657</v>
      </c>
      <c r="FG125" s="315">
        <v>190755</v>
      </c>
      <c r="FH125" s="315">
        <v>185403</v>
      </c>
      <c r="FI125" s="315">
        <v>5352</v>
      </c>
      <c r="FJ125" s="315">
        <v>69478</v>
      </c>
      <c r="FK125" s="315">
        <v>-28337</v>
      </c>
      <c r="FL125" s="315">
        <v>97815</v>
      </c>
      <c r="FM125" s="315">
        <v>97815</v>
      </c>
      <c r="FN125" s="315"/>
      <c r="FO125" s="315"/>
      <c r="FP125" s="315"/>
      <c r="FQ125" s="315">
        <v>-275</v>
      </c>
      <c r="FR125" s="315">
        <v>309800</v>
      </c>
      <c r="FS125" s="315">
        <v>-14284</v>
      </c>
      <c r="FT125" s="315">
        <v>295516</v>
      </c>
      <c r="FU125" s="315"/>
      <c r="FV125" s="315"/>
      <c r="FW125" s="315"/>
      <c r="FX125" s="315">
        <v>116319</v>
      </c>
      <c r="FY125" s="315">
        <v>96353</v>
      </c>
      <c r="FZ125" s="315"/>
      <c r="GA125" s="315"/>
      <c r="GB125" s="315"/>
      <c r="GC125" s="315">
        <v>41083</v>
      </c>
      <c r="GD125" s="315">
        <v>1102</v>
      </c>
      <c r="GE125" s="315"/>
      <c r="GF125" s="315">
        <v>39981</v>
      </c>
      <c r="GG125" s="315">
        <v>41761</v>
      </c>
      <c r="GH125" s="315">
        <v>2116</v>
      </c>
      <c r="GI125" s="315">
        <v>603</v>
      </c>
      <c r="GJ125" s="315">
        <v>39042</v>
      </c>
      <c r="GL125"/>
      <c r="GM125"/>
      <c r="GN125"/>
      <c r="GO125"/>
    </row>
    <row r="126" spans="1:199">
      <c r="A126" s="98" t="s">
        <v>22</v>
      </c>
      <c r="B126" s="98">
        <v>11</v>
      </c>
      <c r="C126" s="98" t="s">
        <v>227</v>
      </c>
      <c r="D126" s="315">
        <v>10461701</v>
      </c>
      <c r="E126" s="315">
        <v>-1347358</v>
      </c>
      <c r="F126" s="315">
        <v>-11558</v>
      </c>
      <c r="G126" s="315">
        <v>9102785</v>
      </c>
      <c r="H126" s="315">
        <v>5932573</v>
      </c>
      <c r="I126" s="315">
        <v>3170212</v>
      </c>
      <c r="J126" s="315">
        <v>3063740</v>
      </c>
      <c r="K126" s="315">
        <v>106472</v>
      </c>
      <c r="L126" s="315">
        <v>4607656</v>
      </c>
      <c r="M126" s="315">
        <v>2546645</v>
      </c>
      <c r="N126" s="315">
        <v>1865533</v>
      </c>
      <c r="O126" s="315"/>
      <c r="P126" s="315"/>
      <c r="Q126" s="315"/>
      <c r="R126" s="315">
        <v>195478</v>
      </c>
      <c r="S126" s="315">
        <v>-342495</v>
      </c>
      <c r="T126" s="315">
        <v>-335975</v>
      </c>
      <c r="U126" s="315">
        <v>-49197</v>
      </c>
      <c r="V126" s="315">
        <v>0</v>
      </c>
      <c r="W126" s="315">
        <v>-274325</v>
      </c>
      <c r="X126" s="315">
        <v>0</v>
      </c>
      <c r="Y126" s="315">
        <v>-12453</v>
      </c>
      <c r="Z126" s="315"/>
      <c r="AA126" s="315">
        <v>-6520</v>
      </c>
      <c r="AB126" s="315">
        <v>0</v>
      </c>
      <c r="AC126" s="315">
        <v>-11558</v>
      </c>
      <c r="AD126" s="315">
        <v>4253603</v>
      </c>
      <c r="AE126" s="315">
        <v>2982201</v>
      </c>
      <c r="AF126" s="315">
        <v>1271402</v>
      </c>
      <c r="AG126" s="315">
        <v>1218712</v>
      </c>
      <c r="AH126" s="315">
        <v>52690</v>
      </c>
      <c r="AI126" s="315">
        <v>2541071</v>
      </c>
      <c r="AJ126" s="315">
        <v>776437</v>
      </c>
      <c r="AK126" s="315">
        <v>1691408</v>
      </c>
      <c r="AL126" s="315">
        <v>27024</v>
      </c>
      <c r="AM126" s="315">
        <v>137649</v>
      </c>
      <c r="AN126" s="315">
        <v>28833</v>
      </c>
      <c r="AO126" s="315">
        <v>17986</v>
      </c>
      <c r="AP126" s="315"/>
      <c r="AQ126" s="315">
        <v>10064</v>
      </c>
      <c r="AR126" s="315">
        <v>1529558</v>
      </c>
      <c r="AS126" s="315"/>
      <c r="AT126" s="315"/>
      <c r="AU126" s="315">
        <v>-11558</v>
      </c>
      <c r="AV126" s="315">
        <v>388972</v>
      </c>
      <c r="AW126" s="315">
        <v>30087</v>
      </c>
      <c r="AX126" s="315">
        <v>281755</v>
      </c>
      <c r="AY126" s="315"/>
      <c r="AZ126" s="315"/>
      <c r="BA126" s="315"/>
      <c r="BB126" s="315"/>
      <c r="BC126" s="315"/>
      <c r="BD126" s="315">
        <v>77130</v>
      </c>
      <c r="BE126" s="315">
        <v>-125060</v>
      </c>
      <c r="BF126" s="315">
        <v>-122108</v>
      </c>
      <c r="BG126" s="315">
        <v>-122108</v>
      </c>
      <c r="BH126" s="315"/>
      <c r="BI126" s="315">
        <v>-89850</v>
      </c>
      <c r="BJ126" s="315">
        <v>0</v>
      </c>
      <c r="BK126" s="315">
        <v>-32258</v>
      </c>
      <c r="BL126" s="315">
        <v>-2739</v>
      </c>
      <c r="BM126" s="315">
        <v>-213</v>
      </c>
      <c r="BN126" s="315">
        <v>263912</v>
      </c>
      <c r="BO126" s="315">
        <v>57919</v>
      </c>
      <c r="BP126" s="315">
        <v>11114</v>
      </c>
      <c r="BQ126" s="315">
        <v>7650</v>
      </c>
      <c r="BR126" s="315"/>
      <c r="BS126" s="315">
        <v>27582</v>
      </c>
      <c r="BT126" s="315"/>
      <c r="BU126" s="315"/>
      <c r="BV126" s="315"/>
      <c r="BW126" s="315"/>
      <c r="BX126" s="315">
        <v>159647</v>
      </c>
      <c r="BY126" s="315"/>
      <c r="BZ126" s="315"/>
      <c r="CA126" s="315">
        <v>85733</v>
      </c>
      <c r="CB126" s="315">
        <v>-7742</v>
      </c>
      <c r="CC126" s="315">
        <v>-5825</v>
      </c>
      <c r="CD126" s="315">
        <v>-1917</v>
      </c>
      <c r="CE126" s="315">
        <v>77991</v>
      </c>
      <c r="CF126" s="315"/>
      <c r="CG126" s="315"/>
      <c r="CH126" s="315"/>
      <c r="CI126" s="315">
        <v>3577573</v>
      </c>
      <c r="CJ126" s="315">
        <v>1177198</v>
      </c>
      <c r="CK126" s="315">
        <v>2400375</v>
      </c>
      <c r="CL126" s="315">
        <v>2244378</v>
      </c>
      <c r="CM126" s="315">
        <v>28459</v>
      </c>
      <c r="CN126" s="315">
        <v>127538</v>
      </c>
      <c r="CO126" s="315">
        <v>0</v>
      </c>
      <c r="CP126" s="315">
        <v>0</v>
      </c>
      <c r="CQ126" s="315">
        <v>127538</v>
      </c>
      <c r="CR126" s="315">
        <v>-856071</v>
      </c>
      <c r="CS126" s="315">
        <v>-331536</v>
      </c>
      <c r="CT126" s="315">
        <v>-267992</v>
      </c>
      <c r="CU126" s="315">
        <v>-4289</v>
      </c>
      <c r="CV126" s="315">
        <v>-224</v>
      </c>
      <c r="CW126" s="315">
        <v>-59031</v>
      </c>
      <c r="CX126" s="315">
        <v>-524535</v>
      </c>
      <c r="CY126" s="315">
        <v>-495778</v>
      </c>
      <c r="CZ126" s="315">
        <v>-18348</v>
      </c>
      <c r="DA126" s="315">
        <v>-10409</v>
      </c>
      <c r="DB126" s="315">
        <v>0</v>
      </c>
      <c r="DC126" s="315">
        <v>0</v>
      </c>
      <c r="DD126" s="315">
        <v>2721502</v>
      </c>
      <c r="DE126" s="315">
        <v>1458087</v>
      </c>
      <c r="DF126" s="315">
        <v>1263415</v>
      </c>
      <c r="DG126" s="315">
        <v>1225482</v>
      </c>
      <c r="DH126" s="315">
        <v>37933</v>
      </c>
      <c r="DI126" s="315">
        <v>1472733</v>
      </c>
      <c r="DJ126" s="315">
        <v>98361</v>
      </c>
      <c r="DK126" s="315">
        <v>27041</v>
      </c>
      <c r="DL126" s="315">
        <v>2127</v>
      </c>
      <c r="DM126" s="315">
        <v>819626</v>
      </c>
      <c r="DN126" s="315">
        <v>458942</v>
      </c>
      <c r="DO126" s="315">
        <v>66369</v>
      </c>
      <c r="DP126" s="315"/>
      <c r="DQ126" s="315"/>
      <c r="DR126" s="315">
        <v>267</v>
      </c>
      <c r="DS126" s="315">
        <v>-3481</v>
      </c>
      <c r="DT126" s="315">
        <v>-1946</v>
      </c>
      <c r="DU126" s="315">
        <v>-39</v>
      </c>
      <c r="DV126" s="315">
        <v>-14</v>
      </c>
      <c r="DW126" s="315">
        <v>-1067</v>
      </c>
      <c r="DX126" s="315"/>
      <c r="DY126" s="315"/>
      <c r="DZ126" s="315"/>
      <c r="EA126" s="315">
        <v>-152</v>
      </c>
      <c r="EB126" s="315">
        <v>-224</v>
      </c>
      <c r="EC126" s="315"/>
      <c r="ED126" s="315"/>
      <c r="EE126" s="315">
        <v>-39</v>
      </c>
      <c r="EF126" s="315">
        <v>1469252</v>
      </c>
      <c r="EG126" s="315">
        <v>833857</v>
      </c>
      <c r="EH126" s="315">
        <v>635395</v>
      </c>
      <c r="EI126" s="315">
        <v>619546</v>
      </c>
      <c r="EJ126" s="315">
        <v>15849</v>
      </c>
      <c r="EK126" s="315">
        <v>96415</v>
      </c>
      <c r="EL126" s="315">
        <v>67318</v>
      </c>
      <c r="EM126" s="315">
        <v>29097</v>
      </c>
      <c r="EN126" s="315">
        <v>28322</v>
      </c>
      <c r="EO126" s="315">
        <v>775</v>
      </c>
      <c r="EP126" s="315">
        <v>27002</v>
      </c>
      <c r="EQ126" s="315">
        <v>19347</v>
      </c>
      <c r="ER126" s="315">
        <v>7655</v>
      </c>
      <c r="ES126" s="315">
        <v>7448</v>
      </c>
      <c r="ET126" s="315">
        <v>207</v>
      </c>
      <c r="EU126" s="315">
        <v>2113</v>
      </c>
      <c r="EV126" s="315">
        <v>1440</v>
      </c>
      <c r="EW126" s="315">
        <v>673</v>
      </c>
      <c r="EX126" s="315">
        <v>654</v>
      </c>
      <c r="EY126" s="315">
        <v>19</v>
      </c>
      <c r="EZ126" s="315">
        <v>818559</v>
      </c>
      <c r="FA126" s="315">
        <v>477035</v>
      </c>
      <c r="FB126" s="315">
        <v>341524</v>
      </c>
      <c r="FC126" s="315">
        <v>332024</v>
      </c>
      <c r="FD126" s="315">
        <v>9500</v>
      </c>
      <c r="FE126" s="315">
        <v>458790</v>
      </c>
      <c r="FF126" s="315">
        <v>268157</v>
      </c>
      <c r="FG126" s="315">
        <v>190633</v>
      </c>
      <c r="FH126" s="315">
        <v>185285</v>
      </c>
      <c r="FI126" s="315">
        <v>5348</v>
      </c>
      <c r="FJ126" s="315">
        <v>66145</v>
      </c>
      <c r="FK126" s="315">
        <v>332</v>
      </c>
      <c r="FL126" s="315">
        <v>65813</v>
      </c>
      <c r="FM126" s="315">
        <v>65813</v>
      </c>
      <c r="FN126" s="315"/>
      <c r="FO126" s="315"/>
      <c r="FP126" s="315"/>
      <c r="FQ126" s="315">
        <v>228</v>
      </c>
      <c r="FR126" s="315">
        <v>329034</v>
      </c>
      <c r="FS126" s="315">
        <v>-12509</v>
      </c>
      <c r="FT126" s="315">
        <v>316525</v>
      </c>
      <c r="FU126" s="315"/>
      <c r="FV126" s="315"/>
      <c r="FW126" s="315"/>
      <c r="FX126" s="315">
        <v>113049</v>
      </c>
      <c r="FY126" s="315">
        <v>103999</v>
      </c>
      <c r="FZ126" s="315"/>
      <c r="GA126" s="315"/>
      <c r="GB126" s="315"/>
      <c r="GC126" s="315">
        <v>44878</v>
      </c>
      <c r="GD126" s="315">
        <v>3716</v>
      </c>
      <c r="GE126" s="315"/>
      <c r="GF126" s="315">
        <v>41162</v>
      </c>
      <c r="GG126" s="315">
        <v>54599</v>
      </c>
      <c r="GH126" s="315">
        <v>3825</v>
      </c>
      <c r="GI126" s="315">
        <v>720</v>
      </c>
      <c r="GJ126" s="315">
        <v>50054</v>
      </c>
      <c r="GL126"/>
      <c r="GM126"/>
      <c r="GN126"/>
      <c r="GO126"/>
    </row>
    <row r="127" spans="1:199">
      <c r="A127" s="98" t="s">
        <v>22</v>
      </c>
      <c r="B127" s="98">
        <v>12</v>
      </c>
      <c r="C127" s="98" t="s">
        <v>228</v>
      </c>
      <c r="D127" s="315">
        <v>13372954</v>
      </c>
      <c r="E127" s="315">
        <v>-4224777</v>
      </c>
      <c r="F127" s="315">
        <v>-11558</v>
      </c>
      <c r="G127" s="315">
        <v>9136619</v>
      </c>
      <c r="H127" s="315">
        <v>5966407</v>
      </c>
      <c r="I127" s="315">
        <v>3170212</v>
      </c>
      <c r="J127" s="315">
        <v>3063737</v>
      </c>
      <c r="K127" s="315">
        <v>106475</v>
      </c>
      <c r="L127" s="315">
        <v>3814171</v>
      </c>
      <c r="M127" s="315">
        <v>3556694</v>
      </c>
      <c r="N127" s="315">
        <v>70946</v>
      </c>
      <c r="O127" s="315"/>
      <c r="P127" s="315"/>
      <c r="Q127" s="315"/>
      <c r="R127" s="315">
        <v>186531</v>
      </c>
      <c r="S127" s="315">
        <v>-375641</v>
      </c>
      <c r="T127" s="315">
        <v>-366523</v>
      </c>
      <c r="U127" s="315">
        <v>-51054</v>
      </c>
      <c r="V127" s="315">
        <v>0</v>
      </c>
      <c r="W127" s="315">
        <v>-304443</v>
      </c>
      <c r="X127" s="315">
        <v>0</v>
      </c>
      <c r="Y127" s="315">
        <v>-11026</v>
      </c>
      <c r="Z127" s="315"/>
      <c r="AA127" s="315">
        <v>-9118</v>
      </c>
      <c r="AB127" s="315">
        <v>0</v>
      </c>
      <c r="AC127" s="315">
        <v>-11558</v>
      </c>
      <c r="AD127" s="315">
        <v>3426972</v>
      </c>
      <c r="AE127" s="315">
        <v>2155569</v>
      </c>
      <c r="AF127" s="315">
        <v>1271403</v>
      </c>
      <c r="AG127" s="315">
        <v>1218712</v>
      </c>
      <c r="AH127" s="315">
        <v>52691</v>
      </c>
      <c r="AI127" s="315">
        <v>3551738</v>
      </c>
      <c r="AJ127" s="315">
        <v>1678503</v>
      </c>
      <c r="AK127" s="315">
        <v>1819940</v>
      </c>
      <c r="AL127" s="315">
        <v>8900</v>
      </c>
      <c r="AM127" s="315">
        <v>130445</v>
      </c>
      <c r="AN127" s="315">
        <v>22881</v>
      </c>
      <c r="AO127" s="315">
        <v>22549</v>
      </c>
      <c r="AP127" s="315"/>
      <c r="AQ127" s="315">
        <v>6494</v>
      </c>
      <c r="AR127" s="315">
        <v>-295577</v>
      </c>
      <c r="AS127" s="315"/>
      <c r="AT127" s="315"/>
      <c r="AU127" s="315">
        <v>-11558</v>
      </c>
      <c r="AV127" s="315">
        <v>3923165</v>
      </c>
      <c r="AW127" s="315">
        <v>3730455</v>
      </c>
      <c r="AX127" s="315">
        <v>96859</v>
      </c>
      <c r="AY127" s="315"/>
      <c r="AZ127" s="315"/>
      <c r="BA127" s="315"/>
      <c r="BB127" s="315"/>
      <c r="BC127" s="315"/>
      <c r="BD127" s="315">
        <v>95851</v>
      </c>
      <c r="BE127" s="315">
        <v>-1297976</v>
      </c>
      <c r="BF127" s="315">
        <v>-1112993</v>
      </c>
      <c r="BG127" s="315">
        <v>-1112993</v>
      </c>
      <c r="BH127" s="315"/>
      <c r="BI127" s="315">
        <v>-1031213</v>
      </c>
      <c r="BJ127" s="315">
        <v>0</v>
      </c>
      <c r="BK127" s="315">
        <v>-81780</v>
      </c>
      <c r="BL127" s="315">
        <v>-3209</v>
      </c>
      <c r="BM127" s="315">
        <v>-181774</v>
      </c>
      <c r="BN127" s="315">
        <v>2625189</v>
      </c>
      <c r="BO127" s="315">
        <v>-105549</v>
      </c>
      <c r="BP127" s="315">
        <v>8404</v>
      </c>
      <c r="BQ127" s="315">
        <v>9601</v>
      </c>
      <c r="BR127" s="315"/>
      <c r="BS127" s="315">
        <v>3728867</v>
      </c>
      <c r="BT127" s="315"/>
      <c r="BU127" s="315"/>
      <c r="BV127" s="315"/>
      <c r="BW127" s="315"/>
      <c r="BX127" s="315">
        <v>-1016134</v>
      </c>
      <c r="BY127" s="315"/>
      <c r="BZ127" s="315"/>
      <c r="CA127" s="315">
        <v>60039</v>
      </c>
      <c r="CB127" s="315">
        <v>-165481</v>
      </c>
      <c r="CC127" s="315">
        <v>-16756</v>
      </c>
      <c r="CD127" s="315">
        <v>-148725</v>
      </c>
      <c r="CE127" s="315">
        <v>-105442</v>
      </c>
      <c r="CF127" s="315"/>
      <c r="CG127" s="315"/>
      <c r="CH127" s="315"/>
      <c r="CI127" s="315">
        <v>3713869</v>
      </c>
      <c r="CJ127" s="315">
        <v>1143376</v>
      </c>
      <c r="CK127" s="315">
        <v>2570493</v>
      </c>
      <c r="CL127" s="315">
        <v>2449017</v>
      </c>
      <c r="CM127" s="315">
        <v>12449</v>
      </c>
      <c r="CN127" s="315">
        <v>109027</v>
      </c>
      <c r="CO127" s="315">
        <v>0</v>
      </c>
      <c r="CP127" s="315">
        <v>0</v>
      </c>
      <c r="CQ127" s="315">
        <v>109027</v>
      </c>
      <c r="CR127" s="315">
        <v>-2356107</v>
      </c>
      <c r="CS127" s="315">
        <v>-339374</v>
      </c>
      <c r="CT127" s="315">
        <v>-284930</v>
      </c>
      <c r="CU127" s="315">
        <v>-1823</v>
      </c>
      <c r="CV127" s="315">
        <v>-293</v>
      </c>
      <c r="CW127" s="315">
        <v>-52328</v>
      </c>
      <c r="CX127" s="315">
        <v>-1620494</v>
      </c>
      <c r="CY127" s="315">
        <v>-1594754</v>
      </c>
      <c r="CZ127" s="315">
        <v>-9439</v>
      </c>
      <c r="DA127" s="315">
        <v>-16301</v>
      </c>
      <c r="DB127" s="315">
        <v>-309444</v>
      </c>
      <c r="DC127" s="315">
        <v>-86795</v>
      </c>
      <c r="DD127" s="315">
        <v>1357762</v>
      </c>
      <c r="DE127" s="315">
        <v>94349</v>
      </c>
      <c r="DF127" s="315">
        <v>1263413</v>
      </c>
      <c r="DG127" s="315">
        <v>1225481</v>
      </c>
      <c r="DH127" s="315">
        <v>37932</v>
      </c>
      <c r="DI127" s="315">
        <v>1508847</v>
      </c>
      <c r="DJ127" s="315">
        <v>69691</v>
      </c>
      <c r="DK127" s="315">
        <v>21061</v>
      </c>
      <c r="DL127" s="315">
        <v>1222</v>
      </c>
      <c r="DM127" s="315">
        <v>876371</v>
      </c>
      <c r="DN127" s="315">
        <v>473265</v>
      </c>
      <c r="DO127" s="315">
        <v>67038</v>
      </c>
      <c r="DP127" s="315"/>
      <c r="DQ127" s="315"/>
      <c r="DR127" s="315">
        <v>199</v>
      </c>
      <c r="DS127" s="315">
        <v>-19358</v>
      </c>
      <c r="DT127" s="315">
        <v>-9659</v>
      </c>
      <c r="DU127" s="315">
        <v>-1487</v>
      </c>
      <c r="DV127" s="315">
        <v>-34</v>
      </c>
      <c r="DW127" s="315">
        <v>-522</v>
      </c>
      <c r="DX127" s="315"/>
      <c r="DY127" s="315"/>
      <c r="DZ127" s="315"/>
      <c r="EA127" s="315">
        <v>-7177</v>
      </c>
      <c r="EB127" s="315">
        <v>-394</v>
      </c>
      <c r="EC127" s="315"/>
      <c r="ED127" s="315"/>
      <c r="EE127" s="315">
        <v>-85</v>
      </c>
      <c r="EF127" s="315">
        <v>1489489</v>
      </c>
      <c r="EG127" s="315">
        <v>854093</v>
      </c>
      <c r="EH127" s="315">
        <v>635396</v>
      </c>
      <c r="EI127" s="315">
        <v>619544</v>
      </c>
      <c r="EJ127" s="315">
        <v>15852</v>
      </c>
      <c r="EK127" s="315">
        <v>60032</v>
      </c>
      <c r="EL127" s="315">
        <v>30934</v>
      </c>
      <c r="EM127" s="315">
        <v>29098</v>
      </c>
      <c r="EN127" s="315">
        <v>28322</v>
      </c>
      <c r="EO127" s="315">
        <v>776</v>
      </c>
      <c r="EP127" s="315">
        <v>19574</v>
      </c>
      <c r="EQ127" s="315">
        <v>11921</v>
      </c>
      <c r="ER127" s="315">
        <v>7653</v>
      </c>
      <c r="ES127" s="315">
        <v>7448</v>
      </c>
      <c r="ET127" s="315">
        <v>205</v>
      </c>
      <c r="EU127" s="315">
        <v>1188</v>
      </c>
      <c r="EV127" s="315">
        <v>515</v>
      </c>
      <c r="EW127" s="315">
        <v>673</v>
      </c>
      <c r="EX127" s="315">
        <v>653</v>
      </c>
      <c r="EY127" s="315">
        <v>20</v>
      </c>
      <c r="EZ127" s="315">
        <v>875849</v>
      </c>
      <c r="FA127" s="315">
        <v>534325</v>
      </c>
      <c r="FB127" s="315">
        <v>341524</v>
      </c>
      <c r="FC127" s="315">
        <v>332024</v>
      </c>
      <c r="FD127" s="315">
        <v>9500</v>
      </c>
      <c r="FE127" s="315">
        <v>466088</v>
      </c>
      <c r="FF127" s="315">
        <v>275452</v>
      </c>
      <c r="FG127" s="315">
        <v>190636</v>
      </c>
      <c r="FH127" s="315">
        <v>185285</v>
      </c>
      <c r="FI127" s="315">
        <v>5351</v>
      </c>
      <c r="FJ127" s="315">
        <v>66644</v>
      </c>
      <c r="FK127" s="315">
        <v>832</v>
      </c>
      <c r="FL127" s="315">
        <v>65812</v>
      </c>
      <c r="FM127" s="315">
        <v>65812</v>
      </c>
      <c r="FN127" s="315"/>
      <c r="FO127" s="315"/>
      <c r="FP127" s="315"/>
      <c r="FQ127" s="315">
        <v>114</v>
      </c>
      <c r="FR127" s="315">
        <v>352863</v>
      </c>
      <c r="FS127" s="315">
        <v>-10214</v>
      </c>
      <c r="FT127" s="315">
        <v>342649</v>
      </c>
      <c r="FU127" s="315"/>
      <c r="FV127" s="315"/>
      <c r="FW127" s="315"/>
      <c r="FX127" s="315">
        <v>102041</v>
      </c>
      <c r="FY127" s="315">
        <v>100107</v>
      </c>
      <c r="FZ127" s="315"/>
      <c r="GA127" s="315"/>
      <c r="GB127" s="315"/>
      <c r="GC127" s="315">
        <v>40977</v>
      </c>
      <c r="GD127" s="315">
        <v>6855</v>
      </c>
      <c r="GE127" s="315"/>
      <c r="GF127" s="315">
        <v>34122</v>
      </c>
      <c r="GG127" s="315">
        <v>99524</v>
      </c>
      <c r="GH127" s="315">
        <v>23582</v>
      </c>
      <c r="GI127" s="315">
        <v>9230</v>
      </c>
      <c r="GJ127" s="315">
        <v>66712</v>
      </c>
      <c r="GL127"/>
      <c r="GM127"/>
      <c r="GN127"/>
      <c r="GO127"/>
    </row>
    <row r="128" spans="1:199">
      <c r="A128" s="96" t="s">
        <v>23</v>
      </c>
      <c r="B128" s="96">
        <v>1</v>
      </c>
      <c r="C128" s="97" t="s">
        <v>217</v>
      </c>
      <c r="D128" s="314">
        <v>13099549</v>
      </c>
      <c r="E128" s="314">
        <v>-487276</v>
      </c>
      <c r="F128" s="314">
        <v>-11558</v>
      </c>
      <c r="G128" s="314">
        <v>12600715</v>
      </c>
      <c r="H128" s="314">
        <v>9167097</v>
      </c>
      <c r="I128" s="314">
        <v>3433618</v>
      </c>
      <c r="J128" s="314">
        <v>3330232</v>
      </c>
      <c r="K128" s="314">
        <v>103386</v>
      </c>
      <c r="L128" s="314">
        <v>8673681</v>
      </c>
      <c r="M128" s="314">
        <v>7812718</v>
      </c>
      <c r="N128" s="314">
        <v>20963</v>
      </c>
      <c r="O128" s="314"/>
      <c r="P128" s="314"/>
      <c r="Q128" s="314">
        <v>31129</v>
      </c>
      <c r="R128" s="314">
        <v>808871</v>
      </c>
      <c r="S128" s="314">
        <v>-181012</v>
      </c>
      <c r="T128" s="314">
        <v>-177122</v>
      </c>
      <c r="U128" s="314">
        <v>0</v>
      </c>
      <c r="V128" s="314">
        <v>-49932</v>
      </c>
      <c r="W128" s="314">
        <v>0</v>
      </c>
      <c r="X128" s="314">
        <v>-120938</v>
      </c>
      <c r="Y128" s="314">
        <v>-6252</v>
      </c>
      <c r="Z128" s="314">
        <v>-1916</v>
      </c>
      <c r="AA128" s="314">
        <v>-1974</v>
      </c>
      <c r="AB128" s="314">
        <v>0</v>
      </c>
      <c r="AC128" s="314">
        <v>-11558</v>
      </c>
      <c r="AD128" s="314">
        <v>8481111</v>
      </c>
      <c r="AE128" s="314">
        <v>7113168</v>
      </c>
      <c r="AF128" s="314">
        <v>1367943</v>
      </c>
      <c r="AG128" s="314">
        <v>1322224</v>
      </c>
      <c r="AH128" s="314">
        <v>45719</v>
      </c>
      <c r="AI128" s="314">
        <v>7811076</v>
      </c>
      <c r="AJ128" s="314">
        <v>1218718</v>
      </c>
      <c r="AK128" s="314">
        <v>2749111</v>
      </c>
      <c r="AL128" s="314">
        <v>3809791</v>
      </c>
      <c r="AM128" s="314">
        <v>339365</v>
      </c>
      <c r="AN128" s="314">
        <v>274879</v>
      </c>
      <c r="AO128" s="314">
        <v>52478</v>
      </c>
      <c r="AP128" s="314"/>
      <c r="AQ128" s="314">
        <v>141816</v>
      </c>
      <c r="AR128" s="314">
        <v>-156159</v>
      </c>
      <c r="AS128" s="314">
        <v>29213</v>
      </c>
      <c r="AT128" s="314">
        <v>1</v>
      </c>
      <c r="AU128" s="314">
        <v>-11558</v>
      </c>
      <c r="AV128" s="314">
        <v>853783</v>
      </c>
      <c r="AW128" s="314">
        <v>64363</v>
      </c>
      <c r="AX128" s="314">
        <v>41380</v>
      </c>
      <c r="AY128" s="314"/>
      <c r="AZ128" s="314"/>
      <c r="BA128" s="314"/>
      <c r="BB128" s="314"/>
      <c r="BC128" s="314">
        <v>86921</v>
      </c>
      <c r="BD128" s="314">
        <v>661119</v>
      </c>
      <c r="BE128" s="314">
        <v>-85756</v>
      </c>
      <c r="BF128" s="314">
        <v>-83591</v>
      </c>
      <c r="BG128" s="314">
        <v>-78805</v>
      </c>
      <c r="BH128" s="314">
        <v>-4786</v>
      </c>
      <c r="BI128" s="314">
        <v>0</v>
      </c>
      <c r="BJ128" s="314">
        <v>-73580</v>
      </c>
      <c r="BK128" s="314">
        <v>-10011</v>
      </c>
      <c r="BL128" s="314">
        <v>-1951</v>
      </c>
      <c r="BM128" s="314">
        <v>-214</v>
      </c>
      <c r="BN128" s="314">
        <v>768027</v>
      </c>
      <c r="BO128" s="314">
        <v>522226</v>
      </c>
      <c r="BP128" s="314">
        <v>116228</v>
      </c>
      <c r="BQ128" s="314">
        <v>22335</v>
      </c>
      <c r="BR128" s="314"/>
      <c r="BS128" s="314">
        <v>62533</v>
      </c>
      <c r="BT128" s="314"/>
      <c r="BU128" s="314"/>
      <c r="BV128" s="314"/>
      <c r="BW128" s="314"/>
      <c r="BX128" s="314">
        <v>-37425</v>
      </c>
      <c r="BY128" s="314">
        <v>82135</v>
      </c>
      <c r="BZ128" s="314">
        <v>-5</v>
      </c>
      <c r="CA128" s="314">
        <v>452398</v>
      </c>
      <c r="CB128" s="314">
        <v>-2887</v>
      </c>
      <c r="CC128" s="314">
        <v>-2151</v>
      </c>
      <c r="CD128" s="314">
        <v>-736</v>
      </c>
      <c r="CE128" s="314">
        <v>449511</v>
      </c>
      <c r="CF128" s="314">
        <v>106197</v>
      </c>
      <c r="CG128" s="314">
        <v>276</v>
      </c>
      <c r="CH128" s="314">
        <v>343038</v>
      </c>
      <c r="CI128" s="314">
        <v>1257624</v>
      </c>
      <c r="CJ128" s="314">
        <v>634994</v>
      </c>
      <c r="CK128" s="314">
        <v>622630</v>
      </c>
      <c r="CL128" s="314">
        <v>130237</v>
      </c>
      <c r="CM128" s="314">
        <v>366368</v>
      </c>
      <c r="CN128" s="314">
        <v>126025</v>
      </c>
      <c r="CO128" s="314">
        <v>0</v>
      </c>
      <c r="CP128" s="314">
        <v>0</v>
      </c>
      <c r="CQ128" s="314">
        <v>126025</v>
      </c>
      <c r="CR128" s="314">
        <v>-211535</v>
      </c>
      <c r="CS128" s="314">
        <v>-113195</v>
      </c>
      <c r="CT128" s="314">
        <v>0</v>
      </c>
      <c r="CU128" s="314">
        <v>-86217</v>
      </c>
      <c r="CV128" s="314">
        <v>-172</v>
      </c>
      <c r="CW128" s="314">
        <v>-26806</v>
      </c>
      <c r="CX128" s="314">
        <v>-98340</v>
      </c>
      <c r="CY128" s="314">
        <v>0</v>
      </c>
      <c r="CZ128" s="314">
        <v>-94516</v>
      </c>
      <c r="DA128" s="314">
        <v>-3824</v>
      </c>
      <c r="DB128" s="314">
        <v>0</v>
      </c>
      <c r="DC128" s="314">
        <v>0</v>
      </c>
      <c r="DD128" s="314">
        <v>1046089</v>
      </c>
      <c r="DE128" s="314">
        <v>-355685</v>
      </c>
      <c r="DF128" s="314">
        <v>1401774</v>
      </c>
      <c r="DG128" s="314">
        <v>1360624</v>
      </c>
      <c r="DH128" s="314">
        <v>41150</v>
      </c>
      <c r="DI128" s="314">
        <v>1543586</v>
      </c>
      <c r="DJ128" s="314">
        <v>51064</v>
      </c>
      <c r="DK128" s="314">
        <v>17935</v>
      </c>
      <c r="DL128" s="314">
        <v>932</v>
      </c>
      <c r="DM128" s="314">
        <v>857886</v>
      </c>
      <c r="DN128" s="314">
        <v>544068</v>
      </c>
      <c r="DO128" s="314">
        <v>71525</v>
      </c>
      <c r="DP128" s="314"/>
      <c r="DQ128" s="314"/>
      <c r="DR128" s="314">
        <v>176</v>
      </c>
      <c r="DS128" s="314">
        <v>-1436</v>
      </c>
      <c r="DT128" s="314">
        <v>-889</v>
      </c>
      <c r="DU128" s="314">
        <v>-51</v>
      </c>
      <c r="DV128" s="314">
        <v>-33</v>
      </c>
      <c r="DW128" s="314">
        <v>-287</v>
      </c>
      <c r="DX128" s="314"/>
      <c r="DY128" s="314"/>
      <c r="DZ128" s="314"/>
      <c r="EA128" s="314">
        <v>-2</v>
      </c>
      <c r="EB128" s="314">
        <v>-10</v>
      </c>
      <c r="EC128" s="314"/>
      <c r="ED128" s="314"/>
      <c r="EE128" s="314">
        <v>-164</v>
      </c>
      <c r="EF128" s="314">
        <v>1542150</v>
      </c>
      <c r="EG128" s="314">
        <v>878249</v>
      </c>
      <c r="EH128" s="314">
        <v>663901</v>
      </c>
      <c r="EI128" s="314">
        <v>647384</v>
      </c>
      <c r="EJ128" s="314">
        <v>16517</v>
      </c>
      <c r="EK128" s="314">
        <v>50175</v>
      </c>
      <c r="EL128" s="314">
        <v>20680</v>
      </c>
      <c r="EM128" s="314">
        <v>29495</v>
      </c>
      <c r="EN128" s="314">
        <v>28616</v>
      </c>
      <c r="EO128" s="314">
        <v>879</v>
      </c>
      <c r="EP128" s="314">
        <v>17884</v>
      </c>
      <c r="EQ128" s="314">
        <v>9789</v>
      </c>
      <c r="ER128" s="314">
        <v>8095</v>
      </c>
      <c r="ES128" s="314">
        <v>7873</v>
      </c>
      <c r="ET128" s="314">
        <v>222</v>
      </c>
      <c r="EU128" s="314">
        <v>899</v>
      </c>
      <c r="EV128" s="314">
        <v>228</v>
      </c>
      <c r="EW128" s="314">
        <v>671</v>
      </c>
      <c r="EX128" s="314">
        <v>653</v>
      </c>
      <c r="EY128" s="314">
        <v>18</v>
      </c>
      <c r="EZ128" s="314">
        <v>857599</v>
      </c>
      <c r="FA128" s="314">
        <v>504841</v>
      </c>
      <c r="FB128" s="314">
        <v>352758</v>
      </c>
      <c r="FC128" s="314">
        <v>342967</v>
      </c>
      <c r="FD128" s="314">
        <v>9791</v>
      </c>
      <c r="FE128" s="314">
        <v>544066</v>
      </c>
      <c r="FF128" s="314">
        <v>342459</v>
      </c>
      <c r="FG128" s="314">
        <v>201607</v>
      </c>
      <c r="FH128" s="314">
        <v>196000</v>
      </c>
      <c r="FI128" s="314">
        <v>5607</v>
      </c>
      <c r="FJ128" s="314">
        <v>71515</v>
      </c>
      <c r="FK128" s="314">
        <v>240</v>
      </c>
      <c r="FL128" s="314">
        <v>71275</v>
      </c>
      <c r="FM128" s="314">
        <v>71275</v>
      </c>
      <c r="FN128" s="314"/>
      <c r="FO128" s="314"/>
      <c r="FP128" s="314"/>
      <c r="FQ128" s="314">
        <v>12</v>
      </c>
      <c r="FR128" s="314">
        <v>318477</v>
      </c>
      <c r="FS128" s="314">
        <v>-4650</v>
      </c>
      <c r="FT128" s="314">
        <v>313827</v>
      </c>
      <c r="FU128" s="314"/>
      <c r="FV128" s="314"/>
      <c r="FW128" s="314"/>
      <c r="FX128" s="314">
        <v>109866</v>
      </c>
      <c r="FY128" s="314">
        <v>109624</v>
      </c>
      <c r="FZ128" s="314"/>
      <c r="GA128" s="314"/>
      <c r="GB128" s="314"/>
      <c r="GC128" s="314">
        <v>38460</v>
      </c>
      <c r="GD128" s="314">
        <v>3199</v>
      </c>
      <c r="GE128" s="314"/>
      <c r="GF128" s="314">
        <v>35261</v>
      </c>
      <c r="GG128" s="314">
        <v>55877</v>
      </c>
      <c r="GH128" s="314">
        <v>6708</v>
      </c>
      <c r="GI128" s="314">
        <v>2823</v>
      </c>
      <c r="GJ128" s="314">
        <v>46346</v>
      </c>
      <c r="GL128"/>
      <c r="GM128"/>
      <c r="GN128"/>
      <c r="GO128"/>
    </row>
    <row r="129" spans="1:197">
      <c r="A129" s="98" t="s">
        <v>23</v>
      </c>
      <c r="B129" s="98">
        <v>2</v>
      </c>
      <c r="C129" s="98" t="s">
        <v>218</v>
      </c>
      <c r="D129" s="315">
        <v>19563624</v>
      </c>
      <c r="E129" s="315">
        <v>-1317336</v>
      </c>
      <c r="F129" s="315">
        <v>-11789</v>
      </c>
      <c r="G129" s="315">
        <v>18234499</v>
      </c>
      <c r="H129" s="315">
        <v>14800881</v>
      </c>
      <c r="I129" s="315">
        <v>3433618</v>
      </c>
      <c r="J129" s="315">
        <v>3330231</v>
      </c>
      <c r="K129" s="315">
        <v>103387</v>
      </c>
      <c r="L129" s="315">
        <v>3773297</v>
      </c>
      <c r="M129" s="315">
        <v>2798772</v>
      </c>
      <c r="N129" s="315">
        <v>22525</v>
      </c>
      <c r="O129" s="315"/>
      <c r="P129" s="315"/>
      <c r="Q129" s="315">
        <v>36605</v>
      </c>
      <c r="R129" s="315">
        <v>915395</v>
      </c>
      <c r="S129" s="315">
        <v>-174228</v>
      </c>
      <c r="T129" s="315">
        <v>-167561</v>
      </c>
      <c r="U129" s="315">
        <v>-48843</v>
      </c>
      <c r="V129" s="315">
        <v>0</v>
      </c>
      <c r="W129" s="315">
        <v>0</v>
      </c>
      <c r="X129" s="315">
        <v>-107323</v>
      </c>
      <c r="Y129" s="315">
        <v>-11395</v>
      </c>
      <c r="Z129" s="315">
        <v>-2887</v>
      </c>
      <c r="AA129" s="315">
        <v>-3780</v>
      </c>
      <c r="AB129" s="315">
        <v>0</v>
      </c>
      <c r="AC129" s="315">
        <v>-11789</v>
      </c>
      <c r="AD129" s="315">
        <v>3587280</v>
      </c>
      <c r="AE129" s="315">
        <v>2219338</v>
      </c>
      <c r="AF129" s="315">
        <v>1367942</v>
      </c>
      <c r="AG129" s="315">
        <v>1322223</v>
      </c>
      <c r="AH129" s="315">
        <v>45719</v>
      </c>
      <c r="AI129" s="315">
        <v>2795569</v>
      </c>
      <c r="AJ129" s="315">
        <v>795762</v>
      </c>
      <c r="AK129" s="315">
        <v>1921480</v>
      </c>
      <c r="AL129" s="315">
        <v>35724</v>
      </c>
      <c r="AM129" s="315">
        <v>238032</v>
      </c>
      <c r="AN129" s="315">
        <v>30881</v>
      </c>
      <c r="AO129" s="315">
        <v>24761</v>
      </c>
      <c r="AP129" s="315"/>
      <c r="AQ129" s="315">
        <v>621139</v>
      </c>
      <c r="AR129" s="315">
        <v>-145036</v>
      </c>
      <c r="AS129" s="315">
        <v>33718</v>
      </c>
      <c r="AT129" s="315">
        <v>5</v>
      </c>
      <c r="AU129" s="315">
        <v>-11789</v>
      </c>
      <c r="AV129" s="315">
        <v>454963</v>
      </c>
      <c r="AW129" s="315">
        <v>23190</v>
      </c>
      <c r="AX129" s="315">
        <v>135895</v>
      </c>
      <c r="AY129" s="315"/>
      <c r="AZ129" s="315"/>
      <c r="BA129" s="315"/>
      <c r="BB129" s="315"/>
      <c r="BC129" s="315">
        <v>104796</v>
      </c>
      <c r="BD129" s="315">
        <v>191082</v>
      </c>
      <c r="BE129" s="315">
        <v>-515041</v>
      </c>
      <c r="BF129" s="315">
        <v>-175786</v>
      </c>
      <c r="BG129" s="315">
        <v>-161477</v>
      </c>
      <c r="BH129" s="315">
        <v>-14309</v>
      </c>
      <c r="BI129" s="315">
        <v>0</v>
      </c>
      <c r="BJ129" s="315">
        <v>-160503</v>
      </c>
      <c r="BK129" s="315">
        <v>-15283</v>
      </c>
      <c r="BL129" s="315">
        <v>-5828</v>
      </c>
      <c r="BM129" s="315">
        <v>-333427</v>
      </c>
      <c r="BN129" s="315">
        <v>-60078</v>
      </c>
      <c r="BO129" s="315">
        <v>-165123</v>
      </c>
      <c r="BP129" s="315">
        <v>12074</v>
      </c>
      <c r="BQ129" s="315">
        <v>10545</v>
      </c>
      <c r="BR129" s="315"/>
      <c r="BS129" s="315">
        <v>17762</v>
      </c>
      <c r="BT129" s="315"/>
      <c r="BU129" s="315"/>
      <c r="BV129" s="315"/>
      <c r="BW129" s="315"/>
      <c r="BX129" s="315">
        <v>-25582</v>
      </c>
      <c r="BY129" s="315">
        <v>90487</v>
      </c>
      <c r="BZ129" s="315">
        <v>-241</v>
      </c>
      <c r="CA129" s="315">
        <v>149218</v>
      </c>
      <c r="CB129" s="315">
        <v>-291377</v>
      </c>
      <c r="CC129" s="315">
        <v>-4410</v>
      </c>
      <c r="CD129" s="315">
        <v>-286967</v>
      </c>
      <c r="CE129" s="315">
        <v>-142159</v>
      </c>
      <c r="CF129" s="315">
        <v>76802</v>
      </c>
      <c r="CG129" s="315">
        <v>33</v>
      </c>
      <c r="CH129" s="315">
        <v>-218994</v>
      </c>
      <c r="CI129" s="315">
        <v>13495576</v>
      </c>
      <c r="CJ129" s="315">
        <v>1648459</v>
      </c>
      <c r="CK129" s="315">
        <v>11847117</v>
      </c>
      <c r="CL129" s="315">
        <v>5158865</v>
      </c>
      <c r="CM129" s="315">
        <v>6436519</v>
      </c>
      <c r="CN129" s="315">
        <v>251733</v>
      </c>
      <c r="CO129" s="315">
        <v>0</v>
      </c>
      <c r="CP129" s="315">
        <v>0</v>
      </c>
      <c r="CQ129" s="315">
        <v>251733</v>
      </c>
      <c r="CR129" s="315">
        <v>-327039</v>
      </c>
      <c r="CS129" s="315">
        <v>-113993</v>
      </c>
      <c r="CT129" s="315">
        <v>0</v>
      </c>
      <c r="CU129" s="315">
        <v>-92221</v>
      </c>
      <c r="CV129" s="315">
        <v>-971</v>
      </c>
      <c r="CW129" s="315">
        <v>-20801</v>
      </c>
      <c r="CX129" s="315">
        <v>-213046</v>
      </c>
      <c r="CY129" s="315">
        <v>0</v>
      </c>
      <c r="CZ129" s="315">
        <v>-205336</v>
      </c>
      <c r="DA129" s="315">
        <v>-7710</v>
      </c>
      <c r="DB129" s="315">
        <v>0</v>
      </c>
      <c r="DC129" s="315">
        <v>0</v>
      </c>
      <c r="DD129" s="315">
        <v>13168537</v>
      </c>
      <c r="DE129" s="315">
        <v>11766763</v>
      </c>
      <c r="DF129" s="315">
        <v>1401774</v>
      </c>
      <c r="DG129" s="315">
        <v>1360624</v>
      </c>
      <c r="DH129" s="315">
        <v>41150</v>
      </c>
      <c r="DI129" s="315">
        <v>1367261</v>
      </c>
      <c r="DJ129" s="315">
        <v>139263</v>
      </c>
      <c r="DK129" s="315">
        <v>20120</v>
      </c>
      <c r="DL129" s="315">
        <v>2807</v>
      </c>
      <c r="DM129" s="315">
        <v>761118</v>
      </c>
      <c r="DN129" s="315">
        <v>373457</v>
      </c>
      <c r="DO129" s="315">
        <v>70315</v>
      </c>
      <c r="DP129" s="315"/>
      <c r="DQ129" s="315"/>
      <c r="DR129" s="315">
        <v>181</v>
      </c>
      <c r="DS129" s="315">
        <v>-2916</v>
      </c>
      <c r="DT129" s="315">
        <v>-1418</v>
      </c>
      <c r="DU129" s="315">
        <v>-22</v>
      </c>
      <c r="DV129" s="315">
        <v>-10</v>
      </c>
      <c r="DW129" s="315">
        <v>-769</v>
      </c>
      <c r="DX129" s="315"/>
      <c r="DY129" s="315"/>
      <c r="DZ129" s="315"/>
      <c r="EA129" s="315">
        <v>-3</v>
      </c>
      <c r="EB129" s="315">
        <v>-455</v>
      </c>
      <c r="EC129" s="315"/>
      <c r="ED129" s="315"/>
      <c r="EE129" s="315">
        <v>-239</v>
      </c>
      <c r="EF129" s="315">
        <v>1364345</v>
      </c>
      <c r="EG129" s="315">
        <v>700443</v>
      </c>
      <c r="EH129" s="315">
        <v>663902</v>
      </c>
      <c r="EI129" s="315">
        <v>647384</v>
      </c>
      <c r="EJ129" s="315">
        <v>16518</v>
      </c>
      <c r="EK129" s="315">
        <v>137845</v>
      </c>
      <c r="EL129" s="315">
        <v>108349</v>
      </c>
      <c r="EM129" s="315">
        <v>29496</v>
      </c>
      <c r="EN129" s="315">
        <v>28616</v>
      </c>
      <c r="EO129" s="315">
        <v>880</v>
      </c>
      <c r="EP129" s="315">
        <v>20098</v>
      </c>
      <c r="EQ129" s="315">
        <v>12005</v>
      </c>
      <c r="ER129" s="315">
        <v>8093</v>
      </c>
      <c r="ES129" s="315">
        <v>7872</v>
      </c>
      <c r="ET129" s="315">
        <v>221</v>
      </c>
      <c r="EU129" s="315">
        <v>2797</v>
      </c>
      <c r="EV129" s="315">
        <v>2125</v>
      </c>
      <c r="EW129" s="315">
        <v>672</v>
      </c>
      <c r="EX129" s="315">
        <v>654</v>
      </c>
      <c r="EY129" s="315">
        <v>18</v>
      </c>
      <c r="EZ129" s="315">
        <v>760349</v>
      </c>
      <c r="FA129" s="315">
        <v>407591</v>
      </c>
      <c r="FB129" s="315">
        <v>352758</v>
      </c>
      <c r="FC129" s="315">
        <v>342968</v>
      </c>
      <c r="FD129" s="315">
        <v>9790</v>
      </c>
      <c r="FE129" s="315">
        <v>373454</v>
      </c>
      <c r="FF129" s="315">
        <v>171846</v>
      </c>
      <c r="FG129" s="315">
        <v>201608</v>
      </c>
      <c r="FH129" s="315">
        <v>195999</v>
      </c>
      <c r="FI129" s="315">
        <v>5609</v>
      </c>
      <c r="FJ129" s="315">
        <v>69860</v>
      </c>
      <c r="FK129" s="315">
        <v>-1415</v>
      </c>
      <c r="FL129" s="315">
        <v>71275</v>
      </c>
      <c r="FM129" s="315">
        <v>71275</v>
      </c>
      <c r="FN129" s="315"/>
      <c r="FO129" s="315"/>
      <c r="FP129" s="315"/>
      <c r="FQ129" s="315">
        <v>-58</v>
      </c>
      <c r="FR129" s="315">
        <v>323309</v>
      </c>
      <c r="FS129" s="315">
        <v>-6735</v>
      </c>
      <c r="FT129" s="315">
        <v>316574</v>
      </c>
      <c r="FU129" s="315"/>
      <c r="FV129" s="315"/>
      <c r="FW129" s="315"/>
      <c r="FX129" s="315">
        <v>115028</v>
      </c>
      <c r="FY129" s="315">
        <v>109286</v>
      </c>
      <c r="FZ129" s="315"/>
      <c r="GA129" s="315"/>
      <c r="GB129" s="315"/>
      <c r="GC129" s="315">
        <v>34905</v>
      </c>
      <c r="GD129" s="315">
        <v>565</v>
      </c>
      <c r="GE129" s="315"/>
      <c r="GF129" s="315">
        <v>34340</v>
      </c>
      <c r="GG129" s="315">
        <v>57355</v>
      </c>
      <c r="GH129" s="315">
        <v>2198</v>
      </c>
      <c r="GI129" s="315">
        <v>1415</v>
      </c>
      <c r="GJ129" s="315">
        <v>53742</v>
      </c>
      <c r="GL129"/>
      <c r="GM129"/>
      <c r="GN129"/>
      <c r="GO129"/>
    </row>
    <row r="130" spans="1:197">
      <c r="A130" s="98" t="s">
        <v>23</v>
      </c>
      <c r="B130" s="98">
        <v>3</v>
      </c>
      <c r="C130" s="98" t="s">
        <v>219</v>
      </c>
      <c r="D130" s="315">
        <v>9017217</v>
      </c>
      <c r="E130" s="315">
        <v>-1394227</v>
      </c>
      <c r="F130" s="315">
        <v>-11789</v>
      </c>
      <c r="G130" s="315">
        <v>7611201</v>
      </c>
      <c r="H130" s="315">
        <v>4177583</v>
      </c>
      <c r="I130" s="315">
        <v>3433618</v>
      </c>
      <c r="J130" s="315">
        <v>3332232</v>
      </c>
      <c r="K130" s="315">
        <v>101386</v>
      </c>
      <c r="L130" s="315">
        <v>3263099</v>
      </c>
      <c r="M130" s="315">
        <v>3008574</v>
      </c>
      <c r="N130" s="315">
        <v>20135</v>
      </c>
      <c r="O130" s="315"/>
      <c r="P130" s="315"/>
      <c r="Q130" s="315">
        <v>41852</v>
      </c>
      <c r="R130" s="315">
        <v>192538</v>
      </c>
      <c r="S130" s="315">
        <v>-133000</v>
      </c>
      <c r="T130" s="315">
        <v>-119636</v>
      </c>
      <c r="U130" s="315">
        <v>-50631</v>
      </c>
      <c r="V130" s="315">
        <v>0</v>
      </c>
      <c r="W130" s="315">
        <v>-7086</v>
      </c>
      <c r="X130" s="315">
        <v>-51365</v>
      </c>
      <c r="Y130" s="315">
        <v>-10554</v>
      </c>
      <c r="Z130" s="315">
        <v>-7132</v>
      </c>
      <c r="AA130" s="315">
        <v>-6232</v>
      </c>
      <c r="AB130" s="315">
        <v>0</v>
      </c>
      <c r="AC130" s="315">
        <v>-11789</v>
      </c>
      <c r="AD130" s="315">
        <v>3118310</v>
      </c>
      <c r="AE130" s="315">
        <v>1750366</v>
      </c>
      <c r="AF130" s="315">
        <v>1367944</v>
      </c>
      <c r="AG130" s="315">
        <v>1324224</v>
      </c>
      <c r="AH130" s="315">
        <v>43720</v>
      </c>
      <c r="AI130" s="315">
        <v>3004388</v>
      </c>
      <c r="AJ130" s="315">
        <v>827061</v>
      </c>
      <c r="AK130" s="315">
        <v>2127223</v>
      </c>
      <c r="AL130" s="315">
        <v>13436</v>
      </c>
      <c r="AM130" s="315">
        <v>133295</v>
      </c>
      <c r="AN130" s="315">
        <v>26946</v>
      </c>
      <c r="AO130" s="315">
        <v>22591</v>
      </c>
      <c r="AP130" s="315"/>
      <c r="AQ130" s="315">
        <v>7660</v>
      </c>
      <c r="AR130" s="315">
        <v>-99501</v>
      </c>
      <c r="AS130" s="315">
        <v>34720</v>
      </c>
      <c r="AT130" s="315">
        <v>0</v>
      </c>
      <c r="AU130" s="315">
        <v>-11789</v>
      </c>
      <c r="AV130" s="315">
        <v>261500</v>
      </c>
      <c r="AW130" s="315">
        <v>14750</v>
      </c>
      <c r="AX130" s="315">
        <v>84421</v>
      </c>
      <c r="AY130" s="315"/>
      <c r="AZ130" s="315"/>
      <c r="BA130" s="315"/>
      <c r="BB130" s="315"/>
      <c r="BC130" s="315">
        <v>65487</v>
      </c>
      <c r="BD130" s="315">
        <v>96842</v>
      </c>
      <c r="BE130" s="315">
        <v>-134398</v>
      </c>
      <c r="BF130" s="315">
        <v>-104892</v>
      </c>
      <c r="BG130" s="315">
        <v>-100687</v>
      </c>
      <c r="BH130" s="315">
        <v>-4205</v>
      </c>
      <c r="BI130" s="315">
        <v>0</v>
      </c>
      <c r="BJ130" s="315">
        <v>-90795</v>
      </c>
      <c r="BK130" s="315">
        <v>-14097</v>
      </c>
      <c r="BL130" s="315">
        <v>-2109</v>
      </c>
      <c r="BM130" s="315">
        <v>-27397</v>
      </c>
      <c r="BN130" s="315">
        <v>127102</v>
      </c>
      <c r="BO130" s="315">
        <v>48486</v>
      </c>
      <c r="BP130" s="315">
        <v>10537</v>
      </c>
      <c r="BQ130" s="315">
        <v>9618</v>
      </c>
      <c r="BR130" s="315"/>
      <c r="BS130" s="315">
        <v>13446</v>
      </c>
      <c r="BT130" s="315"/>
      <c r="BU130" s="315"/>
      <c r="BV130" s="315"/>
      <c r="BW130" s="315"/>
      <c r="BX130" s="315">
        <v>-16266</v>
      </c>
      <c r="BY130" s="315">
        <v>61282</v>
      </c>
      <c r="BZ130" s="315">
        <v>-1</v>
      </c>
      <c r="CA130" s="315">
        <v>79401</v>
      </c>
      <c r="CB130" s="315">
        <v>-74723</v>
      </c>
      <c r="CC130" s="315">
        <v>-2513</v>
      </c>
      <c r="CD130" s="315">
        <v>-72210</v>
      </c>
      <c r="CE130" s="315">
        <v>4678</v>
      </c>
      <c r="CF130" s="315">
        <v>56123</v>
      </c>
      <c r="CG130" s="315">
        <v>23</v>
      </c>
      <c r="CH130" s="315">
        <v>-51468</v>
      </c>
      <c r="CI130" s="315">
        <v>3689234</v>
      </c>
      <c r="CJ130" s="315">
        <v>1093775</v>
      </c>
      <c r="CK130" s="315">
        <v>2595459</v>
      </c>
      <c r="CL130" s="315">
        <v>2272218</v>
      </c>
      <c r="CM130" s="315">
        <v>26333</v>
      </c>
      <c r="CN130" s="315">
        <v>296908</v>
      </c>
      <c r="CO130" s="315">
        <v>0</v>
      </c>
      <c r="CP130" s="315">
        <v>79317</v>
      </c>
      <c r="CQ130" s="315">
        <v>217591</v>
      </c>
      <c r="CR130" s="315">
        <v>-1010581</v>
      </c>
      <c r="CS130" s="315">
        <v>-281892</v>
      </c>
      <c r="CT130" s="315">
        <v>-166715</v>
      </c>
      <c r="CU130" s="315">
        <v>-83305</v>
      </c>
      <c r="CV130" s="315">
        <v>-234</v>
      </c>
      <c r="CW130" s="315">
        <v>-31638</v>
      </c>
      <c r="CX130" s="315">
        <v>-641966</v>
      </c>
      <c r="CY130" s="315">
        <v>-491233</v>
      </c>
      <c r="CZ130" s="315">
        <v>-146797</v>
      </c>
      <c r="DA130" s="315">
        <v>-3936</v>
      </c>
      <c r="DB130" s="315">
        <v>0</v>
      </c>
      <c r="DC130" s="315">
        <v>-86723</v>
      </c>
      <c r="DD130" s="315">
        <v>2678653</v>
      </c>
      <c r="DE130" s="315">
        <v>1276880</v>
      </c>
      <c r="DF130" s="315">
        <v>1401773</v>
      </c>
      <c r="DG130" s="315">
        <v>1360623</v>
      </c>
      <c r="DH130" s="315">
        <v>41150</v>
      </c>
      <c r="DI130" s="315">
        <v>1407127</v>
      </c>
      <c r="DJ130" s="315">
        <v>150869</v>
      </c>
      <c r="DK130" s="315">
        <v>18183</v>
      </c>
      <c r="DL130" s="315">
        <v>1788</v>
      </c>
      <c r="DM130" s="315">
        <v>791254</v>
      </c>
      <c r="DN130" s="315">
        <v>372167</v>
      </c>
      <c r="DO130" s="315">
        <v>72707</v>
      </c>
      <c r="DP130" s="315"/>
      <c r="DQ130" s="315"/>
      <c r="DR130" s="315">
        <v>159</v>
      </c>
      <c r="DS130" s="315">
        <v>-33778</v>
      </c>
      <c r="DT130" s="315">
        <v>-534</v>
      </c>
      <c r="DU130" s="315">
        <v>-24</v>
      </c>
      <c r="DV130" s="315">
        <v>-19</v>
      </c>
      <c r="DW130" s="315">
        <v>-27449</v>
      </c>
      <c r="DX130" s="315"/>
      <c r="DY130" s="315"/>
      <c r="DZ130" s="315"/>
      <c r="EA130" s="315">
        <v>-5645</v>
      </c>
      <c r="EB130" s="315">
        <v>-82</v>
      </c>
      <c r="EC130" s="315"/>
      <c r="ED130" s="315"/>
      <c r="EE130" s="315">
        <v>-25</v>
      </c>
      <c r="EF130" s="315">
        <v>1373349</v>
      </c>
      <c r="EG130" s="315">
        <v>709448</v>
      </c>
      <c r="EH130" s="315">
        <v>663901</v>
      </c>
      <c r="EI130" s="315">
        <v>647385</v>
      </c>
      <c r="EJ130" s="315">
        <v>16516</v>
      </c>
      <c r="EK130" s="315">
        <v>150335</v>
      </c>
      <c r="EL130" s="315">
        <v>120839</v>
      </c>
      <c r="EM130" s="315">
        <v>29496</v>
      </c>
      <c r="EN130" s="315">
        <v>28616</v>
      </c>
      <c r="EO130" s="315">
        <v>880</v>
      </c>
      <c r="EP130" s="315">
        <v>18159</v>
      </c>
      <c r="EQ130" s="315">
        <v>10065</v>
      </c>
      <c r="ER130" s="315">
        <v>8094</v>
      </c>
      <c r="ES130" s="315">
        <v>7873</v>
      </c>
      <c r="ET130" s="315">
        <v>221</v>
      </c>
      <c r="EU130" s="315">
        <v>1769</v>
      </c>
      <c r="EV130" s="315">
        <v>1098</v>
      </c>
      <c r="EW130" s="315">
        <v>671</v>
      </c>
      <c r="EX130" s="315">
        <v>653</v>
      </c>
      <c r="EY130" s="315">
        <v>18</v>
      </c>
      <c r="EZ130" s="315">
        <v>763805</v>
      </c>
      <c r="FA130" s="315">
        <v>411047</v>
      </c>
      <c r="FB130" s="315">
        <v>352758</v>
      </c>
      <c r="FC130" s="315">
        <v>342967</v>
      </c>
      <c r="FD130" s="315">
        <v>9791</v>
      </c>
      <c r="FE130" s="315">
        <v>366522</v>
      </c>
      <c r="FF130" s="315">
        <v>164915</v>
      </c>
      <c r="FG130" s="315">
        <v>201607</v>
      </c>
      <c r="FH130" s="315">
        <v>196001</v>
      </c>
      <c r="FI130" s="315">
        <v>5606</v>
      </c>
      <c r="FJ130" s="315">
        <v>72625</v>
      </c>
      <c r="FK130" s="315">
        <v>1350</v>
      </c>
      <c r="FL130" s="315">
        <v>71275</v>
      </c>
      <c r="FM130" s="315">
        <v>71275</v>
      </c>
      <c r="FN130" s="315"/>
      <c r="FO130" s="315"/>
      <c r="FP130" s="315"/>
      <c r="FQ130" s="315">
        <v>134</v>
      </c>
      <c r="FR130" s="315">
        <v>316856</v>
      </c>
      <c r="FS130" s="315">
        <v>-7747</v>
      </c>
      <c r="FT130" s="315">
        <v>309109</v>
      </c>
      <c r="FU130" s="315"/>
      <c r="FV130" s="315"/>
      <c r="FW130" s="315"/>
      <c r="FX130" s="315">
        <v>115513</v>
      </c>
      <c r="FY130" s="315">
        <v>100905</v>
      </c>
      <c r="FZ130" s="315"/>
      <c r="GA130" s="315"/>
      <c r="GB130" s="315"/>
      <c r="GC130" s="315">
        <v>52732</v>
      </c>
      <c r="GD130" s="315">
        <v>456</v>
      </c>
      <c r="GE130" s="315"/>
      <c r="GF130" s="315">
        <v>52276</v>
      </c>
      <c r="GG130" s="315">
        <v>39959</v>
      </c>
      <c r="GH130" s="315">
        <v>1814</v>
      </c>
      <c r="GI130" s="315">
        <v>989</v>
      </c>
      <c r="GJ130" s="315">
        <v>37156</v>
      </c>
      <c r="GL130"/>
      <c r="GM130"/>
      <c r="GN130"/>
      <c r="GO130"/>
    </row>
    <row r="131" spans="1:197">
      <c r="A131" s="98" t="s">
        <v>23</v>
      </c>
      <c r="B131" s="98">
        <v>4</v>
      </c>
      <c r="C131" s="98" t="s">
        <v>220</v>
      </c>
      <c r="D131" s="315">
        <v>23466502</v>
      </c>
      <c r="E131" s="315">
        <v>-2319082</v>
      </c>
      <c r="F131" s="315">
        <v>-11789</v>
      </c>
      <c r="G131" s="315">
        <v>21135631</v>
      </c>
      <c r="H131" s="315">
        <v>17702017</v>
      </c>
      <c r="I131" s="315">
        <v>3433614</v>
      </c>
      <c r="J131" s="315">
        <v>3328231</v>
      </c>
      <c r="K131" s="315">
        <v>105383</v>
      </c>
      <c r="L131" s="315">
        <v>7471964</v>
      </c>
      <c r="M131" s="315">
        <v>6221574</v>
      </c>
      <c r="N131" s="315">
        <v>23606</v>
      </c>
      <c r="O131" s="315"/>
      <c r="P131" s="315"/>
      <c r="Q131" s="315">
        <v>38065</v>
      </c>
      <c r="R131" s="315">
        <v>1188719</v>
      </c>
      <c r="S131" s="315">
        <v>-407160</v>
      </c>
      <c r="T131" s="315">
        <v>-397400</v>
      </c>
      <c r="U131" s="315">
        <v>-50482</v>
      </c>
      <c r="V131" s="315">
        <v>0</v>
      </c>
      <c r="W131" s="315">
        <v>-302033</v>
      </c>
      <c r="X131" s="315">
        <v>0</v>
      </c>
      <c r="Y131" s="315">
        <v>-44885</v>
      </c>
      <c r="Z131" s="315">
        <v>-5150</v>
      </c>
      <c r="AA131" s="315">
        <v>-4610</v>
      </c>
      <c r="AB131" s="315">
        <v>0</v>
      </c>
      <c r="AC131" s="315">
        <v>-11789</v>
      </c>
      <c r="AD131" s="315">
        <v>7053015</v>
      </c>
      <c r="AE131" s="315">
        <v>5685073</v>
      </c>
      <c r="AF131" s="315">
        <v>1367942</v>
      </c>
      <c r="AG131" s="315">
        <v>1320223</v>
      </c>
      <c r="AH131" s="315">
        <v>47719</v>
      </c>
      <c r="AI131" s="315">
        <v>6218217</v>
      </c>
      <c r="AJ131" s="315">
        <v>854433</v>
      </c>
      <c r="AK131" s="315">
        <v>2218173</v>
      </c>
      <c r="AL131" s="315">
        <v>3103970</v>
      </c>
      <c r="AM131" s="315">
        <v>183936</v>
      </c>
      <c r="AN131" s="315">
        <v>257551</v>
      </c>
      <c r="AO131" s="315">
        <v>41140</v>
      </c>
      <c r="AP131" s="315"/>
      <c r="AQ131" s="315">
        <v>704481</v>
      </c>
      <c r="AR131" s="315">
        <v>-373794</v>
      </c>
      <c r="AS131" s="315">
        <v>32915</v>
      </c>
      <c r="AT131" s="315">
        <v>358</v>
      </c>
      <c r="AU131" s="315">
        <v>-11789</v>
      </c>
      <c r="AV131" s="315">
        <v>4627064</v>
      </c>
      <c r="AW131" s="315">
        <v>4223919</v>
      </c>
      <c r="AX131" s="315">
        <v>96742</v>
      </c>
      <c r="AY131" s="315"/>
      <c r="AZ131" s="315"/>
      <c r="BA131" s="315"/>
      <c r="BB131" s="315"/>
      <c r="BC131" s="315">
        <v>81779</v>
      </c>
      <c r="BD131" s="315">
        <v>224624</v>
      </c>
      <c r="BE131" s="315">
        <v>-74646</v>
      </c>
      <c r="BF131" s="315">
        <v>-71736</v>
      </c>
      <c r="BG131" s="315">
        <v>-59881</v>
      </c>
      <c r="BH131" s="315">
        <v>-11855</v>
      </c>
      <c r="BI131" s="315">
        <v>0</v>
      </c>
      <c r="BJ131" s="315">
        <v>-58382</v>
      </c>
      <c r="BK131" s="315">
        <v>-13354</v>
      </c>
      <c r="BL131" s="315">
        <v>-1657</v>
      </c>
      <c r="BM131" s="315">
        <v>-1253</v>
      </c>
      <c r="BN131" s="315">
        <v>4552418</v>
      </c>
      <c r="BO131" s="315">
        <v>96461</v>
      </c>
      <c r="BP131" s="315">
        <v>108681</v>
      </c>
      <c r="BQ131" s="315">
        <v>17511</v>
      </c>
      <c r="BR131" s="315"/>
      <c r="BS131" s="315">
        <v>4222931</v>
      </c>
      <c r="BT131" s="315"/>
      <c r="BU131" s="315"/>
      <c r="BV131" s="315"/>
      <c r="BW131" s="315"/>
      <c r="BX131" s="315">
        <v>36861</v>
      </c>
      <c r="BY131" s="315">
        <v>69924</v>
      </c>
      <c r="BZ131" s="315">
        <v>49</v>
      </c>
      <c r="CA131" s="315">
        <v>134081</v>
      </c>
      <c r="CB131" s="315">
        <v>-14196</v>
      </c>
      <c r="CC131" s="315">
        <v>-3082</v>
      </c>
      <c r="CD131" s="315">
        <v>-11114</v>
      </c>
      <c r="CE131" s="315">
        <v>119885</v>
      </c>
      <c r="CF131" s="315">
        <v>85106</v>
      </c>
      <c r="CG131" s="315">
        <v>16689</v>
      </c>
      <c r="CH131" s="315">
        <v>18090</v>
      </c>
      <c r="CI131" s="315">
        <v>9373546</v>
      </c>
      <c r="CJ131" s="315">
        <v>1184113</v>
      </c>
      <c r="CK131" s="315">
        <v>8189433</v>
      </c>
      <c r="CL131" s="315">
        <v>2641213</v>
      </c>
      <c r="CM131" s="315">
        <v>5337484</v>
      </c>
      <c r="CN131" s="315">
        <v>210736</v>
      </c>
      <c r="CO131" s="315">
        <v>0</v>
      </c>
      <c r="CP131" s="315">
        <v>0</v>
      </c>
      <c r="CQ131" s="315">
        <v>210736</v>
      </c>
      <c r="CR131" s="315">
        <v>-1788755</v>
      </c>
      <c r="CS131" s="315">
        <v>-422004</v>
      </c>
      <c r="CT131" s="315">
        <v>-323170</v>
      </c>
      <c r="CU131" s="315">
        <v>-59552</v>
      </c>
      <c r="CV131" s="315">
        <v>-458</v>
      </c>
      <c r="CW131" s="315">
        <v>-38824</v>
      </c>
      <c r="CX131" s="315">
        <v>-981518</v>
      </c>
      <c r="CY131" s="315">
        <v>-843776</v>
      </c>
      <c r="CZ131" s="315">
        <v>-132532</v>
      </c>
      <c r="DA131" s="315">
        <v>-5210</v>
      </c>
      <c r="DB131" s="315">
        <v>-385233</v>
      </c>
      <c r="DC131" s="315">
        <v>0</v>
      </c>
      <c r="DD131" s="315">
        <v>7584791</v>
      </c>
      <c r="DE131" s="315">
        <v>6183018</v>
      </c>
      <c r="DF131" s="315">
        <v>1401773</v>
      </c>
      <c r="DG131" s="315">
        <v>1360624</v>
      </c>
      <c r="DH131" s="315">
        <v>41149</v>
      </c>
      <c r="DI131" s="315">
        <v>1506529</v>
      </c>
      <c r="DJ131" s="315">
        <v>17925</v>
      </c>
      <c r="DK131" s="315">
        <v>15264</v>
      </c>
      <c r="DL131" s="315">
        <v>724</v>
      </c>
      <c r="DM131" s="315">
        <v>899994</v>
      </c>
      <c r="DN131" s="315">
        <v>491837</v>
      </c>
      <c r="DO131" s="315">
        <v>80618</v>
      </c>
      <c r="DP131" s="315"/>
      <c r="DQ131" s="315"/>
      <c r="DR131" s="315">
        <v>167</v>
      </c>
      <c r="DS131" s="315">
        <v>-27540</v>
      </c>
      <c r="DT131" s="315">
        <v>-18581</v>
      </c>
      <c r="DU131" s="315">
        <v>-5516</v>
      </c>
      <c r="DV131" s="315">
        <v>-1171</v>
      </c>
      <c r="DW131" s="315">
        <v>-1014</v>
      </c>
      <c r="DX131" s="315"/>
      <c r="DY131" s="315"/>
      <c r="DZ131" s="315"/>
      <c r="EA131" s="315">
        <v>-1134</v>
      </c>
      <c r="EB131" s="315">
        <v>-86</v>
      </c>
      <c r="EC131" s="315"/>
      <c r="ED131" s="315"/>
      <c r="EE131" s="315">
        <v>-38</v>
      </c>
      <c r="EF131" s="315">
        <v>1478989</v>
      </c>
      <c r="EG131" s="315">
        <v>815090</v>
      </c>
      <c r="EH131" s="315">
        <v>663899</v>
      </c>
      <c r="EI131" s="315">
        <v>647384</v>
      </c>
      <c r="EJ131" s="315">
        <v>16515</v>
      </c>
      <c r="EK131" s="315">
        <v>-656</v>
      </c>
      <c r="EL131" s="315">
        <v>-30151</v>
      </c>
      <c r="EM131" s="315">
        <v>29495</v>
      </c>
      <c r="EN131" s="315">
        <v>28616</v>
      </c>
      <c r="EO131" s="315">
        <v>879</v>
      </c>
      <c r="EP131" s="315">
        <v>9748</v>
      </c>
      <c r="EQ131" s="315">
        <v>1653</v>
      </c>
      <c r="ER131" s="315">
        <v>8095</v>
      </c>
      <c r="ES131" s="315">
        <v>7873</v>
      </c>
      <c r="ET131" s="315">
        <v>222</v>
      </c>
      <c r="EU131" s="315">
        <v>-447</v>
      </c>
      <c r="EV131" s="315">
        <v>-1117</v>
      </c>
      <c r="EW131" s="315">
        <v>670</v>
      </c>
      <c r="EX131" s="315">
        <v>653</v>
      </c>
      <c r="EY131" s="315">
        <v>17</v>
      </c>
      <c r="EZ131" s="315">
        <v>898980</v>
      </c>
      <c r="FA131" s="315">
        <v>546222</v>
      </c>
      <c r="FB131" s="315">
        <v>352758</v>
      </c>
      <c r="FC131" s="315">
        <v>342967</v>
      </c>
      <c r="FD131" s="315">
        <v>9791</v>
      </c>
      <c r="FE131" s="315">
        <v>490703</v>
      </c>
      <c r="FF131" s="315">
        <v>289097</v>
      </c>
      <c r="FG131" s="315">
        <v>201606</v>
      </c>
      <c r="FH131" s="315">
        <v>196000</v>
      </c>
      <c r="FI131" s="315">
        <v>5606</v>
      </c>
      <c r="FJ131" s="315">
        <v>80532</v>
      </c>
      <c r="FK131" s="315">
        <v>9257</v>
      </c>
      <c r="FL131" s="315">
        <v>71275</v>
      </c>
      <c r="FM131" s="315">
        <v>71275</v>
      </c>
      <c r="FN131" s="315"/>
      <c r="FO131" s="315"/>
      <c r="FP131" s="315"/>
      <c r="FQ131" s="315">
        <v>129</v>
      </c>
      <c r="FR131" s="315">
        <v>353318</v>
      </c>
      <c r="FS131" s="315">
        <v>-6785</v>
      </c>
      <c r="FT131" s="315">
        <v>346533</v>
      </c>
      <c r="FU131" s="315"/>
      <c r="FV131" s="315"/>
      <c r="FW131" s="315"/>
      <c r="FX131" s="315">
        <v>114664</v>
      </c>
      <c r="FY131" s="315">
        <v>111808</v>
      </c>
      <c r="FZ131" s="315"/>
      <c r="GA131" s="315"/>
      <c r="GB131" s="315"/>
      <c r="GC131" s="315">
        <v>51214</v>
      </c>
      <c r="GD131" s="315">
        <v>8082</v>
      </c>
      <c r="GE131" s="315"/>
      <c r="GF131" s="315">
        <v>43132</v>
      </c>
      <c r="GG131" s="315">
        <v>68847</v>
      </c>
      <c r="GH131" s="315">
        <v>1829</v>
      </c>
      <c r="GI131" s="315">
        <v>1457</v>
      </c>
      <c r="GJ131" s="315">
        <v>65561</v>
      </c>
      <c r="GL131"/>
      <c r="GM131"/>
      <c r="GN131"/>
      <c r="GO131"/>
    </row>
    <row r="132" spans="1:197">
      <c r="A132" s="98" t="s">
        <v>23</v>
      </c>
      <c r="B132" s="98">
        <v>5</v>
      </c>
      <c r="C132" s="98" t="s">
        <v>221</v>
      </c>
      <c r="D132" s="315">
        <v>9655024</v>
      </c>
      <c r="E132" s="315">
        <v>-3601975</v>
      </c>
      <c r="F132" s="315">
        <v>-11790</v>
      </c>
      <c r="G132" s="315">
        <v>6041259</v>
      </c>
      <c r="H132" s="315">
        <v>2607641</v>
      </c>
      <c r="I132" s="315">
        <v>3433618</v>
      </c>
      <c r="J132" s="315">
        <v>3330233</v>
      </c>
      <c r="K132" s="315">
        <v>103385</v>
      </c>
      <c r="L132" s="315">
        <v>3248389</v>
      </c>
      <c r="M132" s="315">
        <v>2837531</v>
      </c>
      <c r="N132" s="315">
        <v>144668</v>
      </c>
      <c r="O132" s="315"/>
      <c r="P132" s="315"/>
      <c r="Q132" s="315">
        <v>26704</v>
      </c>
      <c r="R132" s="315">
        <v>239486</v>
      </c>
      <c r="S132" s="315">
        <v>-2008505</v>
      </c>
      <c r="T132" s="315">
        <v>-2000564</v>
      </c>
      <c r="U132" s="315">
        <v>-48858</v>
      </c>
      <c r="V132" s="315">
        <v>0</v>
      </c>
      <c r="W132" s="315">
        <v>-1927574</v>
      </c>
      <c r="X132" s="315">
        <v>0</v>
      </c>
      <c r="Y132" s="315">
        <v>-24132</v>
      </c>
      <c r="Z132" s="315">
        <v>-3090</v>
      </c>
      <c r="AA132" s="315">
        <v>-4851</v>
      </c>
      <c r="AB132" s="315">
        <v>0</v>
      </c>
      <c r="AC132" s="315">
        <v>-11790</v>
      </c>
      <c r="AD132" s="315">
        <v>1228094</v>
      </c>
      <c r="AE132" s="315">
        <v>-139849</v>
      </c>
      <c r="AF132" s="315">
        <v>1367943</v>
      </c>
      <c r="AG132" s="315">
        <v>1322224</v>
      </c>
      <c r="AH132" s="315">
        <v>45719</v>
      </c>
      <c r="AI132" s="315">
        <v>2833706</v>
      </c>
      <c r="AJ132" s="315">
        <v>829285</v>
      </c>
      <c r="AK132" s="315">
        <v>1945173</v>
      </c>
      <c r="AL132" s="315">
        <v>21632</v>
      </c>
      <c r="AM132" s="315">
        <v>169362</v>
      </c>
      <c r="AN132" s="315">
        <v>30640</v>
      </c>
      <c r="AO132" s="315">
        <v>27201</v>
      </c>
      <c r="AP132" s="315"/>
      <c r="AQ132" s="315">
        <v>11225</v>
      </c>
      <c r="AR132" s="315">
        <v>-1855896</v>
      </c>
      <c r="AS132" s="315">
        <v>23614</v>
      </c>
      <c r="AT132" s="315">
        <v>32</v>
      </c>
      <c r="AU132" s="315">
        <v>-11790</v>
      </c>
      <c r="AV132" s="315">
        <v>397010</v>
      </c>
      <c r="AW132" s="315">
        <v>29887</v>
      </c>
      <c r="AX132" s="315">
        <v>230057</v>
      </c>
      <c r="AY132" s="315"/>
      <c r="AZ132" s="315"/>
      <c r="BA132" s="315"/>
      <c r="BB132" s="315"/>
      <c r="BC132" s="315">
        <v>40558</v>
      </c>
      <c r="BD132" s="315">
        <v>96508</v>
      </c>
      <c r="BE132" s="315">
        <v>-58450</v>
      </c>
      <c r="BF132" s="315">
        <v>-54558</v>
      </c>
      <c r="BG132" s="315">
        <v>-48774</v>
      </c>
      <c r="BH132" s="315">
        <v>-5784</v>
      </c>
      <c r="BI132" s="315">
        <v>0</v>
      </c>
      <c r="BJ132" s="315">
        <v>-40044</v>
      </c>
      <c r="BK132" s="315">
        <v>-14514</v>
      </c>
      <c r="BL132" s="315">
        <v>-2824</v>
      </c>
      <c r="BM132" s="315">
        <v>-1068</v>
      </c>
      <c r="BN132" s="315">
        <v>338560</v>
      </c>
      <c r="BO132" s="315">
        <v>70989</v>
      </c>
      <c r="BP132" s="315">
        <v>12154</v>
      </c>
      <c r="BQ132" s="315">
        <v>11579</v>
      </c>
      <c r="BR132" s="315"/>
      <c r="BS132" s="315">
        <v>27643</v>
      </c>
      <c r="BT132" s="315"/>
      <c r="BU132" s="315"/>
      <c r="BV132" s="315"/>
      <c r="BW132" s="315"/>
      <c r="BX132" s="315">
        <v>181283</v>
      </c>
      <c r="BY132" s="315">
        <v>34774</v>
      </c>
      <c r="BZ132" s="315">
        <v>138</v>
      </c>
      <c r="CA132" s="315">
        <v>89714</v>
      </c>
      <c r="CB132" s="315">
        <v>-15405</v>
      </c>
      <c r="CC132" s="315">
        <v>-5791</v>
      </c>
      <c r="CD132" s="315">
        <v>-9614</v>
      </c>
      <c r="CE132" s="315">
        <v>74309</v>
      </c>
      <c r="CF132" s="315">
        <v>67647</v>
      </c>
      <c r="CG132" s="315">
        <v>54</v>
      </c>
      <c r="CH132" s="315">
        <v>6608</v>
      </c>
      <c r="CI132" s="315">
        <v>3799841</v>
      </c>
      <c r="CJ132" s="315">
        <v>616815</v>
      </c>
      <c r="CK132" s="315">
        <v>3183026</v>
      </c>
      <c r="CL132" s="315">
        <v>2926386</v>
      </c>
      <c r="CM132" s="315">
        <v>38462</v>
      </c>
      <c r="CN132" s="315">
        <v>218178</v>
      </c>
      <c r="CO132" s="315">
        <v>0</v>
      </c>
      <c r="CP132" s="315">
        <v>0</v>
      </c>
      <c r="CQ132" s="315">
        <v>218178</v>
      </c>
      <c r="CR132" s="315">
        <v>-1509746</v>
      </c>
      <c r="CS132" s="315">
        <v>-568316</v>
      </c>
      <c r="CT132" s="315">
        <v>-492368</v>
      </c>
      <c r="CU132" s="315">
        <v>-52043</v>
      </c>
      <c r="CV132" s="315">
        <v>-135</v>
      </c>
      <c r="CW132" s="315">
        <v>-23770</v>
      </c>
      <c r="CX132" s="315">
        <v>-941430</v>
      </c>
      <c r="CY132" s="315">
        <v>-595102</v>
      </c>
      <c r="CZ132" s="315">
        <v>-344148</v>
      </c>
      <c r="DA132" s="315">
        <v>-2180</v>
      </c>
      <c r="DB132" s="315">
        <v>0</v>
      </c>
      <c r="DC132" s="315">
        <v>0</v>
      </c>
      <c r="DD132" s="315">
        <v>2290095</v>
      </c>
      <c r="DE132" s="315">
        <v>888321</v>
      </c>
      <c r="DF132" s="315">
        <v>1401774</v>
      </c>
      <c r="DG132" s="315">
        <v>1360624</v>
      </c>
      <c r="DH132" s="315">
        <v>41150</v>
      </c>
      <c r="DI132" s="315">
        <v>1590668</v>
      </c>
      <c r="DJ132" s="315">
        <v>52806</v>
      </c>
      <c r="DK132" s="315">
        <v>15575</v>
      </c>
      <c r="DL132" s="315">
        <v>1988</v>
      </c>
      <c r="DM132" s="315">
        <v>834043</v>
      </c>
      <c r="DN132" s="315">
        <v>614229</v>
      </c>
      <c r="DO132" s="315">
        <v>71762</v>
      </c>
      <c r="DP132" s="315"/>
      <c r="DQ132" s="315"/>
      <c r="DR132" s="315">
        <v>265</v>
      </c>
      <c r="DS132" s="315">
        <v>-4876</v>
      </c>
      <c r="DT132" s="315">
        <v>-2445</v>
      </c>
      <c r="DU132" s="315">
        <v>-43</v>
      </c>
      <c r="DV132" s="315">
        <v>-33</v>
      </c>
      <c r="DW132" s="315">
        <v>-961</v>
      </c>
      <c r="DX132" s="315"/>
      <c r="DY132" s="315"/>
      <c r="DZ132" s="315"/>
      <c r="EA132" s="315">
        <v>-849</v>
      </c>
      <c r="EB132" s="315">
        <v>-5</v>
      </c>
      <c r="EC132" s="315"/>
      <c r="ED132" s="315"/>
      <c r="EE132" s="315">
        <v>-540</v>
      </c>
      <c r="EF132" s="315">
        <v>1585792</v>
      </c>
      <c r="EG132" s="315">
        <v>921891</v>
      </c>
      <c r="EH132" s="315">
        <v>663901</v>
      </c>
      <c r="EI132" s="315">
        <v>647385</v>
      </c>
      <c r="EJ132" s="315">
        <v>16516</v>
      </c>
      <c r="EK132" s="315">
        <v>50361</v>
      </c>
      <c r="EL132" s="315">
        <v>20866</v>
      </c>
      <c r="EM132" s="315">
        <v>29495</v>
      </c>
      <c r="EN132" s="315">
        <v>28616</v>
      </c>
      <c r="EO132" s="315">
        <v>879</v>
      </c>
      <c r="EP132" s="315">
        <v>15532</v>
      </c>
      <c r="EQ132" s="315">
        <v>7439</v>
      </c>
      <c r="ER132" s="315">
        <v>8093</v>
      </c>
      <c r="ES132" s="315">
        <v>7872</v>
      </c>
      <c r="ET132" s="315">
        <v>221</v>
      </c>
      <c r="EU132" s="315">
        <v>1955</v>
      </c>
      <c r="EV132" s="315">
        <v>1284</v>
      </c>
      <c r="EW132" s="315">
        <v>671</v>
      </c>
      <c r="EX132" s="315">
        <v>654</v>
      </c>
      <c r="EY132" s="315">
        <v>17</v>
      </c>
      <c r="EZ132" s="315">
        <v>833082</v>
      </c>
      <c r="FA132" s="315">
        <v>480323</v>
      </c>
      <c r="FB132" s="315">
        <v>352759</v>
      </c>
      <c r="FC132" s="315">
        <v>342968</v>
      </c>
      <c r="FD132" s="315">
        <v>9791</v>
      </c>
      <c r="FE132" s="315">
        <v>613380</v>
      </c>
      <c r="FF132" s="315">
        <v>411772</v>
      </c>
      <c r="FG132" s="315">
        <v>201608</v>
      </c>
      <c r="FH132" s="315">
        <v>196000</v>
      </c>
      <c r="FI132" s="315">
        <v>5608</v>
      </c>
      <c r="FJ132" s="315">
        <v>71757</v>
      </c>
      <c r="FK132" s="315">
        <v>482</v>
      </c>
      <c r="FL132" s="315">
        <v>71275</v>
      </c>
      <c r="FM132" s="315">
        <v>71275</v>
      </c>
      <c r="FN132" s="315"/>
      <c r="FO132" s="315"/>
      <c r="FP132" s="315"/>
      <c r="FQ132" s="315">
        <v>-275</v>
      </c>
      <c r="FR132" s="315">
        <v>529402</v>
      </c>
      <c r="FS132" s="315">
        <v>-4993</v>
      </c>
      <c r="FT132" s="315">
        <v>524409</v>
      </c>
      <c r="FU132" s="315"/>
      <c r="FV132" s="315"/>
      <c r="FW132" s="315"/>
      <c r="FX132" s="315">
        <v>114275</v>
      </c>
      <c r="FY132" s="315">
        <v>118483</v>
      </c>
      <c r="FZ132" s="315"/>
      <c r="GA132" s="315"/>
      <c r="GB132" s="315"/>
      <c r="GC132" s="315">
        <v>241762</v>
      </c>
      <c r="GD132" s="315">
        <v>199696</v>
      </c>
      <c r="GE132" s="315"/>
      <c r="GF132" s="315">
        <v>42066</v>
      </c>
      <c r="GG132" s="315">
        <v>49889</v>
      </c>
      <c r="GH132" s="315">
        <v>2017</v>
      </c>
      <c r="GI132" s="315">
        <v>1207</v>
      </c>
      <c r="GJ132" s="315">
        <v>46665</v>
      </c>
      <c r="GL132"/>
      <c r="GM132"/>
      <c r="GN132"/>
      <c r="GO132"/>
    </row>
    <row r="133" spans="1:197">
      <c r="A133" s="98" t="s">
        <v>23</v>
      </c>
      <c r="B133" s="98">
        <v>6</v>
      </c>
      <c r="C133" s="98" t="s">
        <v>222</v>
      </c>
      <c r="D133" s="315">
        <v>10011043</v>
      </c>
      <c r="E133" s="315">
        <v>-5683800</v>
      </c>
      <c r="F133" s="315">
        <v>-11789</v>
      </c>
      <c r="G133" s="315">
        <v>4315454</v>
      </c>
      <c r="H133" s="315">
        <v>881836</v>
      </c>
      <c r="I133" s="315">
        <v>3433618</v>
      </c>
      <c r="J133" s="315">
        <v>3330232</v>
      </c>
      <c r="K133" s="315">
        <v>103386</v>
      </c>
      <c r="L133" s="315">
        <v>4105863</v>
      </c>
      <c r="M133" s="315">
        <v>2943810</v>
      </c>
      <c r="N133" s="315">
        <v>828906</v>
      </c>
      <c r="O133" s="315"/>
      <c r="P133" s="315"/>
      <c r="Q133" s="315">
        <v>34474</v>
      </c>
      <c r="R133" s="315">
        <v>298673</v>
      </c>
      <c r="S133" s="315">
        <v>-2812889</v>
      </c>
      <c r="T133" s="315">
        <v>-2805651</v>
      </c>
      <c r="U133" s="315">
        <v>-52881</v>
      </c>
      <c r="V133" s="315">
        <v>0</v>
      </c>
      <c r="W133" s="315">
        <v>-2735054</v>
      </c>
      <c r="X133" s="315">
        <v>0</v>
      </c>
      <c r="Y133" s="315">
        <v>-17716</v>
      </c>
      <c r="Z133" s="315">
        <v>-2514</v>
      </c>
      <c r="AA133" s="315">
        <v>-4724</v>
      </c>
      <c r="AB133" s="315">
        <v>0</v>
      </c>
      <c r="AC133" s="315">
        <v>-11789</v>
      </c>
      <c r="AD133" s="315">
        <v>1281185</v>
      </c>
      <c r="AE133" s="315">
        <v>-86758</v>
      </c>
      <c r="AF133" s="315">
        <v>1367943</v>
      </c>
      <c r="AG133" s="315">
        <v>1322224</v>
      </c>
      <c r="AH133" s="315">
        <v>45719</v>
      </c>
      <c r="AI133" s="315">
        <v>2940094</v>
      </c>
      <c r="AJ133" s="315">
        <v>976419</v>
      </c>
      <c r="AK133" s="315">
        <v>1905730</v>
      </c>
      <c r="AL133" s="315">
        <v>14860</v>
      </c>
      <c r="AM133" s="315">
        <v>238650</v>
      </c>
      <c r="AN133" s="315">
        <v>29289</v>
      </c>
      <c r="AO133" s="315">
        <v>20489</v>
      </c>
      <c r="AP133" s="315"/>
      <c r="AQ133" s="315">
        <v>9149</v>
      </c>
      <c r="AR133" s="315">
        <v>-1976745</v>
      </c>
      <c r="AS133" s="315">
        <v>31960</v>
      </c>
      <c r="AT133" s="315">
        <v>88</v>
      </c>
      <c r="AU133" s="315">
        <v>-11789</v>
      </c>
      <c r="AV133" s="315">
        <v>335639</v>
      </c>
      <c r="AW133" s="315">
        <v>73366</v>
      </c>
      <c r="AX133" s="315">
        <v>72084</v>
      </c>
      <c r="AY133" s="315"/>
      <c r="AZ133" s="315"/>
      <c r="BA133" s="315"/>
      <c r="BB133" s="315"/>
      <c r="BC133" s="315">
        <v>50882</v>
      </c>
      <c r="BD133" s="315">
        <v>139307</v>
      </c>
      <c r="BE133" s="315">
        <v>-69081</v>
      </c>
      <c r="BF133" s="315">
        <v>-63995</v>
      </c>
      <c r="BG133" s="315">
        <v>-40244</v>
      </c>
      <c r="BH133" s="315">
        <v>-23751</v>
      </c>
      <c r="BI133" s="315">
        <v>0</v>
      </c>
      <c r="BJ133" s="315">
        <v>-53374</v>
      </c>
      <c r="BK133" s="315">
        <v>-10621</v>
      </c>
      <c r="BL133" s="315">
        <v>-3754</v>
      </c>
      <c r="BM133" s="315">
        <v>-1332</v>
      </c>
      <c r="BN133" s="315">
        <v>266558</v>
      </c>
      <c r="BO133" s="315">
        <v>117243</v>
      </c>
      <c r="BP133" s="315">
        <v>11412</v>
      </c>
      <c r="BQ133" s="315">
        <v>8722</v>
      </c>
      <c r="BR133" s="315"/>
      <c r="BS133" s="315">
        <v>69991</v>
      </c>
      <c r="BT133" s="315"/>
      <c r="BU133" s="315"/>
      <c r="BV133" s="315"/>
      <c r="BW133" s="315"/>
      <c r="BX133" s="315">
        <v>31840</v>
      </c>
      <c r="BY133" s="315">
        <v>27131</v>
      </c>
      <c r="BZ133" s="315">
        <v>219</v>
      </c>
      <c r="CA133" s="315">
        <v>124014</v>
      </c>
      <c r="CB133" s="315">
        <v>-38830</v>
      </c>
      <c r="CC133" s="315">
        <v>-26842</v>
      </c>
      <c r="CD133" s="315">
        <v>-11988</v>
      </c>
      <c r="CE133" s="315">
        <v>85184</v>
      </c>
      <c r="CF133" s="315">
        <v>89167</v>
      </c>
      <c r="CG133" s="315">
        <v>258</v>
      </c>
      <c r="CH133" s="315">
        <v>-4241</v>
      </c>
      <c r="CI133" s="315">
        <v>3708234</v>
      </c>
      <c r="CJ133" s="315">
        <v>651119</v>
      </c>
      <c r="CK133" s="315">
        <v>3057115</v>
      </c>
      <c r="CL133" s="315">
        <v>2870280</v>
      </c>
      <c r="CM133" s="315">
        <v>17459</v>
      </c>
      <c r="CN133" s="315">
        <v>169376</v>
      </c>
      <c r="CO133" s="315">
        <v>0</v>
      </c>
      <c r="CP133" s="315">
        <v>0</v>
      </c>
      <c r="CQ133" s="315">
        <v>169376</v>
      </c>
      <c r="CR133" s="315">
        <v>-2744047</v>
      </c>
      <c r="CS133" s="315">
        <v>-1226649</v>
      </c>
      <c r="CT133" s="315">
        <v>-1143087</v>
      </c>
      <c r="CU133" s="315">
        <v>-52788</v>
      </c>
      <c r="CV133" s="315">
        <v>-137</v>
      </c>
      <c r="CW133" s="315">
        <v>-30637</v>
      </c>
      <c r="CX133" s="315">
        <v>-1433832</v>
      </c>
      <c r="CY133" s="315">
        <v>-963649</v>
      </c>
      <c r="CZ133" s="315">
        <v>-468811</v>
      </c>
      <c r="DA133" s="315">
        <v>-1372</v>
      </c>
      <c r="DB133" s="315">
        <v>0</v>
      </c>
      <c r="DC133" s="315">
        <v>-83566</v>
      </c>
      <c r="DD133" s="315">
        <v>964187</v>
      </c>
      <c r="DE133" s="315">
        <v>-437587</v>
      </c>
      <c r="DF133" s="315">
        <v>1401774</v>
      </c>
      <c r="DG133" s="315">
        <v>1360624</v>
      </c>
      <c r="DH133" s="315">
        <v>41150</v>
      </c>
      <c r="DI133" s="315">
        <v>1376219</v>
      </c>
      <c r="DJ133" s="315">
        <v>62774</v>
      </c>
      <c r="DK133" s="315">
        <v>20081</v>
      </c>
      <c r="DL133" s="315">
        <v>1382</v>
      </c>
      <c r="DM133" s="315">
        <v>856550</v>
      </c>
      <c r="DN133" s="315">
        <v>371744</v>
      </c>
      <c r="DO133" s="315">
        <v>63140</v>
      </c>
      <c r="DP133" s="315"/>
      <c r="DQ133" s="315"/>
      <c r="DR133" s="315">
        <v>548</v>
      </c>
      <c r="DS133" s="315">
        <v>-5411</v>
      </c>
      <c r="DT133" s="315">
        <v>-2145</v>
      </c>
      <c r="DU133" s="315">
        <v>-16</v>
      </c>
      <c r="DV133" s="315">
        <v>-5</v>
      </c>
      <c r="DW133" s="315">
        <v>-602</v>
      </c>
      <c r="DX133" s="315"/>
      <c r="DY133" s="315"/>
      <c r="DZ133" s="315"/>
      <c r="EA133" s="315">
        <v>-2537</v>
      </c>
      <c r="EB133" s="315">
        <v>-4</v>
      </c>
      <c r="EC133" s="315"/>
      <c r="ED133" s="315"/>
      <c r="EE133" s="315">
        <v>-102</v>
      </c>
      <c r="EF133" s="315">
        <v>1370808</v>
      </c>
      <c r="EG133" s="315">
        <v>706907</v>
      </c>
      <c r="EH133" s="315">
        <v>663901</v>
      </c>
      <c r="EI133" s="315">
        <v>647384</v>
      </c>
      <c r="EJ133" s="315">
        <v>16517</v>
      </c>
      <c r="EK133" s="315">
        <v>60629</v>
      </c>
      <c r="EL133" s="315">
        <v>31133</v>
      </c>
      <c r="EM133" s="315">
        <v>29496</v>
      </c>
      <c r="EN133" s="315">
        <v>28616</v>
      </c>
      <c r="EO133" s="315">
        <v>880</v>
      </c>
      <c r="EP133" s="315">
        <v>20065</v>
      </c>
      <c r="EQ133" s="315">
        <v>11970</v>
      </c>
      <c r="ER133" s="315">
        <v>8095</v>
      </c>
      <c r="ES133" s="315">
        <v>7873</v>
      </c>
      <c r="ET133" s="315">
        <v>222</v>
      </c>
      <c r="EU133" s="315">
        <v>1377</v>
      </c>
      <c r="EV133" s="315">
        <v>706</v>
      </c>
      <c r="EW133" s="315">
        <v>671</v>
      </c>
      <c r="EX133" s="315">
        <v>653</v>
      </c>
      <c r="EY133" s="315">
        <v>18</v>
      </c>
      <c r="EZ133" s="315">
        <v>855948</v>
      </c>
      <c r="FA133" s="315">
        <v>503191</v>
      </c>
      <c r="FB133" s="315">
        <v>352757</v>
      </c>
      <c r="FC133" s="315">
        <v>342967</v>
      </c>
      <c r="FD133" s="315">
        <v>9790</v>
      </c>
      <c r="FE133" s="315">
        <v>369207</v>
      </c>
      <c r="FF133" s="315">
        <v>167600</v>
      </c>
      <c r="FG133" s="315">
        <v>201607</v>
      </c>
      <c r="FH133" s="315">
        <v>196000</v>
      </c>
      <c r="FI133" s="315">
        <v>5607</v>
      </c>
      <c r="FJ133" s="315">
        <v>63136</v>
      </c>
      <c r="FK133" s="315">
        <v>-8139</v>
      </c>
      <c r="FL133" s="315">
        <v>71275</v>
      </c>
      <c r="FM133" s="315">
        <v>71275</v>
      </c>
      <c r="FN133" s="315"/>
      <c r="FO133" s="315"/>
      <c r="FP133" s="315"/>
      <c r="FQ133" s="315">
        <v>446</v>
      </c>
      <c r="FR133" s="315">
        <v>361074</v>
      </c>
      <c r="FS133" s="315">
        <v>-13542</v>
      </c>
      <c r="FT133" s="315">
        <v>347532</v>
      </c>
      <c r="FU133" s="315"/>
      <c r="FV133" s="315"/>
      <c r="FW133" s="315"/>
      <c r="FX133" s="315">
        <v>116272</v>
      </c>
      <c r="FY133" s="315">
        <v>110027</v>
      </c>
      <c r="FZ133" s="315"/>
      <c r="GA133" s="315"/>
      <c r="GB133" s="315"/>
      <c r="GC133" s="315">
        <v>59684</v>
      </c>
      <c r="GD133" s="315">
        <v>2323</v>
      </c>
      <c r="GE133" s="315"/>
      <c r="GF133" s="315">
        <v>57361</v>
      </c>
      <c r="GG133" s="315">
        <v>61549</v>
      </c>
      <c r="GH133" s="315">
        <v>2850</v>
      </c>
      <c r="GI133" s="315">
        <v>12263</v>
      </c>
      <c r="GJ133" s="315">
        <v>46436</v>
      </c>
      <c r="GL133"/>
      <c r="GM133"/>
      <c r="GN133"/>
      <c r="GO133"/>
    </row>
    <row r="134" spans="1:197">
      <c r="A134" s="98" t="s">
        <v>23</v>
      </c>
      <c r="B134" s="98">
        <v>7</v>
      </c>
      <c r="C134" s="98" t="s">
        <v>223</v>
      </c>
      <c r="D134" s="315">
        <v>26083505</v>
      </c>
      <c r="E134" s="315">
        <v>-5582334</v>
      </c>
      <c r="F134" s="315">
        <v>-11789</v>
      </c>
      <c r="G134" s="315">
        <v>20489382</v>
      </c>
      <c r="H134" s="315">
        <v>17055763</v>
      </c>
      <c r="I134" s="315">
        <v>3433619</v>
      </c>
      <c r="J134" s="315">
        <v>3330231</v>
      </c>
      <c r="K134" s="315">
        <v>103388</v>
      </c>
      <c r="L134" s="315">
        <v>11828769</v>
      </c>
      <c r="M134" s="315">
        <v>7279279</v>
      </c>
      <c r="N134" s="315">
        <v>3198817</v>
      </c>
      <c r="O134" s="315"/>
      <c r="P134" s="315"/>
      <c r="Q134" s="315">
        <v>35503</v>
      </c>
      <c r="R134" s="315">
        <v>1315170</v>
      </c>
      <c r="S134" s="315">
        <v>-2134655</v>
      </c>
      <c r="T134" s="315">
        <v>-2128241</v>
      </c>
      <c r="U134" s="315">
        <v>-51165</v>
      </c>
      <c r="V134" s="315">
        <v>0</v>
      </c>
      <c r="W134" s="315">
        <v>-2059143</v>
      </c>
      <c r="X134" s="315">
        <v>0</v>
      </c>
      <c r="Y134" s="315">
        <v>-17933</v>
      </c>
      <c r="Z134" s="315">
        <v>-2448</v>
      </c>
      <c r="AA134" s="315">
        <v>-3966</v>
      </c>
      <c r="AB134" s="315">
        <v>0</v>
      </c>
      <c r="AC134" s="315">
        <v>-11789</v>
      </c>
      <c r="AD134" s="315">
        <v>9682325</v>
      </c>
      <c r="AE134" s="315">
        <v>8314382</v>
      </c>
      <c r="AF134" s="315">
        <v>1367943</v>
      </c>
      <c r="AG134" s="315">
        <v>1322223</v>
      </c>
      <c r="AH134" s="315">
        <v>45720</v>
      </c>
      <c r="AI134" s="315">
        <v>7276048</v>
      </c>
      <c r="AJ134" s="315">
        <v>1245113</v>
      </c>
      <c r="AK134" s="315">
        <v>2479572</v>
      </c>
      <c r="AL134" s="315">
        <v>3510429</v>
      </c>
      <c r="AM134" s="315">
        <v>263268</v>
      </c>
      <c r="AN134" s="315">
        <v>268579</v>
      </c>
      <c r="AO134" s="315">
        <v>35973</v>
      </c>
      <c r="AP134" s="315"/>
      <c r="AQ134" s="315">
        <v>746615</v>
      </c>
      <c r="AR134" s="315">
        <v>1070576</v>
      </c>
      <c r="AS134" s="315">
        <v>33055</v>
      </c>
      <c r="AT134" s="315">
        <v>0</v>
      </c>
      <c r="AU134" s="315">
        <v>-11789</v>
      </c>
      <c r="AV134" s="315">
        <v>1716798</v>
      </c>
      <c r="AW134" s="315">
        <v>16737</v>
      </c>
      <c r="AX134" s="315">
        <v>1412374</v>
      </c>
      <c r="AY134" s="315"/>
      <c r="AZ134" s="315"/>
      <c r="BA134" s="315"/>
      <c r="BB134" s="315"/>
      <c r="BC134" s="315">
        <v>48093</v>
      </c>
      <c r="BD134" s="315">
        <v>239594</v>
      </c>
      <c r="BE134" s="315">
        <v>-38793</v>
      </c>
      <c r="BF134" s="315">
        <v>-36230</v>
      </c>
      <c r="BG134" s="315">
        <v>-30395</v>
      </c>
      <c r="BH134" s="315">
        <v>-5835</v>
      </c>
      <c r="BI134" s="315">
        <v>0</v>
      </c>
      <c r="BJ134" s="315">
        <v>-27004</v>
      </c>
      <c r="BK134" s="315">
        <v>-9226</v>
      </c>
      <c r="BL134" s="315">
        <v>-2184</v>
      </c>
      <c r="BM134" s="315">
        <v>-379</v>
      </c>
      <c r="BN134" s="315">
        <v>1678005</v>
      </c>
      <c r="BO134" s="315">
        <v>110370</v>
      </c>
      <c r="BP134" s="315">
        <v>113280</v>
      </c>
      <c r="BQ134" s="315">
        <v>15305</v>
      </c>
      <c r="BR134" s="315"/>
      <c r="BS134" s="315">
        <v>14842</v>
      </c>
      <c r="BT134" s="315"/>
      <c r="BU134" s="315"/>
      <c r="BV134" s="315"/>
      <c r="BW134" s="315"/>
      <c r="BX134" s="315">
        <v>1381979</v>
      </c>
      <c r="BY134" s="315">
        <v>42258</v>
      </c>
      <c r="BZ134" s="315">
        <v>-29</v>
      </c>
      <c r="CA134" s="315">
        <v>156092</v>
      </c>
      <c r="CB134" s="315">
        <v>-9523</v>
      </c>
      <c r="CC134" s="315">
        <v>-6110</v>
      </c>
      <c r="CD134" s="315">
        <v>-3413</v>
      </c>
      <c r="CE134" s="315">
        <v>146569</v>
      </c>
      <c r="CF134" s="315">
        <v>129770</v>
      </c>
      <c r="CG134" s="315">
        <v>15</v>
      </c>
      <c r="CH134" s="315">
        <v>16784</v>
      </c>
      <c r="CI134" s="315">
        <v>10317909</v>
      </c>
      <c r="CJ134" s="315">
        <v>669220</v>
      </c>
      <c r="CK134" s="315">
        <v>9648689</v>
      </c>
      <c r="CL134" s="315">
        <v>3292384</v>
      </c>
      <c r="CM134" s="315">
        <v>6147092</v>
      </c>
      <c r="CN134" s="315">
        <v>209213</v>
      </c>
      <c r="CO134" s="315">
        <v>0</v>
      </c>
      <c r="CP134" s="315">
        <v>0</v>
      </c>
      <c r="CQ134" s="315">
        <v>209213</v>
      </c>
      <c r="CR134" s="315">
        <v>-3334741</v>
      </c>
      <c r="CS134" s="315">
        <v>-2367413</v>
      </c>
      <c r="CT134" s="315">
        <v>-2311920</v>
      </c>
      <c r="CU134" s="315">
        <v>-14125</v>
      </c>
      <c r="CV134" s="315">
        <v>-167</v>
      </c>
      <c r="CW134" s="315">
        <v>-41201</v>
      </c>
      <c r="CX134" s="315">
        <v>-704746</v>
      </c>
      <c r="CY134" s="315">
        <v>-521189</v>
      </c>
      <c r="CZ134" s="315">
        <v>-182010</v>
      </c>
      <c r="DA134" s="315">
        <v>-1547</v>
      </c>
      <c r="DB134" s="315">
        <v>-262582</v>
      </c>
      <c r="DC134" s="315">
        <v>0</v>
      </c>
      <c r="DD134" s="315">
        <v>6983168</v>
      </c>
      <c r="DE134" s="315">
        <v>5581394</v>
      </c>
      <c r="DF134" s="315">
        <v>1401774</v>
      </c>
      <c r="DG134" s="315">
        <v>1360624</v>
      </c>
      <c r="DH134" s="315">
        <v>41150</v>
      </c>
      <c r="DI134" s="315">
        <v>1660549</v>
      </c>
      <c r="DJ134" s="315">
        <v>49555</v>
      </c>
      <c r="DK134" s="315">
        <v>19974</v>
      </c>
      <c r="DL134" s="315">
        <v>1397</v>
      </c>
      <c r="DM134" s="315">
        <v>913083</v>
      </c>
      <c r="DN134" s="315">
        <v>602672</v>
      </c>
      <c r="DO134" s="315">
        <v>73511</v>
      </c>
      <c r="DP134" s="315"/>
      <c r="DQ134" s="315"/>
      <c r="DR134" s="315">
        <v>357</v>
      </c>
      <c r="DS134" s="315">
        <v>-59536</v>
      </c>
      <c r="DT134" s="315">
        <v>-16352</v>
      </c>
      <c r="DU134" s="315">
        <v>-3773</v>
      </c>
      <c r="DV134" s="315">
        <v>-27</v>
      </c>
      <c r="DW134" s="315">
        <v>-339</v>
      </c>
      <c r="DX134" s="315"/>
      <c r="DY134" s="315"/>
      <c r="DZ134" s="315"/>
      <c r="EA134" s="315">
        <v>-38995</v>
      </c>
      <c r="EB134" s="315">
        <v>-50</v>
      </c>
      <c r="EC134" s="315"/>
      <c r="ED134" s="315"/>
      <c r="EE134" s="315">
        <v>0</v>
      </c>
      <c r="EF134" s="315">
        <v>1601013</v>
      </c>
      <c r="EG134" s="315">
        <v>937111</v>
      </c>
      <c r="EH134" s="315">
        <v>663902</v>
      </c>
      <c r="EI134" s="315">
        <v>647384</v>
      </c>
      <c r="EJ134" s="315">
        <v>16518</v>
      </c>
      <c r="EK134" s="315">
        <v>33203</v>
      </c>
      <c r="EL134" s="315">
        <v>3707</v>
      </c>
      <c r="EM134" s="315">
        <v>29496</v>
      </c>
      <c r="EN134" s="315">
        <v>28616</v>
      </c>
      <c r="EO134" s="315">
        <v>880</v>
      </c>
      <c r="EP134" s="315">
        <v>16201</v>
      </c>
      <c r="EQ134" s="315">
        <v>8106</v>
      </c>
      <c r="ER134" s="315">
        <v>8095</v>
      </c>
      <c r="ES134" s="315">
        <v>7873</v>
      </c>
      <c r="ET134" s="315">
        <v>222</v>
      </c>
      <c r="EU134" s="315">
        <v>1370</v>
      </c>
      <c r="EV134" s="315">
        <v>699</v>
      </c>
      <c r="EW134" s="315">
        <v>671</v>
      </c>
      <c r="EX134" s="315">
        <v>653</v>
      </c>
      <c r="EY134" s="315">
        <v>18</v>
      </c>
      <c r="EZ134" s="315">
        <v>912744</v>
      </c>
      <c r="FA134" s="315">
        <v>559986</v>
      </c>
      <c r="FB134" s="315">
        <v>352758</v>
      </c>
      <c r="FC134" s="315">
        <v>342967</v>
      </c>
      <c r="FD134" s="315">
        <v>9791</v>
      </c>
      <c r="FE134" s="315">
        <v>563677</v>
      </c>
      <c r="FF134" s="315">
        <v>362070</v>
      </c>
      <c r="FG134" s="315">
        <v>201607</v>
      </c>
      <c r="FH134" s="315">
        <v>196000</v>
      </c>
      <c r="FI134" s="315">
        <v>5607</v>
      </c>
      <c r="FJ134" s="315">
        <v>73461</v>
      </c>
      <c r="FK134" s="315">
        <v>2186</v>
      </c>
      <c r="FL134" s="315">
        <v>71275</v>
      </c>
      <c r="FM134" s="315">
        <v>71275</v>
      </c>
      <c r="FN134" s="315"/>
      <c r="FO134" s="315"/>
      <c r="FP134" s="315"/>
      <c r="FQ134" s="315">
        <v>357</v>
      </c>
      <c r="FR134" s="315">
        <v>403388</v>
      </c>
      <c r="FS134" s="315">
        <v>-5086</v>
      </c>
      <c r="FT134" s="315">
        <v>398302</v>
      </c>
      <c r="FU134" s="315"/>
      <c r="FV134" s="315"/>
      <c r="FW134" s="315"/>
      <c r="FX134" s="315">
        <v>122565</v>
      </c>
      <c r="FY134" s="315">
        <v>112766</v>
      </c>
      <c r="FZ134" s="315"/>
      <c r="GA134" s="315"/>
      <c r="GB134" s="315"/>
      <c r="GC134" s="315">
        <v>76840</v>
      </c>
      <c r="GD134" s="315">
        <v>21340</v>
      </c>
      <c r="GE134" s="315"/>
      <c r="GF134" s="315">
        <v>55500</v>
      </c>
      <c r="GG134" s="315">
        <v>86131</v>
      </c>
      <c r="GH134" s="315">
        <v>7263</v>
      </c>
      <c r="GI134" s="315">
        <v>1003</v>
      </c>
      <c r="GJ134" s="315">
        <v>77865</v>
      </c>
      <c r="GL134"/>
      <c r="GM134"/>
      <c r="GN134"/>
      <c r="GO134"/>
    </row>
    <row r="135" spans="1:197">
      <c r="A135" s="98" t="s">
        <v>23</v>
      </c>
      <c r="B135" s="98">
        <v>8</v>
      </c>
      <c r="C135" s="98" t="s">
        <v>224</v>
      </c>
      <c r="D135" s="315">
        <v>15022105</v>
      </c>
      <c r="E135" s="315">
        <v>-3047016</v>
      </c>
      <c r="F135" s="315">
        <v>-11789</v>
      </c>
      <c r="G135" s="315">
        <v>11963300</v>
      </c>
      <c r="H135" s="315">
        <v>8529682</v>
      </c>
      <c r="I135" s="315">
        <v>3433618</v>
      </c>
      <c r="J135" s="315">
        <v>3330233</v>
      </c>
      <c r="K135" s="315">
        <v>103385</v>
      </c>
      <c r="L135" s="315">
        <v>596400</v>
      </c>
      <c r="M135" s="315">
        <v>496239</v>
      </c>
      <c r="N135" s="315">
        <v>42765</v>
      </c>
      <c r="O135" s="315"/>
      <c r="P135" s="315"/>
      <c r="Q135" s="315">
        <v>30024</v>
      </c>
      <c r="R135" s="315">
        <v>27372</v>
      </c>
      <c r="S135" s="315">
        <v>-508209</v>
      </c>
      <c r="T135" s="315">
        <v>-502057</v>
      </c>
      <c r="U135" s="315">
        <v>-49787</v>
      </c>
      <c r="V135" s="315">
        <v>0</v>
      </c>
      <c r="W135" s="315">
        <v>-443431</v>
      </c>
      <c r="X135" s="315">
        <v>0</v>
      </c>
      <c r="Y135" s="315">
        <v>-8839</v>
      </c>
      <c r="Z135" s="315">
        <v>-1549</v>
      </c>
      <c r="AA135" s="315">
        <v>-4603</v>
      </c>
      <c r="AB135" s="315">
        <v>0</v>
      </c>
      <c r="AC135" s="315">
        <v>-11789</v>
      </c>
      <c r="AD135" s="315">
        <v>76402</v>
      </c>
      <c r="AE135" s="315">
        <v>-1291541</v>
      </c>
      <c r="AF135" s="315">
        <v>1367943</v>
      </c>
      <c r="AG135" s="315">
        <v>1322224</v>
      </c>
      <c r="AH135" s="315">
        <v>45719</v>
      </c>
      <c r="AI135" s="315">
        <v>492249</v>
      </c>
      <c r="AJ135" s="315">
        <v>286848</v>
      </c>
      <c r="AK135" s="315">
        <v>154988</v>
      </c>
      <c r="AL135" s="315">
        <v>20896</v>
      </c>
      <c r="AM135" s="315">
        <v>7015</v>
      </c>
      <c r="AN135" s="315">
        <v>6505</v>
      </c>
      <c r="AO135" s="315">
        <v>2339</v>
      </c>
      <c r="AP135" s="315"/>
      <c r="AQ135" s="315">
        <v>10900</v>
      </c>
      <c r="AR135" s="315">
        <v>-459292</v>
      </c>
      <c r="AS135" s="315">
        <v>28475</v>
      </c>
      <c r="AT135" s="315">
        <v>0</v>
      </c>
      <c r="AU135" s="315">
        <v>-11789</v>
      </c>
      <c r="AV135" s="315">
        <v>11207715</v>
      </c>
      <c r="AW135" s="315">
        <v>11159</v>
      </c>
      <c r="AX135" s="315">
        <v>10668421</v>
      </c>
      <c r="AY135" s="315"/>
      <c r="AZ135" s="315"/>
      <c r="BA135" s="315"/>
      <c r="BB135" s="315"/>
      <c r="BC135" s="315">
        <v>79780</v>
      </c>
      <c r="BD135" s="315">
        <v>448355</v>
      </c>
      <c r="BE135" s="315">
        <v>-22576</v>
      </c>
      <c r="BF135" s="315">
        <v>-22046</v>
      </c>
      <c r="BG135" s="315">
        <v>-15803</v>
      </c>
      <c r="BH135" s="315">
        <v>-6243</v>
      </c>
      <c r="BI135" s="315">
        <v>0</v>
      </c>
      <c r="BJ135" s="315">
        <v>-13712</v>
      </c>
      <c r="BK135" s="315">
        <v>-8334</v>
      </c>
      <c r="BL135" s="315">
        <v>-530</v>
      </c>
      <c r="BM135" s="315">
        <v>0</v>
      </c>
      <c r="BN135" s="315">
        <v>11185139</v>
      </c>
      <c r="BO135" s="315">
        <v>444982</v>
      </c>
      <c r="BP135" s="315">
        <v>1766</v>
      </c>
      <c r="BQ135" s="315">
        <v>992</v>
      </c>
      <c r="BR135" s="315"/>
      <c r="BS135" s="315">
        <v>10878</v>
      </c>
      <c r="BT135" s="315"/>
      <c r="BU135" s="315"/>
      <c r="BV135" s="315"/>
      <c r="BW135" s="315"/>
      <c r="BX135" s="315">
        <v>10652618</v>
      </c>
      <c r="BY135" s="315">
        <v>73537</v>
      </c>
      <c r="BZ135" s="315">
        <v>366</v>
      </c>
      <c r="CA135" s="315">
        <v>463896</v>
      </c>
      <c r="CB135" s="315">
        <v>-5688</v>
      </c>
      <c r="CC135" s="315">
        <v>-5688</v>
      </c>
      <c r="CD135" s="315">
        <v>0</v>
      </c>
      <c r="CE135" s="315">
        <v>458208</v>
      </c>
      <c r="CF135" s="315">
        <v>30528</v>
      </c>
      <c r="CG135" s="315">
        <v>15</v>
      </c>
      <c r="CH135" s="315">
        <v>427665</v>
      </c>
      <c r="CI135" s="315">
        <v>949270</v>
      </c>
      <c r="CJ135" s="315">
        <v>699096</v>
      </c>
      <c r="CK135" s="315">
        <v>250174</v>
      </c>
      <c r="CL135" s="315">
        <v>76212</v>
      </c>
      <c r="CM135" s="315">
        <v>34788</v>
      </c>
      <c r="CN135" s="315">
        <v>139174</v>
      </c>
      <c r="CO135" s="315">
        <v>0</v>
      </c>
      <c r="CP135" s="315">
        <v>0</v>
      </c>
      <c r="CQ135" s="315">
        <v>139174</v>
      </c>
      <c r="CR135" s="315">
        <v>-2495819</v>
      </c>
      <c r="CS135" s="315">
        <v>-1873600</v>
      </c>
      <c r="CT135" s="315">
        <v>-1832510</v>
      </c>
      <c r="CU135" s="315">
        <v>-3231</v>
      </c>
      <c r="CV135" s="315">
        <v>-228</v>
      </c>
      <c r="CW135" s="315">
        <v>-37631</v>
      </c>
      <c r="CX135" s="315">
        <v>-569314</v>
      </c>
      <c r="CY135" s="315">
        <v>-467603</v>
      </c>
      <c r="CZ135" s="315">
        <v>-99759</v>
      </c>
      <c r="DA135" s="315">
        <v>-1952</v>
      </c>
      <c r="DB135" s="315">
        <v>-52905</v>
      </c>
      <c r="DC135" s="315">
        <v>0</v>
      </c>
      <c r="DD135" s="315">
        <v>-1546549</v>
      </c>
      <c r="DE135" s="315">
        <v>-2948323</v>
      </c>
      <c r="DF135" s="315">
        <v>1401774</v>
      </c>
      <c r="DG135" s="315">
        <v>1360624</v>
      </c>
      <c r="DH135" s="315">
        <v>41150</v>
      </c>
      <c r="DI135" s="315">
        <v>1556372</v>
      </c>
      <c r="DJ135" s="315">
        <v>94695</v>
      </c>
      <c r="DK135" s="315">
        <v>25566</v>
      </c>
      <c r="DL135" s="315">
        <v>2378</v>
      </c>
      <c r="DM135" s="315">
        <v>891511</v>
      </c>
      <c r="DN135" s="315">
        <v>474584</v>
      </c>
      <c r="DO135" s="315">
        <v>67475</v>
      </c>
      <c r="DP135" s="315"/>
      <c r="DQ135" s="315"/>
      <c r="DR135" s="315">
        <v>163</v>
      </c>
      <c r="DS135" s="315">
        <v>-2311</v>
      </c>
      <c r="DT135" s="315">
        <v>-1335</v>
      </c>
      <c r="DU135" s="315">
        <v>-33</v>
      </c>
      <c r="DV135" s="315">
        <v>-1</v>
      </c>
      <c r="DW135" s="315">
        <v>-903</v>
      </c>
      <c r="DX135" s="315"/>
      <c r="DY135" s="315"/>
      <c r="DZ135" s="315"/>
      <c r="EA135" s="315">
        <v>-2</v>
      </c>
      <c r="EB135" s="315">
        <v>-12</v>
      </c>
      <c r="EC135" s="315"/>
      <c r="ED135" s="315"/>
      <c r="EE135" s="315">
        <v>-25</v>
      </c>
      <c r="EF135" s="315">
        <v>1554061</v>
      </c>
      <c r="EG135" s="315">
        <v>890160</v>
      </c>
      <c r="EH135" s="315">
        <v>663901</v>
      </c>
      <c r="EI135" s="315">
        <v>647385</v>
      </c>
      <c r="EJ135" s="315">
        <v>16516</v>
      </c>
      <c r="EK135" s="315">
        <v>93360</v>
      </c>
      <c r="EL135" s="315">
        <v>63865</v>
      </c>
      <c r="EM135" s="315">
        <v>29495</v>
      </c>
      <c r="EN135" s="315">
        <v>28616</v>
      </c>
      <c r="EO135" s="315">
        <v>879</v>
      </c>
      <c r="EP135" s="315">
        <v>25533</v>
      </c>
      <c r="EQ135" s="315">
        <v>17441</v>
      </c>
      <c r="ER135" s="315">
        <v>8092</v>
      </c>
      <c r="ES135" s="315">
        <v>7872</v>
      </c>
      <c r="ET135" s="315">
        <v>220</v>
      </c>
      <c r="EU135" s="315">
        <v>2377</v>
      </c>
      <c r="EV135" s="315">
        <v>1705</v>
      </c>
      <c r="EW135" s="315">
        <v>672</v>
      </c>
      <c r="EX135" s="315">
        <v>654</v>
      </c>
      <c r="EY135" s="315">
        <v>18</v>
      </c>
      <c r="EZ135" s="315">
        <v>890608</v>
      </c>
      <c r="FA135" s="315">
        <v>537849</v>
      </c>
      <c r="FB135" s="315">
        <v>352759</v>
      </c>
      <c r="FC135" s="315">
        <v>342968</v>
      </c>
      <c r="FD135" s="315">
        <v>9791</v>
      </c>
      <c r="FE135" s="315">
        <v>474582</v>
      </c>
      <c r="FF135" s="315">
        <v>272974</v>
      </c>
      <c r="FG135" s="315">
        <v>201608</v>
      </c>
      <c r="FH135" s="315">
        <v>196000</v>
      </c>
      <c r="FI135" s="315">
        <v>5608</v>
      </c>
      <c r="FJ135" s="315">
        <v>67463</v>
      </c>
      <c r="FK135" s="315">
        <v>-3812</v>
      </c>
      <c r="FL135" s="315">
        <v>71275</v>
      </c>
      <c r="FM135" s="315">
        <v>71275</v>
      </c>
      <c r="FN135" s="315"/>
      <c r="FO135" s="315"/>
      <c r="FP135" s="315"/>
      <c r="FQ135" s="315">
        <v>138</v>
      </c>
      <c r="FR135" s="315">
        <v>248452</v>
      </c>
      <c r="FS135" s="315">
        <v>-12413</v>
      </c>
      <c r="FT135" s="315">
        <v>236039</v>
      </c>
      <c r="FU135" s="315"/>
      <c r="FV135" s="315"/>
      <c r="FW135" s="315"/>
      <c r="FX135" s="315">
        <v>146053</v>
      </c>
      <c r="FY135" s="315">
        <v>3192</v>
      </c>
      <c r="FZ135" s="315"/>
      <c r="GA135" s="315"/>
      <c r="GB135" s="315"/>
      <c r="GC135" s="315">
        <v>57216</v>
      </c>
      <c r="GD135" s="315">
        <v>3342</v>
      </c>
      <c r="GE135" s="315"/>
      <c r="GF135" s="315">
        <v>53874</v>
      </c>
      <c r="GG135" s="315">
        <v>29578</v>
      </c>
      <c r="GH135" s="315">
        <v>2696</v>
      </c>
      <c r="GI135" s="315">
        <v>1477</v>
      </c>
      <c r="GJ135" s="315">
        <v>25405</v>
      </c>
      <c r="GL135"/>
      <c r="GM135"/>
      <c r="GN135"/>
      <c r="GO135"/>
    </row>
    <row r="136" spans="1:197">
      <c r="A136" s="98" t="s">
        <v>23</v>
      </c>
      <c r="B136" s="98">
        <v>9</v>
      </c>
      <c r="C136" s="98" t="s">
        <v>225</v>
      </c>
      <c r="D136" s="315">
        <v>15012390</v>
      </c>
      <c r="E136" s="315">
        <v>-3439544</v>
      </c>
      <c r="F136" s="315">
        <v>-11789</v>
      </c>
      <c r="G136" s="315">
        <v>11561057</v>
      </c>
      <c r="H136" s="315">
        <v>8127440</v>
      </c>
      <c r="I136" s="315">
        <v>3433617</v>
      </c>
      <c r="J136" s="315">
        <v>3330231</v>
      </c>
      <c r="K136" s="315">
        <v>103386</v>
      </c>
      <c r="L136" s="315">
        <v>5830745</v>
      </c>
      <c r="M136" s="315">
        <v>5250122</v>
      </c>
      <c r="N136" s="315">
        <v>44348</v>
      </c>
      <c r="O136" s="315"/>
      <c r="P136" s="315"/>
      <c r="Q136" s="315">
        <v>34084</v>
      </c>
      <c r="R136" s="315">
        <v>502191</v>
      </c>
      <c r="S136" s="315">
        <v>-652393</v>
      </c>
      <c r="T136" s="315">
        <v>-644343</v>
      </c>
      <c r="U136" s="315">
        <v>-51570</v>
      </c>
      <c r="V136" s="315">
        <v>0</v>
      </c>
      <c r="W136" s="315">
        <v>-580599</v>
      </c>
      <c r="X136" s="315">
        <v>0</v>
      </c>
      <c r="Y136" s="315">
        <v>-12174</v>
      </c>
      <c r="Z136" s="315">
        <v>-2376</v>
      </c>
      <c r="AA136" s="315">
        <v>-5674</v>
      </c>
      <c r="AB136" s="315">
        <v>0</v>
      </c>
      <c r="AC136" s="315">
        <v>-11789</v>
      </c>
      <c r="AD136" s="315">
        <v>5166563</v>
      </c>
      <c r="AE136" s="315">
        <v>3798620</v>
      </c>
      <c r="AF136" s="315">
        <v>1367943</v>
      </c>
      <c r="AG136" s="315">
        <v>1322224</v>
      </c>
      <c r="AH136" s="315">
        <v>45719</v>
      </c>
      <c r="AI136" s="315">
        <v>5245673</v>
      </c>
      <c r="AJ136" s="315">
        <v>1358033</v>
      </c>
      <c r="AK136" s="315">
        <v>3841848</v>
      </c>
      <c r="AL136" s="315">
        <v>8865</v>
      </c>
      <c r="AM136" s="315">
        <v>402263</v>
      </c>
      <c r="AN136" s="315">
        <v>50450</v>
      </c>
      <c r="AO136" s="315">
        <v>41887</v>
      </c>
      <c r="AP136" s="315"/>
      <c r="AQ136" s="315">
        <v>6364</v>
      </c>
      <c r="AR136" s="315">
        <v>-599995</v>
      </c>
      <c r="AS136" s="315">
        <v>31708</v>
      </c>
      <c r="AT136" s="315">
        <v>2</v>
      </c>
      <c r="AU136" s="315">
        <v>-11789</v>
      </c>
      <c r="AV136" s="315">
        <v>485761</v>
      </c>
      <c r="AW136" s="315">
        <v>12745</v>
      </c>
      <c r="AX136" s="315">
        <v>222140</v>
      </c>
      <c r="AY136" s="315"/>
      <c r="AZ136" s="315"/>
      <c r="BA136" s="315"/>
      <c r="BB136" s="315"/>
      <c r="BC136" s="315">
        <v>40742</v>
      </c>
      <c r="BD136" s="315">
        <v>210134</v>
      </c>
      <c r="BE136" s="315">
        <v>-469750</v>
      </c>
      <c r="BF136" s="315">
        <v>-30186</v>
      </c>
      <c r="BG136" s="315">
        <v>-22963</v>
      </c>
      <c r="BH136" s="315">
        <v>-7223</v>
      </c>
      <c r="BI136" s="315">
        <v>0</v>
      </c>
      <c r="BJ136" s="315">
        <v>-7235</v>
      </c>
      <c r="BK136" s="315">
        <v>-22951</v>
      </c>
      <c r="BL136" s="315">
        <v>-1711</v>
      </c>
      <c r="BM136" s="315">
        <v>-437853</v>
      </c>
      <c r="BN136" s="315">
        <v>16011</v>
      </c>
      <c r="BO136" s="315">
        <v>-266915</v>
      </c>
      <c r="BP136" s="315">
        <v>20743</v>
      </c>
      <c r="BQ136" s="315">
        <v>17831</v>
      </c>
      <c r="BR136" s="315"/>
      <c r="BS136" s="315">
        <v>11611</v>
      </c>
      <c r="BT136" s="315"/>
      <c r="BU136" s="315"/>
      <c r="BV136" s="315"/>
      <c r="BW136" s="315"/>
      <c r="BX136" s="315">
        <v>199177</v>
      </c>
      <c r="BY136" s="315">
        <v>33519</v>
      </c>
      <c r="BZ136" s="315">
        <v>45</v>
      </c>
      <c r="CA136" s="315">
        <v>185943</v>
      </c>
      <c r="CB136" s="315">
        <v>-362272</v>
      </c>
      <c r="CC136" s="315">
        <v>-4029</v>
      </c>
      <c r="CD136" s="315">
        <v>-358243</v>
      </c>
      <c r="CE136" s="315">
        <v>-176329</v>
      </c>
      <c r="CF136" s="315">
        <v>176138</v>
      </c>
      <c r="CG136" s="315">
        <v>-14</v>
      </c>
      <c r="CH136" s="315">
        <v>-352453</v>
      </c>
      <c r="CI136" s="315">
        <v>6498488</v>
      </c>
      <c r="CJ136" s="315">
        <v>584295</v>
      </c>
      <c r="CK136" s="315">
        <v>5914193</v>
      </c>
      <c r="CL136" s="315">
        <v>5748335</v>
      </c>
      <c r="CM136" s="315">
        <v>13532</v>
      </c>
      <c r="CN136" s="315">
        <v>152326</v>
      </c>
      <c r="CO136" s="315">
        <v>0</v>
      </c>
      <c r="CP136" s="315">
        <v>0</v>
      </c>
      <c r="CQ136" s="315">
        <v>152326</v>
      </c>
      <c r="CR136" s="315">
        <v>-1934839</v>
      </c>
      <c r="CS136" s="315">
        <v>-883201</v>
      </c>
      <c r="CT136" s="315">
        <v>-856146</v>
      </c>
      <c r="CU136" s="315">
        <v>-3323</v>
      </c>
      <c r="CV136" s="315">
        <v>-234</v>
      </c>
      <c r="CW136" s="315">
        <v>-23498</v>
      </c>
      <c r="CX136" s="315">
        <v>-988994</v>
      </c>
      <c r="CY136" s="315">
        <v>-932317</v>
      </c>
      <c r="CZ136" s="315">
        <v>-49326</v>
      </c>
      <c r="DA136" s="315">
        <v>-7351</v>
      </c>
      <c r="DB136" s="315">
        <v>0</v>
      </c>
      <c r="DC136" s="315">
        <v>-62644</v>
      </c>
      <c r="DD136" s="315">
        <v>4563649</v>
      </c>
      <c r="DE136" s="315">
        <v>3161877</v>
      </c>
      <c r="DF136" s="315">
        <v>1401772</v>
      </c>
      <c r="DG136" s="315">
        <v>1360623</v>
      </c>
      <c r="DH136" s="315">
        <v>41149</v>
      </c>
      <c r="DI136" s="315">
        <v>1572804</v>
      </c>
      <c r="DJ136" s="315">
        <v>84682</v>
      </c>
      <c r="DK136" s="315">
        <v>27542</v>
      </c>
      <c r="DL136" s="315">
        <v>1326</v>
      </c>
      <c r="DM136" s="315">
        <v>875179</v>
      </c>
      <c r="DN136" s="315">
        <v>510902</v>
      </c>
      <c r="DO136" s="315">
        <v>73024</v>
      </c>
      <c r="DP136" s="315"/>
      <c r="DQ136" s="315"/>
      <c r="DR136" s="315">
        <v>149</v>
      </c>
      <c r="DS136" s="315">
        <v>-10618</v>
      </c>
      <c r="DT136" s="315">
        <v>-807</v>
      </c>
      <c r="DU136" s="315">
        <v>-29</v>
      </c>
      <c r="DV136" s="315">
        <v>-27</v>
      </c>
      <c r="DW136" s="315">
        <v>-314</v>
      </c>
      <c r="DX136" s="315"/>
      <c r="DY136" s="315"/>
      <c r="DZ136" s="315"/>
      <c r="EA136" s="315">
        <v>-9131</v>
      </c>
      <c r="EB136" s="315">
        <v>-11</v>
      </c>
      <c r="EC136" s="315"/>
      <c r="ED136" s="315"/>
      <c r="EE136" s="315">
        <v>-299</v>
      </c>
      <c r="EF136" s="315">
        <v>1562186</v>
      </c>
      <c r="EG136" s="315">
        <v>898284</v>
      </c>
      <c r="EH136" s="315">
        <v>663902</v>
      </c>
      <c r="EI136" s="315">
        <v>647384</v>
      </c>
      <c r="EJ136" s="315">
        <v>16518</v>
      </c>
      <c r="EK136" s="315">
        <v>83875</v>
      </c>
      <c r="EL136" s="315">
        <v>54379</v>
      </c>
      <c r="EM136" s="315">
        <v>29496</v>
      </c>
      <c r="EN136" s="315">
        <v>28616</v>
      </c>
      <c r="EO136" s="315">
        <v>880</v>
      </c>
      <c r="EP136" s="315">
        <v>27513</v>
      </c>
      <c r="EQ136" s="315">
        <v>19418</v>
      </c>
      <c r="ER136" s="315">
        <v>8095</v>
      </c>
      <c r="ES136" s="315">
        <v>7873</v>
      </c>
      <c r="ET136" s="315">
        <v>222</v>
      </c>
      <c r="EU136" s="315">
        <v>1299</v>
      </c>
      <c r="EV136" s="315">
        <v>628</v>
      </c>
      <c r="EW136" s="315">
        <v>671</v>
      </c>
      <c r="EX136" s="315">
        <v>653</v>
      </c>
      <c r="EY136" s="315">
        <v>18</v>
      </c>
      <c r="EZ136" s="315">
        <v>874865</v>
      </c>
      <c r="FA136" s="315">
        <v>522107</v>
      </c>
      <c r="FB136" s="315">
        <v>352758</v>
      </c>
      <c r="FC136" s="315">
        <v>342967</v>
      </c>
      <c r="FD136" s="315">
        <v>9791</v>
      </c>
      <c r="FE136" s="315">
        <v>501771</v>
      </c>
      <c r="FF136" s="315">
        <v>300164</v>
      </c>
      <c r="FG136" s="315">
        <v>201607</v>
      </c>
      <c r="FH136" s="315">
        <v>196000</v>
      </c>
      <c r="FI136" s="315">
        <v>5607</v>
      </c>
      <c r="FJ136" s="315">
        <v>73013</v>
      </c>
      <c r="FK136" s="315">
        <v>1738</v>
      </c>
      <c r="FL136" s="315">
        <v>71275</v>
      </c>
      <c r="FM136" s="315">
        <v>71275</v>
      </c>
      <c r="FN136" s="315"/>
      <c r="FO136" s="315"/>
      <c r="FP136" s="315"/>
      <c r="FQ136" s="315">
        <v>-150</v>
      </c>
      <c r="FR136" s="315">
        <v>438649</v>
      </c>
      <c r="FS136" s="315">
        <v>-9672</v>
      </c>
      <c r="FT136" s="315">
        <v>428977</v>
      </c>
      <c r="FU136" s="315"/>
      <c r="FV136" s="315"/>
      <c r="FW136" s="315"/>
      <c r="FX136" s="315">
        <v>123717</v>
      </c>
      <c r="FY136" s="315">
        <v>222404</v>
      </c>
      <c r="FZ136" s="315"/>
      <c r="GA136" s="315"/>
      <c r="GB136" s="315"/>
      <c r="GC136" s="315">
        <v>32253.999999999996</v>
      </c>
      <c r="GD136" s="315">
        <v>462</v>
      </c>
      <c r="GE136" s="315"/>
      <c r="GF136" s="315">
        <v>31791.999999999996</v>
      </c>
      <c r="GG136" s="315">
        <v>50602</v>
      </c>
      <c r="GH136" s="315">
        <v>2107</v>
      </c>
      <c r="GI136" s="315">
        <v>685</v>
      </c>
      <c r="GJ136" s="315">
        <v>47810</v>
      </c>
      <c r="GL136"/>
      <c r="GM136"/>
      <c r="GN136"/>
      <c r="GO136"/>
    </row>
    <row r="137" spans="1:197">
      <c r="A137" s="98" t="s">
        <v>23</v>
      </c>
      <c r="B137" s="98">
        <v>10</v>
      </c>
      <c r="C137" s="98" t="s">
        <v>226</v>
      </c>
      <c r="D137" s="315">
        <v>30158314</v>
      </c>
      <c r="E137" s="315">
        <v>-2806033</v>
      </c>
      <c r="F137" s="315">
        <v>-11789</v>
      </c>
      <c r="G137" s="315">
        <v>27340492</v>
      </c>
      <c r="H137" s="315">
        <v>20944027</v>
      </c>
      <c r="I137" s="315">
        <v>6396465</v>
      </c>
      <c r="J137" s="315">
        <v>6293081</v>
      </c>
      <c r="K137" s="315">
        <v>103384</v>
      </c>
      <c r="L137" s="315">
        <v>7531752</v>
      </c>
      <c r="M137" s="315">
        <v>6151480</v>
      </c>
      <c r="N137" s="315">
        <v>44070</v>
      </c>
      <c r="O137" s="315"/>
      <c r="P137" s="315"/>
      <c r="Q137" s="315">
        <v>98122</v>
      </c>
      <c r="R137" s="315">
        <v>1238080</v>
      </c>
      <c r="S137" s="315">
        <v>-427272</v>
      </c>
      <c r="T137" s="315">
        <v>-418002</v>
      </c>
      <c r="U137" s="315">
        <v>-43867</v>
      </c>
      <c r="V137" s="315">
        <v>0</v>
      </c>
      <c r="W137" s="315">
        <v>-360975</v>
      </c>
      <c r="X137" s="315">
        <v>0</v>
      </c>
      <c r="Y137" s="315">
        <v>-13160</v>
      </c>
      <c r="Z137" s="315">
        <v>-1488</v>
      </c>
      <c r="AA137" s="315">
        <v>-7782</v>
      </c>
      <c r="AB137" s="315">
        <v>0</v>
      </c>
      <c r="AC137" s="315">
        <v>-11789</v>
      </c>
      <c r="AD137" s="315">
        <v>7092691</v>
      </c>
      <c r="AE137" s="315">
        <v>3655247</v>
      </c>
      <c r="AF137" s="315">
        <v>3437444</v>
      </c>
      <c r="AG137" s="315">
        <v>3391725</v>
      </c>
      <c r="AH137" s="315">
        <v>45719</v>
      </c>
      <c r="AI137" s="315">
        <v>6144225</v>
      </c>
      <c r="AJ137" s="315">
        <v>826623</v>
      </c>
      <c r="AK137" s="315">
        <v>1926705</v>
      </c>
      <c r="AL137" s="315">
        <v>3345401</v>
      </c>
      <c r="AM137" s="315">
        <v>194220</v>
      </c>
      <c r="AN137" s="315">
        <v>276739</v>
      </c>
      <c r="AO137" s="315">
        <v>30610</v>
      </c>
      <c r="AP137" s="315"/>
      <c r="AQ137" s="315">
        <v>735715</v>
      </c>
      <c r="AR137" s="315">
        <v>-373932</v>
      </c>
      <c r="AS137" s="315">
        <v>96634</v>
      </c>
      <c r="AT137" s="315">
        <v>269</v>
      </c>
      <c r="AU137" s="315">
        <v>-11789</v>
      </c>
      <c r="AV137" s="315">
        <v>10324491</v>
      </c>
      <c r="AW137" s="315">
        <v>9642341</v>
      </c>
      <c r="AX137" s="315">
        <v>276291</v>
      </c>
      <c r="AY137" s="315"/>
      <c r="AZ137" s="315"/>
      <c r="BA137" s="315"/>
      <c r="BB137" s="315"/>
      <c r="BC137" s="315">
        <v>47258</v>
      </c>
      <c r="BD137" s="315">
        <v>358601</v>
      </c>
      <c r="BE137" s="315">
        <v>-278651</v>
      </c>
      <c r="BF137" s="315">
        <v>-275385</v>
      </c>
      <c r="BG137" s="315">
        <v>-272514</v>
      </c>
      <c r="BH137" s="315">
        <v>-2871</v>
      </c>
      <c r="BI137" s="315">
        <v>-258090</v>
      </c>
      <c r="BJ137" s="315">
        <v>0</v>
      </c>
      <c r="BK137" s="315">
        <v>-17295</v>
      </c>
      <c r="BL137" s="315">
        <v>-2371</v>
      </c>
      <c r="BM137" s="315">
        <v>-895</v>
      </c>
      <c r="BN137" s="315">
        <v>10045840</v>
      </c>
      <c r="BO137" s="315">
        <v>227679</v>
      </c>
      <c r="BP137" s="315">
        <v>116631</v>
      </c>
      <c r="BQ137" s="315">
        <v>13029</v>
      </c>
      <c r="BR137" s="315"/>
      <c r="BS137" s="315">
        <v>9640128</v>
      </c>
      <c r="BT137" s="315"/>
      <c r="BU137" s="315"/>
      <c r="BV137" s="315"/>
      <c r="BW137" s="315"/>
      <c r="BX137" s="315">
        <v>3777</v>
      </c>
      <c r="BY137" s="315">
        <v>44387</v>
      </c>
      <c r="BZ137" s="315">
        <v>209</v>
      </c>
      <c r="CA137" s="315">
        <v>262678</v>
      </c>
      <c r="CB137" s="315">
        <v>-8216</v>
      </c>
      <c r="CC137" s="315">
        <v>-7483</v>
      </c>
      <c r="CD137" s="315">
        <v>-733</v>
      </c>
      <c r="CE137" s="315">
        <v>254462</v>
      </c>
      <c r="CF137" s="315">
        <v>92718</v>
      </c>
      <c r="CG137" s="315">
        <v>32467</v>
      </c>
      <c r="CH137" s="315">
        <v>129277</v>
      </c>
      <c r="CI137" s="315">
        <v>9824987</v>
      </c>
      <c r="CJ137" s="315">
        <v>642906</v>
      </c>
      <c r="CK137" s="315">
        <v>9182081</v>
      </c>
      <c r="CL137" s="315">
        <v>3140334</v>
      </c>
      <c r="CM137" s="315">
        <v>5863586</v>
      </c>
      <c r="CN137" s="315">
        <v>178161</v>
      </c>
      <c r="CO137" s="315">
        <v>0</v>
      </c>
      <c r="CP137" s="315">
        <v>0</v>
      </c>
      <c r="CQ137" s="315">
        <v>178161</v>
      </c>
      <c r="CR137" s="315">
        <v>-2018699</v>
      </c>
      <c r="CS137" s="315">
        <v>-1020395</v>
      </c>
      <c r="CT137" s="315">
        <v>-958519</v>
      </c>
      <c r="CU137" s="315">
        <v>-6344</v>
      </c>
      <c r="CV137" s="315">
        <v>-256</v>
      </c>
      <c r="CW137" s="315">
        <v>-55276</v>
      </c>
      <c r="CX137" s="315">
        <v>-748579</v>
      </c>
      <c r="CY137" s="315">
        <v>-719580</v>
      </c>
      <c r="CZ137" s="315">
        <v>-25852</v>
      </c>
      <c r="DA137" s="315">
        <v>-3147</v>
      </c>
      <c r="DB137" s="315">
        <v>-249725</v>
      </c>
      <c r="DC137" s="315">
        <v>0</v>
      </c>
      <c r="DD137" s="315">
        <v>7806288</v>
      </c>
      <c r="DE137" s="315">
        <v>5640742</v>
      </c>
      <c r="DF137" s="315">
        <v>2165546</v>
      </c>
      <c r="DG137" s="315">
        <v>2124395</v>
      </c>
      <c r="DH137" s="315">
        <v>41151</v>
      </c>
      <c r="DI137" s="315">
        <v>1853750</v>
      </c>
      <c r="DJ137" s="315">
        <v>55330</v>
      </c>
      <c r="DK137" s="315">
        <v>26815</v>
      </c>
      <c r="DL137" s="315">
        <v>1054</v>
      </c>
      <c r="DM137" s="315">
        <v>871678</v>
      </c>
      <c r="DN137" s="315">
        <v>821662</v>
      </c>
      <c r="DO137" s="315">
        <v>73603</v>
      </c>
      <c r="DP137" s="315"/>
      <c r="DQ137" s="315"/>
      <c r="DR137" s="315">
        <v>3608</v>
      </c>
      <c r="DS137" s="315">
        <v>-54985</v>
      </c>
      <c r="DT137" s="315">
        <v>-14200</v>
      </c>
      <c r="DU137" s="315">
        <v>-3618</v>
      </c>
      <c r="DV137" s="315">
        <v>-7</v>
      </c>
      <c r="DW137" s="315">
        <v>-1808</v>
      </c>
      <c r="DX137" s="315"/>
      <c r="DY137" s="315"/>
      <c r="DZ137" s="315"/>
      <c r="EA137" s="315">
        <v>-35302</v>
      </c>
      <c r="EB137" s="315">
        <v>-1</v>
      </c>
      <c r="EC137" s="315"/>
      <c r="ED137" s="315"/>
      <c r="EE137" s="315">
        <v>-49</v>
      </c>
      <c r="EF137" s="315">
        <v>1798765</v>
      </c>
      <c r="EG137" s="315">
        <v>1005290</v>
      </c>
      <c r="EH137" s="315">
        <v>793475</v>
      </c>
      <c r="EI137" s="315">
        <v>776961</v>
      </c>
      <c r="EJ137" s="315">
        <v>16514</v>
      </c>
      <c r="EK137" s="315">
        <v>41130</v>
      </c>
      <c r="EL137" s="315">
        <v>47177</v>
      </c>
      <c r="EM137" s="315">
        <v>-6047</v>
      </c>
      <c r="EN137" s="315">
        <v>-6926</v>
      </c>
      <c r="EO137" s="315">
        <v>879</v>
      </c>
      <c r="EP137" s="315">
        <v>23197</v>
      </c>
      <c r="EQ137" s="315">
        <v>11816</v>
      </c>
      <c r="ER137" s="315">
        <v>11381</v>
      </c>
      <c r="ES137" s="315">
        <v>11159</v>
      </c>
      <c r="ET137" s="315">
        <v>222</v>
      </c>
      <c r="EU137" s="315">
        <v>1047</v>
      </c>
      <c r="EV137" s="315">
        <v>-303</v>
      </c>
      <c r="EW137" s="315">
        <v>1350</v>
      </c>
      <c r="EX137" s="315">
        <v>1333</v>
      </c>
      <c r="EY137" s="315">
        <v>17</v>
      </c>
      <c r="EZ137" s="315">
        <v>869870</v>
      </c>
      <c r="FA137" s="315">
        <v>442573</v>
      </c>
      <c r="FB137" s="315">
        <v>427297</v>
      </c>
      <c r="FC137" s="315">
        <v>417507</v>
      </c>
      <c r="FD137" s="315">
        <v>9790</v>
      </c>
      <c r="FE137" s="315">
        <v>786360</v>
      </c>
      <c r="FF137" s="315">
        <v>549963</v>
      </c>
      <c r="FG137" s="315">
        <v>236397</v>
      </c>
      <c r="FH137" s="315">
        <v>230791</v>
      </c>
      <c r="FI137" s="315">
        <v>5606</v>
      </c>
      <c r="FJ137" s="315">
        <v>73602</v>
      </c>
      <c r="FK137" s="315">
        <v>-49495</v>
      </c>
      <c r="FL137" s="315">
        <v>123097</v>
      </c>
      <c r="FM137" s="315">
        <v>123097</v>
      </c>
      <c r="FN137" s="315"/>
      <c r="FO137" s="315"/>
      <c r="FP137" s="315"/>
      <c r="FQ137" s="315">
        <v>3559</v>
      </c>
      <c r="FR137" s="315">
        <v>360656</v>
      </c>
      <c r="FS137" s="315">
        <v>-18210</v>
      </c>
      <c r="FT137" s="315">
        <v>342446</v>
      </c>
      <c r="FU137" s="315"/>
      <c r="FV137" s="315"/>
      <c r="FW137" s="315"/>
      <c r="FX137" s="315">
        <v>134545</v>
      </c>
      <c r="FY137" s="315">
        <v>101170</v>
      </c>
      <c r="FZ137" s="315"/>
      <c r="GA137" s="315"/>
      <c r="GB137" s="315"/>
      <c r="GC137" s="315">
        <v>50432</v>
      </c>
      <c r="GD137" s="315">
        <v>751</v>
      </c>
      <c r="GE137" s="315"/>
      <c r="GF137" s="315">
        <v>49681</v>
      </c>
      <c r="GG137" s="315">
        <v>56299</v>
      </c>
      <c r="GH137" s="315">
        <v>3665</v>
      </c>
      <c r="GI137" s="315">
        <v>956</v>
      </c>
      <c r="GJ137" s="315">
        <v>51678</v>
      </c>
      <c r="GL137"/>
      <c r="GM137"/>
      <c r="GN137"/>
      <c r="GO137"/>
    </row>
    <row r="138" spans="1:197">
      <c r="A138" s="98" t="s">
        <v>23</v>
      </c>
      <c r="B138" s="98">
        <v>11</v>
      </c>
      <c r="C138" s="98" t="s">
        <v>227</v>
      </c>
      <c r="D138" s="315">
        <v>11272041</v>
      </c>
      <c r="E138" s="315">
        <v>-2565848</v>
      </c>
      <c r="F138" s="315">
        <v>-11789</v>
      </c>
      <c r="G138" s="315">
        <v>8694404</v>
      </c>
      <c r="H138" s="315">
        <v>5260784</v>
      </c>
      <c r="I138" s="315">
        <v>3433620</v>
      </c>
      <c r="J138" s="315">
        <v>3330233</v>
      </c>
      <c r="K138" s="315">
        <v>103387</v>
      </c>
      <c r="L138" s="315">
        <v>5238272</v>
      </c>
      <c r="M138" s="315">
        <v>2803999</v>
      </c>
      <c r="N138" s="315">
        <v>2177982</v>
      </c>
      <c r="O138" s="315"/>
      <c r="P138" s="315"/>
      <c r="Q138" s="315">
        <v>22055</v>
      </c>
      <c r="R138" s="315">
        <v>234236</v>
      </c>
      <c r="S138" s="315">
        <v>-513044</v>
      </c>
      <c r="T138" s="315">
        <v>-499867</v>
      </c>
      <c r="U138" s="315">
        <v>-62462</v>
      </c>
      <c r="V138" s="315">
        <v>0</v>
      </c>
      <c r="W138" s="315">
        <v>-424953</v>
      </c>
      <c r="X138" s="315">
        <v>0</v>
      </c>
      <c r="Y138" s="315">
        <v>-12452</v>
      </c>
      <c r="Z138" s="315">
        <v>-3592</v>
      </c>
      <c r="AA138" s="315">
        <v>-9585</v>
      </c>
      <c r="AB138" s="315">
        <v>0</v>
      </c>
      <c r="AC138" s="315">
        <v>-11789</v>
      </c>
      <c r="AD138" s="315">
        <v>4713439</v>
      </c>
      <c r="AE138" s="315">
        <v>3345496</v>
      </c>
      <c r="AF138" s="315">
        <v>1367943</v>
      </c>
      <c r="AG138" s="315">
        <v>1322224</v>
      </c>
      <c r="AH138" s="315">
        <v>45719</v>
      </c>
      <c r="AI138" s="315">
        <v>2795696</v>
      </c>
      <c r="AJ138" s="315">
        <v>847768</v>
      </c>
      <c r="AK138" s="315">
        <v>1894065</v>
      </c>
      <c r="AL138" s="315">
        <v>19973</v>
      </c>
      <c r="AM138" s="315">
        <v>156949</v>
      </c>
      <c r="AN138" s="315">
        <v>32506</v>
      </c>
      <c r="AO138" s="315">
        <v>32628</v>
      </c>
      <c r="AP138" s="315"/>
      <c r="AQ138" s="315">
        <v>10878</v>
      </c>
      <c r="AR138" s="315">
        <v>1678115</v>
      </c>
      <c r="AS138" s="315">
        <v>18463</v>
      </c>
      <c r="AT138" s="315">
        <v>-7</v>
      </c>
      <c r="AU138" s="315">
        <v>-11789</v>
      </c>
      <c r="AV138" s="315">
        <v>343990</v>
      </c>
      <c r="AW138" s="315">
        <v>33570</v>
      </c>
      <c r="AX138" s="315">
        <v>176310</v>
      </c>
      <c r="AY138" s="315"/>
      <c r="AZ138" s="315"/>
      <c r="BA138" s="315"/>
      <c r="BB138" s="315"/>
      <c r="BC138" s="315">
        <v>39942</v>
      </c>
      <c r="BD138" s="315">
        <v>94168</v>
      </c>
      <c r="BE138" s="315">
        <v>-469707</v>
      </c>
      <c r="BF138" s="315">
        <v>-325093</v>
      </c>
      <c r="BG138" s="315">
        <v>-321145</v>
      </c>
      <c r="BH138" s="315">
        <v>-3948</v>
      </c>
      <c r="BI138" s="315">
        <v>-299707</v>
      </c>
      <c r="BJ138" s="315">
        <v>0</v>
      </c>
      <c r="BK138" s="315">
        <v>-25386</v>
      </c>
      <c r="BL138" s="315">
        <v>-6483</v>
      </c>
      <c r="BM138" s="315">
        <v>-138131</v>
      </c>
      <c r="BN138" s="315">
        <v>-125717</v>
      </c>
      <c r="BO138" s="315">
        <v>-71450</v>
      </c>
      <c r="BP138" s="315">
        <v>12699</v>
      </c>
      <c r="BQ138" s="315">
        <v>13888</v>
      </c>
      <c r="BR138" s="315"/>
      <c r="BS138" s="315">
        <v>27631</v>
      </c>
      <c r="BT138" s="315"/>
      <c r="BU138" s="315"/>
      <c r="BV138" s="315"/>
      <c r="BW138" s="315"/>
      <c r="BX138" s="315">
        <v>-144835</v>
      </c>
      <c r="BY138" s="315">
        <v>35994</v>
      </c>
      <c r="BZ138" s="315">
        <v>356</v>
      </c>
      <c r="CA138" s="315">
        <v>101802</v>
      </c>
      <c r="CB138" s="315">
        <v>-122720</v>
      </c>
      <c r="CC138" s="315">
        <v>-7559</v>
      </c>
      <c r="CD138" s="315">
        <v>-115161</v>
      </c>
      <c r="CE138" s="315">
        <v>-20918</v>
      </c>
      <c r="CF138" s="315">
        <v>84060</v>
      </c>
      <c r="CG138" s="315">
        <v>47</v>
      </c>
      <c r="CH138" s="315">
        <v>-105025</v>
      </c>
      <c r="CI138" s="315">
        <v>3906618</v>
      </c>
      <c r="CJ138" s="315">
        <v>663017</v>
      </c>
      <c r="CK138" s="315">
        <v>3243601</v>
      </c>
      <c r="CL138" s="315">
        <v>3056918</v>
      </c>
      <c r="CM138" s="315">
        <v>32103</v>
      </c>
      <c r="CN138" s="315">
        <v>154580</v>
      </c>
      <c r="CO138" s="315">
        <v>0</v>
      </c>
      <c r="CP138" s="315">
        <v>0</v>
      </c>
      <c r="CQ138" s="315">
        <v>154580</v>
      </c>
      <c r="CR138" s="315">
        <v>-1438248</v>
      </c>
      <c r="CS138" s="315">
        <v>-586894</v>
      </c>
      <c r="CT138" s="315">
        <v>-529966</v>
      </c>
      <c r="CU138" s="315">
        <v>-5221</v>
      </c>
      <c r="CV138" s="315">
        <v>-312</v>
      </c>
      <c r="CW138" s="315">
        <v>-51395</v>
      </c>
      <c r="CX138" s="315">
        <v>-851354</v>
      </c>
      <c r="CY138" s="315">
        <v>-835082</v>
      </c>
      <c r="CZ138" s="315">
        <v>-14173</v>
      </c>
      <c r="DA138" s="315">
        <v>-2099</v>
      </c>
      <c r="DB138" s="315">
        <v>0</v>
      </c>
      <c r="DC138" s="315">
        <v>0</v>
      </c>
      <c r="DD138" s="315">
        <v>2468370</v>
      </c>
      <c r="DE138" s="315">
        <v>1066597</v>
      </c>
      <c r="DF138" s="315">
        <v>1401773</v>
      </c>
      <c r="DG138" s="315">
        <v>1360624</v>
      </c>
      <c r="DH138" s="315">
        <v>41149</v>
      </c>
      <c r="DI138" s="315">
        <v>1346161</v>
      </c>
      <c r="DJ138" s="315">
        <v>104358</v>
      </c>
      <c r="DK138" s="315">
        <v>30436</v>
      </c>
      <c r="DL138" s="315">
        <v>2299</v>
      </c>
      <c r="DM138" s="315">
        <v>815776</v>
      </c>
      <c r="DN138" s="315">
        <v>324773</v>
      </c>
      <c r="DO138" s="315">
        <v>68339</v>
      </c>
      <c r="DP138" s="315"/>
      <c r="DQ138" s="315"/>
      <c r="DR138" s="315">
        <v>180</v>
      </c>
      <c r="DS138" s="315">
        <v>-5656</v>
      </c>
      <c r="DT138" s="315">
        <v>-4139</v>
      </c>
      <c r="DU138" s="315">
        <v>-79</v>
      </c>
      <c r="DV138" s="315">
        <v>-24</v>
      </c>
      <c r="DW138" s="315">
        <v>-776</v>
      </c>
      <c r="DX138" s="315"/>
      <c r="DY138" s="315"/>
      <c r="DZ138" s="315"/>
      <c r="EA138" s="315">
        <v>-288</v>
      </c>
      <c r="EB138" s="315">
        <v>-15</v>
      </c>
      <c r="EC138" s="315"/>
      <c r="ED138" s="315"/>
      <c r="EE138" s="315">
        <v>-335</v>
      </c>
      <c r="EF138" s="315">
        <v>1340505</v>
      </c>
      <c r="EG138" s="315">
        <v>676601</v>
      </c>
      <c r="EH138" s="315">
        <v>663904</v>
      </c>
      <c r="EI138" s="315">
        <v>647385</v>
      </c>
      <c r="EJ138" s="315">
        <v>16519</v>
      </c>
      <c r="EK138" s="315">
        <v>100219</v>
      </c>
      <c r="EL138" s="315">
        <v>70723</v>
      </c>
      <c r="EM138" s="315">
        <v>29496</v>
      </c>
      <c r="EN138" s="315">
        <v>28616</v>
      </c>
      <c r="EO138" s="315">
        <v>880</v>
      </c>
      <c r="EP138" s="315">
        <v>30357</v>
      </c>
      <c r="EQ138" s="315">
        <v>22263</v>
      </c>
      <c r="ER138" s="315">
        <v>8094</v>
      </c>
      <c r="ES138" s="315">
        <v>7873</v>
      </c>
      <c r="ET138" s="315">
        <v>221</v>
      </c>
      <c r="EU138" s="315">
        <v>2275</v>
      </c>
      <c r="EV138" s="315">
        <v>1603</v>
      </c>
      <c r="EW138" s="315">
        <v>672</v>
      </c>
      <c r="EX138" s="315">
        <v>654</v>
      </c>
      <c r="EY138" s="315">
        <v>18</v>
      </c>
      <c r="EZ138" s="315">
        <v>815000</v>
      </c>
      <c r="FA138" s="315">
        <v>462242</v>
      </c>
      <c r="FB138" s="315">
        <v>352758</v>
      </c>
      <c r="FC138" s="315">
        <v>342967</v>
      </c>
      <c r="FD138" s="315">
        <v>9791</v>
      </c>
      <c r="FE138" s="315">
        <v>324485</v>
      </c>
      <c r="FF138" s="315">
        <v>122876</v>
      </c>
      <c r="FG138" s="315">
        <v>201609</v>
      </c>
      <c r="FH138" s="315">
        <v>196000</v>
      </c>
      <c r="FI138" s="315">
        <v>5609</v>
      </c>
      <c r="FJ138" s="315">
        <v>68324</v>
      </c>
      <c r="FK138" s="315">
        <v>-2951</v>
      </c>
      <c r="FL138" s="315">
        <v>71275</v>
      </c>
      <c r="FM138" s="315">
        <v>71275</v>
      </c>
      <c r="FN138" s="315"/>
      <c r="FO138" s="315"/>
      <c r="FP138" s="315"/>
      <c r="FQ138" s="315">
        <v>-155</v>
      </c>
      <c r="FR138" s="315">
        <v>335198</v>
      </c>
      <c r="FS138" s="315">
        <v>-16473</v>
      </c>
      <c r="FT138" s="315">
        <v>318725</v>
      </c>
      <c r="FU138" s="315"/>
      <c r="FV138" s="315"/>
      <c r="FW138" s="315"/>
      <c r="FX138" s="315">
        <v>126441</v>
      </c>
      <c r="FY138" s="315">
        <v>109676</v>
      </c>
      <c r="FZ138" s="315"/>
      <c r="GA138" s="315"/>
      <c r="GB138" s="315"/>
      <c r="GC138" s="315">
        <v>43479</v>
      </c>
      <c r="GD138" s="315">
        <v>2298</v>
      </c>
      <c r="GE138" s="315"/>
      <c r="GF138" s="315">
        <v>41181</v>
      </c>
      <c r="GG138" s="315">
        <v>39129</v>
      </c>
      <c r="GH138" s="315">
        <v>4876</v>
      </c>
      <c r="GI138" s="315">
        <v>857</v>
      </c>
      <c r="GJ138" s="315">
        <v>33396</v>
      </c>
      <c r="GL138"/>
      <c r="GM138"/>
      <c r="GN138"/>
      <c r="GO138"/>
    </row>
    <row r="139" spans="1:197">
      <c r="A139" s="98" t="s">
        <v>23</v>
      </c>
      <c r="B139" s="98">
        <v>12</v>
      </c>
      <c r="C139" s="98" t="s">
        <v>228</v>
      </c>
      <c r="D139" s="315">
        <v>14476235</v>
      </c>
      <c r="E139" s="315">
        <v>-3747080</v>
      </c>
      <c r="F139" s="315">
        <v>-11790</v>
      </c>
      <c r="G139" s="315">
        <v>10717365</v>
      </c>
      <c r="H139" s="315">
        <v>6592165</v>
      </c>
      <c r="I139" s="315">
        <v>4125200</v>
      </c>
      <c r="J139" s="315">
        <v>4021813</v>
      </c>
      <c r="K139" s="315">
        <v>103387</v>
      </c>
      <c r="L139" s="315">
        <v>3529012</v>
      </c>
      <c r="M139" s="315">
        <v>3236321</v>
      </c>
      <c r="N139" s="315">
        <v>46499</v>
      </c>
      <c r="O139" s="315"/>
      <c r="P139" s="315"/>
      <c r="Q139" s="315">
        <v>31526</v>
      </c>
      <c r="R139" s="315">
        <v>214666</v>
      </c>
      <c r="S139" s="315">
        <v>-275033</v>
      </c>
      <c r="T139" s="315">
        <v>-267529</v>
      </c>
      <c r="U139" s="315">
        <v>-54054</v>
      </c>
      <c r="V139" s="315">
        <v>0</v>
      </c>
      <c r="W139" s="315">
        <v>-200508</v>
      </c>
      <c r="X139" s="315">
        <v>0</v>
      </c>
      <c r="Y139" s="315">
        <v>-12967</v>
      </c>
      <c r="Z139" s="315">
        <v>-2874</v>
      </c>
      <c r="AA139" s="315">
        <v>-4630</v>
      </c>
      <c r="AB139" s="315">
        <v>0</v>
      </c>
      <c r="AC139" s="315">
        <v>-11790</v>
      </c>
      <c r="AD139" s="315">
        <v>3242189</v>
      </c>
      <c r="AE139" s="315">
        <v>1589406</v>
      </c>
      <c r="AF139" s="315">
        <v>1652783</v>
      </c>
      <c r="AG139" s="315">
        <v>1607063</v>
      </c>
      <c r="AH139" s="315">
        <v>45720</v>
      </c>
      <c r="AI139" s="315">
        <v>3232596</v>
      </c>
      <c r="AJ139" s="315">
        <v>1196915</v>
      </c>
      <c r="AK139" s="315">
        <v>1992939</v>
      </c>
      <c r="AL139" s="315">
        <v>9710</v>
      </c>
      <c r="AM139" s="315">
        <v>150254</v>
      </c>
      <c r="AN139" s="315">
        <v>28138</v>
      </c>
      <c r="AO139" s="315">
        <v>28004</v>
      </c>
      <c r="AP139" s="315"/>
      <c r="AQ139" s="315">
        <v>7351</v>
      </c>
      <c r="AR139" s="315">
        <v>-221030</v>
      </c>
      <c r="AS139" s="315">
        <v>28652</v>
      </c>
      <c r="AT139" s="315">
        <v>14</v>
      </c>
      <c r="AU139" s="315">
        <v>-11790</v>
      </c>
      <c r="AV139" s="315">
        <v>4970448</v>
      </c>
      <c r="AW139" s="315">
        <v>4709974</v>
      </c>
      <c r="AX139" s="315">
        <v>60384</v>
      </c>
      <c r="AY139" s="315"/>
      <c r="AZ139" s="315"/>
      <c r="BA139" s="315"/>
      <c r="BB139" s="315"/>
      <c r="BC139" s="315">
        <v>87311</v>
      </c>
      <c r="BD139" s="315">
        <v>112779</v>
      </c>
      <c r="BE139" s="315">
        <v>-1267038</v>
      </c>
      <c r="BF139" s="315">
        <v>-1250121</v>
      </c>
      <c r="BG139" s="315">
        <v>-1236670</v>
      </c>
      <c r="BH139" s="315">
        <v>-13451</v>
      </c>
      <c r="BI139" s="315">
        <v>-1235462</v>
      </c>
      <c r="BJ139" s="315">
        <v>0</v>
      </c>
      <c r="BK139" s="315">
        <v>-14659</v>
      </c>
      <c r="BL139" s="315">
        <v>-13136</v>
      </c>
      <c r="BM139" s="315">
        <v>-3781</v>
      </c>
      <c r="BN139" s="315">
        <v>3703410</v>
      </c>
      <c r="BO139" s="315">
        <v>85625</v>
      </c>
      <c r="BP139" s="315">
        <v>11020</v>
      </c>
      <c r="BQ139" s="315">
        <v>11922</v>
      </c>
      <c r="BR139" s="315"/>
      <c r="BS139" s="315">
        <v>4701777</v>
      </c>
      <c r="BT139" s="315"/>
      <c r="BU139" s="315"/>
      <c r="BV139" s="315"/>
      <c r="BW139" s="315"/>
      <c r="BX139" s="315">
        <v>-1176286</v>
      </c>
      <c r="BY139" s="315">
        <v>73860</v>
      </c>
      <c r="BZ139" s="315">
        <v>-4508</v>
      </c>
      <c r="CA139" s="315">
        <v>114151</v>
      </c>
      <c r="CB139" s="315">
        <v>-17022</v>
      </c>
      <c r="CC139" s="315">
        <v>-13929</v>
      </c>
      <c r="CD139" s="315">
        <v>-3093</v>
      </c>
      <c r="CE139" s="315">
        <v>97129</v>
      </c>
      <c r="CF139" s="315">
        <v>85106</v>
      </c>
      <c r="CG139" s="315">
        <v>18156</v>
      </c>
      <c r="CH139" s="315">
        <v>-6133</v>
      </c>
      <c r="CI139" s="315">
        <v>3993157</v>
      </c>
      <c r="CJ139" s="315">
        <v>624900</v>
      </c>
      <c r="CK139" s="315">
        <v>3368257</v>
      </c>
      <c r="CL139" s="315">
        <v>3219937</v>
      </c>
      <c r="CM139" s="315">
        <v>14846</v>
      </c>
      <c r="CN139" s="315">
        <v>133474</v>
      </c>
      <c r="CO139" s="315">
        <v>0</v>
      </c>
      <c r="CP139" s="315">
        <v>0</v>
      </c>
      <c r="CQ139" s="315">
        <v>133474</v>
      </c>
      <c r="CR139" s="315">
        <v>-2130075</v>
      </c>
      <c r="CS139" s="315">
        <v>-501244</v>
      </c>
      <c r="CT139" s="315">
        <v>-403047</v>
      </c>
      <c r="CU139" s="315">
        <v>-2841</v>
      </c>
      <c r="CV139" s="315">
        <v>-378</v>
      </c>
      <c r="CW139" s="315">
        <v>-94978</v>
      </c>
      <c r="CX139" s="315">
        <v>-1301071</v>
      </c>
      <c r="CY139" s="315">
        <v>-1279285</v>
      </c>
      <c r="CZ139" s="315">
        <v>-8565</v>
      </c>
      <c r="DA139" s="315">
        <v>-13221</v>
      </c>
      <c r="DB139" s="315">
        <v>-262301</v>
      </c>
      <c r="DC139" s="315">
        <v>-65459</v>
      </c>
      <c r="DD139" s="315">
        <v>1863082</v>
      </c>
      <c r="DE139" s="315">
        <v>185383</v>
      </c>
      <c r="DF139" s="315">
        <v>1677699</v>
      </c>
      <c r="DG139" s="315">
        <v>1636549</v>
      </c>
      <c r="DH139" s="315">
        <v>41150</v>
      </c>
      <c r="DI139" s="315">
        <v>1481035</v>
      </c>
      <c r="DJ139" s="315">
        <v>108977</v>
      </c>
      <c r="DK139" s="315">
        <v>22093</v>
      </c>
      <c r="DL139" s="315">
        <v>1447</v>
      </c>
      <c r="DM139" s="315">
        <v>878137</v>
      </c>
      <c r="DN139" s="315">
        <v>400560</v>
      </c>
      <c r="DO139" s="315">
        <v>69616</v>
      </c>
      <c r="DP139" s="315"/>
      <c r="DQ139" s="315"/>
      <c r="DR139" s="315">
        <v>205</v>
      </c>
      <c r="DS139" s="315">
        <v>-30749</v>
      </c>
      <c r="DT139" s="315">
        <v>-9776</v>
      </c>
      <c r="DU139" s="315">
        <v>-3208</v>
      </c>
      <c r="DV139" s="315">
        <v>-29</v>
      </c>
      <c r="DW139" s="315">
        <v>-977</v>
      </c>
      <c r="DX139" s="315"/>
      <c r="DY139" s="315"/>
      <c r="DZ139" s="315"/>
      <c r="EA139" s="315">
        <v>-16741</v>
      </c>
      <c r="EB139" s="315">
        <v>-17</v>
      </c>
      <c r="EC139" s="315"/>
      <c r="ED139" s="315"/>
      <c r="EE139" s="315">
        <v>-1</v>
      </c>
      <c r="EF139" s="315">
        <v>1450286</v>
      </c>
      <c r="EG139" s="315">
        <v>655568</v>
      </c>
      <c r="EH139" s="315">
        <v>794718</v>
      </c>
      <c r="EI139" s="315">
        <v>778201</v>
      </c>
      <c r="EJ139" s="315">
        <v>16517</v>
      </c>
      <c r="EK139" s="315">
        <v>99201</v>
      </c>
      <c r="EL139" s="315">
        <v>63855</v>
      </c>
      <c r="EM139" s="315">
        <v>35346</v>
      </c>
      <c r="EN139" s="315">
        <v>34466</v>
      </c>
      <c r="EO139" s="315">
        <v>880</v>
      </c>
      <c r="EP139" s="315">
        <v>18885</v>
      </c>
      <c r="EQ139" s="315">
        <v>9228</v>
      </c>
      <c r="ER139" s="315">
        <v>9657</v>
      </c>
      <c r="ES139" s="315">
        <v>9435</v>
      </c>
      <c r="ET139" s="315">
        <v>222</v>
      </c>
      <c r="EU139" s="315">
        <v>1418</v>
      </c>
      <c r="EV139" s="315">
        <v>613</v>
      </c>
      <c r="EW139" s="315">
        <v>805</v>
      </c>
      <c r="EX139" s="315">
        <v>787</v>
      </c>
      <c r="EY139" s="315">
        <v>18</v>
      </c>
      <c r="EZ139" s="315">
        <v>877160</v>
      </c>
      <c r="FA139" s="315">
        <v>454745</v>
      </c>
      <c r="FB139" s="315">
        <v>422415</v>
      </c>
      <c r="FC139" s="315">
        <v>412624</v>
      </c>
      <c r="FD139" s="315">
        <v>9791</v>
      </c>
      <c r="FE139" s="315">
        <v>383819</v>
      </c>
      <c r="FF139" s="315">
        <v>143556</v>
      </c>
      <c r="FG139" s="315">
        <v>240263</v>
      </c>
      <c r="FH139" s="315">
        <v>234657</v>
      </c>
      <c r="FI139" s="315">
        <v>5606</v>
      </c>
      <c r="FJ139" s="315">
        <v>69599</v>
      </c>
      <c r="FK139" s="315">
        <v>-16633</v>
      </c>
      <c r="FL139" s="315">
        <v>86232</v>
      </c>
      <c r="FM139" s="315">
        <v>86232</v>
      </c>
      <c r="FN139" s="315"/>
      <c r="FO139" s="315"/>
      <c r="FP139" s="315"/>
      <c r="FQ139" s="315">
        <v>204</v>
      </c>
      <c r="FR139" s="315">
        <v>388432</v>
      </c>
      <c r="FS139" s="315">
        <v>-27163</v>
      </c>
      <c r="FT139" s="315">
        <v>361269</v>
      </c>
      <c r="FU139" s="315"/>
      <c r="FV139" s="315"/>
      <c r="FW139" s="315"/>
      <c r="FX139" s="315">
        <v>119532</v>
      </c>
      <c r="FY139" s="315">
        <v>104661</v>
      </c>
      <c r="FZ139" s="315"/>
      <c r="GA139" s="315"/>
      <c r="GB139" s="315"/>
      <c r="GC139" s="315">
        <v>48700</v>
      </c>
      <c r="GD139" s="315">
        <v>549</v>
      </c>
      <c r="GE139" s="315"/>
      <c r="GF139" s="315">
        <v>48151</v>
      </c>
      <c r="GG139" s="315">
        <v>88376</v>
      </c>
      <c r="GH139" s="315">
        <v>24858</v>
      </c>
      <c r="GI139" s="315">
        <v>15391</v>
      </c>
      <c r="GJ139" s="315">
        <v>48127</v>
      </c>
      <c r="GL139"/>
      <c r="GM139"/>
      <c r="GN139"/>
      <c r="GO139"/>
    </row>
    <row r="140" spans="1:197">
      <c r="A140" s="96" t="s">
        <v>24</v>
      </c>
      <c r="B140" s="96">
        <v>1</v>
      </c>
      <c r="C140" s="97" t="s">
        <v>217</v>
      </c>
      <c r="D140" s="314">
        <v>13910119</v>
      </c>
      <c r="E140" s="314">
        <v>-593577</v>
      </c>
      <c r="F140" s="314">
        <v>-11789</v>
      </c>
      <c r="G140" s="314">
        <v>13304753</v>
      </c>
      <c r="H140" s="314">
        <v>9598534</v>
      </c>
      <c r="I140" s="314">
        <v>3706219</v>
      </c>
      <c r="J140" s="314">
        <v>3595039</v>
      </c>
      <c r="K140" s="314">
        <v>111180</v>
      </c>
      <c r="L140" s="314">
        <v>9258036</v>
      </c>
      <c r="M140" s="314">
        <v>8263112</v>
      </c>
      <c r="N140" s="314">
        <v>42118</v>
      </c>
      <c r="O140" s="314"/>
      <c r="P140" s="314"/>
      <c r="Q140" s="314">
        <v>32867</v>
      </c>
      <c r="R140" s="314">
        <v>919939</v>
      </c>
      <c r="S140" s="314">
        <v>-145501</v>
      </c>
      <c r="T140" s="314">
        <v>-141777</v>
      </c>
      <c r="U140" s="314">
        <v>0</v>
      </c>
      <c r="V140" s="314">
        <v>-50445</v>
      </c>
      <c r="W140" s="314">
        <v>0</v>
      </c>
      <c r="X140" s="314">
        <v>-82615</v>
      </c>
      <c r="Y140" s="314">
        <v>-8717</v>
      </c>
      <c r="Z140" s="314">
        <v>-1528</v>
      </c>
      <c r="AA140" s="314">
        <v>-2196</v>
      </c>
      <c r="AB140" s="314">
        <v>0</v>
      </c>
      <c r="AC140" s="314">
        <v>-11789</v>
      </c>
      <c r="AD140" s="314">
        <v>9100746</v>
      </c>
      <c r="AE140" s="314">
        <v>7561947</v>
      </c>
      <c r="AF140" s="314">
        <v>1538799</v>
      </c>
      <c r="AG140" s="314">
        <v>1488030</v>
      </c>
      <c r="AH140" s="314">
        <v>50769</v>
      </c>
      <c r="AI140" s="314">
        <v>8261360</v>
      </c>
      <c r="AJ140" s="314">
        <v>962534</v>
      </c>
      <c r="AK140" s="314">
        <v>3025510</v>
      </c>
      <c r="AL140" s="314">
        <v>4245038</v>
      </c>
      <c r="AM140" s="314">
        <v>406937</v>
      </c>
      <c r="AN140" s="314">
        <v>301242</v>
      </c>
      <c r="AO140" s="314">
        <v>53511</v>
      </c>
      <c r="AP140" s="314"/>
      <c r="AQ140" s="314">
        <v>157818</v>
      </c>
      <c r="AR140" s="314">
        <v>-99659</v>
      </c>
      <c r="AS140" s="314">
        <v>31339</v>
      </c>
      <c r="AT140" s="314">
        <v>-13</v>
      </c>
      <c r="AU140" s="314">
        <v>-11789</v>
      </c>
      <c r="AV140" s="314">
        <v>912404</v>
      </c>
      <c r="AW140" s="314">
        <v>52880</v>
      </c>
      <c r="AX140" s="314">
        <v>66928</v>
      </c>
      <c r="AY140" s="314"/>
      <c r="AZ140" s="314"/>
      <c r="BA140" s="314"/>
      <c r="BB140" s="314"/>
      <c r="BC140" s="314">
        <v>49488</v>
      </c>
      <c r="BD140" s="314">
        <v>743108</v>
      </c>
      <c r="BE140" s="314">
        <v>-112009</v>
      </c>
      <c r="BF140" s="314">
        <v>-107788</v>
      </c>
      <c r="BG140" s="314">
        <v>-106094</v>
      </c>
      <c r="BH140" s="314">
        <v>-1694</v>
      </c>
      <c r="BI140" s="314">
        <v>0</v>
      </c>
      <c r="BJ140" s="314">
        <v>-99164</v>
      </c>
      <c r="BK140" s="314">
        <v>-8624</v>
      </c>
      <c r="BL140" s="314">
        <v>-4194</v>
      </c>
      <c r="BM140" s="314">
        <v>-27</v>
      </c>
      <c r="BN140" s="314">
        <v>800395</v>
      </c>
      <c r="BO140" s="314">
        <v>592651</v>
      </c>
      <c r="BP140" s="314">
        <v>127425</v>
      </c>
      <c r="BQ140" s="314">
        <v>22780</v>
      </c>
      <c r="BR140" s="314"/>
      <c r="BS140" s="314">
        <v>48854</v>
      </c>
      <c r="BT140" s="314"/>
      <c r="BU140" s="314"/>
      <c r="BV140" s="314"/>
      <c r="BW140" s="314"/>
      <c r="BX140" s="314">
        <v>-39166</v>
      </c>
      <c r="BY140" s="314">
        <v>47794</v>
      </c>
      <c r="BZ140" s="314">
        <v>57</v>
      </c>
      <c r="CA140" s="314">
        <v>526111</v>
      </c>
      <c r="CB140" s="314">
        <v>-4153</v>
      </c>
      <c r="CC140" s="314">
        <v>-3906</v>
      </c>
      <c r="CD140" s="314">
        <v>-247</v>
      </c>
      <c r="CE140" s="314">
        <v>521958</v>
      </c>
      <c r="CF140" s="314">
        <v>144740</v>
      </c>
      <c r="CG140" s="314">
        <v>214</v>
      </c>
      <c r="CH140" s="314">
        <v>377004</v>
      </c>
      <c r="CI140" s="314">
        <v>1459146</v>
      </c>
      <c r="CJ140" s="314">
        <v>687400</v>
      </c>
      <c r="CK140" s="314">
        <v>771746</v>
      </c>
      <c r="CL140" s="314">
        <v>164753</v>
      </c>
      <c r="CM140" s="314">
        <v>454394</v>
      </c>
      <c r="CN140" s="314">
        <v>152599</v>
      </c>
      <c r="CO140" s="314">
        <v>0</v>
      </c>
      <c r="CP140" s="314">
        <v>0</v>
      </c>
      <c r="CQ140" s="314">
        <v>152599</v>
      </c>
      <c r="CR140" s="314">
        <v>-314533</v>
      </c>
      <c r="CS140" s="314">
        <v>-172806</v>
      </c>
      <c r="CT140" s="314">
        <v>0</v>
      </c>
      <c r="CU140" s="314">
        <v>-139627</v>
      </c>
      <c r="CV140" s="314">
        <v>-259</v>
      </c>
      <c r="CW140" s="314">
        <v>-32920</v>
      </c>
      <c r="CX140" s="314">
        <v>-141727</v>
      </c>
      <c r="CY140" s="314">
        <v>0</v>
      </c>
      <c r="CZ140" s="314">
        <v>-131448</v>
      </c>
      <c r="DA140" s="314">
        <v>-10279</v>
      </c>
      <c r="DB140" s="314">
        <v>0</v>
      </c>
      <c r="DC140" s="314">
        <v>0</v>
      </c>
      <c r="DD140" s="314">
        <v>1144613</v>
      </c>
      <c r="DE140" s="314">
        <v>-328986</v>
      </c>
      <c r="DF140" s="314">
        <v>1473599</v>
      </c>
      <c r="DG140" s="314">
        <v>1430447</v>
      </c>
      <c r="DH140" s="314">
        <v>43152</v>
      </c>
      <c r="DI140" s="314">
        <v>1421370</v>
      </c>
      <c r="DJ140" s="314">
        <v>48586</v>
      </c>
      <c r="DK140" s="314">
        <v>20322</v>
      </c>
      <c r="DL140" s="314">
        <v>1247</v>
      </c>
      <c r="DM140" s="314">
        <v>861439</v>
      </c>
      <c r="DN140" s="314">
        <v>413152</v>
      </c>
      <c r="DO140" s="314">
        <v>76379</v>
      </c>
      <c r="DP140" s="314"/>
      <c r="DQ140" s="314"/>
      <c r="DR140" s="314">
        <v>245</v>
      </c>
      <c r="DS140" s="314">
        <v>-11542</v>
      </c>
      <c r="DT140" s="314">
        <v>-1915</v>
      </c>
      <c r="DU140" s="314">
        <v>-18</v>
      </c>
      <c r="DV140" s="314">
        <v>-8</v>
      </c>
      <c r="DW140" s="314">
        <v>-9564</v>
      </c>
      <c r="DX140" s="314"/>
      <c r="DY140" s="314"/>
      <c r="DZ140" s="314"/>
      <c r="EA140" s="314">
        <v>-13</v>
      </c>
      <c r="EB140" s="314">
        <v>-3</v>
      </c>
      <c r="EC140" s="314"/>
      <c r="ED140" s="314"/>
      <c r="EE140" s="314">
        <v>-21</v>
      </c>
      <c r="EF140" s="314">
        <v>1409828</v>
      </c>
      <c r="EG140" s="314">
        <v>716007</v>
      </c>
      <c r="EH140" s="314">
        <v>693821</v>
      </c>
      <c r="EI140" s="314">
        <v>676562</v>
      </c>
      <c r="EJ140" s="314">
        <v>17259</v>
      </c>
      <c r="EK140" s="314">
        <v>46671</v>
      </c>
      <c r="EL140" s="314">
        <v>13870</v>
      </c>
      <c r="EM140" s="314">
        <v>32801</v>
      </c>
      <c r="EN140" s="314">
        <v>31878</v>
      </c>
      <c r="EO140" s="314">
        <v>923</v>
      </c>
      <c r="EP140" s="314">
        <v>20304</v>
      </c>
      <c r="EQ140" s="314">
        <v>11061</v>
      </c>
      <c r="ER140" s="314">
        <v>9243</v>
      </c>
      <c r="ES140" s="314">
        <v>8991</v>
      </c>
      <c r="ET140" s="314">
        <v>252</v>
      </c>
      <c r="EU140" s="314">
        <v>1239</v>
      </c>
      <c r="EV140" s="314">
        <v>541</v>
      </c>
      <c r="EW140" s="314">
        <v>698</v>
      </c>
      <c r="EX140" s="314">
        <v>678</v>
      </c>
      <c r="EY140" s="314">
        <v>20</v>
      </c>
      <c r="EZ140" s="314">
        <v>851875</v>
      </c>
      <c r="FA140" s="314">
        <v>492146</v>
      </c>
      <c r="FB140" s="314">
        <v>359729</v>
      </c>
      <c r="FC140" s="314">
        <v>349729</v>
      </c>
      <c r="FD140" s="314">
        <v>10000</v>
      </c>
      <c r="FE140" s="314">
        <v>413139</v>
      </c>
      <c r="FF140" s="314">
        <v>199264</v>
      </c>
      <c r="FG140" s="314">
        <v>213875</v>
      </c>
      <c r="FH140" s="314">
        <v>207811</v>
      </c>
      <c r="FI140" s="314">
        <v>6064</v>
      </c>
      <c r="FJ140" s="314">
        <v>76376</v>
      </c>
      <c r="FK140" s="314">
        <v>-1099</v>
      </c>
      <c r="FL140" s="314">
        <v>77475</v>
      </c>
      <c r="FM140" s="314">
        <v>77475</v>
      </c>
      <c r="FN140" s="314"/>
      <c r="FO140" s="314"/>
      <c r="FP140" s="314"/>
      <c r="FQ140" s="314">
        <v>224</v>
      </c>
      <c r="FR140" s="314">
        <v>333052</v>
      </c>
      <c r="FS140" s="314">
        <v>-5839</v>
      </c>
      <c r="FT140" s="314">
        <v>327213</v>
      </c>
      <c r="FU140" s="314"/>
      <c r="FV140" s="314"/>
      <c r="FW140" s="314"/>
      <c r="FX140" s="314">
        <v>132310</v>
      </c>
      <c r="FY140" s="314">
        <v>117619</v>
      </c>
      <c r="FZ140" s="314"/>
      <c r="GA140" s="314"/>
      <c r="GB140" s="314"/>
      <c r="GC140" s="314">
        <v>36630</v>
      </c>
      <c r="GD140" s="314">
        <v>1476</v>
      </c>
      <c r="GE140" s="314"/>
      <c r="GF140" s="314">
        <v>35154</v>
      </c>
      <c r="GG140" s="314">
        <v>40654</v>
      </c>
      <c r="GH140" s="314">
        <v>6340</v>
      </c>
      <c r="GI140" s="314">
        <v>1098</v>
      </c>
      <c r="GJ140" s="314">
        <v>33216</v>
      </c>
      <c r="GL140"/>
      <c r="GM140"/>
      <c r="GN140"/>
      <c r="GO140"/>
    </row>
    <row r="141" spans="1:197">
      <c r="A141" s="98" t="s">
        <v>24</v>
      </c>
      <c r="B141" s="98">
        <v>2</v>
      </c>
      <c r="C141" s="98" t="s">
        <v>218</v>
      </c>
      <c r="D141" s="315">
        <v>22085783</v>
      </c>
      <c r="E141" s="315">
        <v>-1198283</v>
      </c>
      <c r="F141" s="315">
        <v>-12020</v>
      </c>
      <c r="G141" s="315">
        <v>20875480</v>
      </c>
      <c r="H141" s="315">
        <v>17169259</v>
      </c>
      <c r="I141" s="315">
        <v>3706221</v>
      </c>
      <c r="J141" s="315">
        <v>3595041</v>
      </c>
      <c r="K141" s="315">
        <v>111180</v>
      </c>
      <c r="L141" s="315">
        <v>4244429</v>
      </c>
      <c r="M141" s="315">
        <v>3191125</v>
      </c>
      <c r="N141" s="315">
        <v>37322</v>
      </c>
      <c r="O141" s="315"/>
      <c r="P141" s="315"/>
      <c r="Q141" s="315">
        <v>40829</v>
      </c>
      <c r="R141" s="315">
        <v>975153</v>
      </c>
      <c r="S141" s="315">
        <v>-148685</v>
      </c>
      <c r="T141" s="315">
        <v>-141652</v>
      </c>
      <c r="U141" s="315">
        <v>-55148</v>
      </c>
      <c r="V141" s="315">
        <v>0</v>
      </c>
      <c r="W141" s="315">
        <v>0</v>
      </c>
      <c r="X141" s="315">
        <v>-75592</v>
      </c>
      <c r="Y141" s="315">
        <v>-10912</v>
      </c>
      <c r="Z141" s="315">
        <v>-2679</v>
      </c>
      <c r="AA141" s="315">
        <v>-4354</v>
      </c>
      <c r="AB141" s="315">
        <v>0</v>
      </c>
      <c r="AC141" s="315">
        <v>-12020</v>
      </c>
      <c r="AD141" s="315">
        <v>4083724</v>
      </c>
      <c r="AE141" s="315">
        <v>2544925</v>
      </c>
      <c r="AF141" s="315">
        <v>1538799</v>
      </c>
      <c r="AG141" s="315">
        <v>1488031</v>
      </c>
      <c r="AH141" s="315">
        <v>50768</v>
      </c>
      <c r="AI141" s="315">
        <v>3187814</v>
      </c>
      <c r="AJ141" s="315">
        <v>978101</v>
      </c>
      <c r="AK141" s="315">
        <v>2146257</v>
      </c>
      <c r="AL141" s="315">
        <v>38156</v>
      </c>
      <c r="AM141" s="315">
        <v>266439</v>
      </c>
      <c r="AN141" s="315">
        <v>33465</v>
      </c>
      <c r="AO141" s="315">
        <v>36534</v>
      </c>
      <c r="AP141" s="315"/>
      <c r="AQ141" s="315">
        <v>637670</v>
      </c>
      <c r="AR141" s="315">
        <v>-104330</v>
      </c>
      <c r="AS141" s="315">
        <v>38150</v>
      </c>
      <c r="AT141" s="315">
        <v>2</v>
      </c>
      <c r="AU141" s="315">
        <v>-12020</v>
      </c>
      <c r="AV141" s="315">
        <v>521872</v>
      </c>
      <c r="AW141" s="315">
        <v>29016</v>
      </c>
      <c r="AX141" s="315">
        <v>131812</v>
      </c>
      <c r="AY141" s="315"/>
      <c r="AZ141" s="315"/>
      <c r="BA141" s="315"/>
      <c r="BB141" s="315"/>
      <c r="BC141" s="315">
        <v>184876</v>
      </c>
      <c r="BD141" s="315">
        <v>176168</v>
      </c>
      <c r="BE141" s="315">
        <v>-370331</v>
      </c>
      <c r="BF141" s="315">
        <v>-143205</v>
      </c>
      <c r="BG141" s="315">
        <v>-114354</v>
      </c>
      <c r="BH141" s="315">
        <v>-28851</v>
      </c>
      <c r="BI141" s="315">
        <v>0</v>
      </c>
      <c r="BJ141" s="315">
        <v>-117756</v>
      </c>
      <c r="BK141" s="315">
        <v>-25449</v>
      </c>
      <c r="BL141" s="315">
        <v>-11022</v>
      </c>
      <c r="BM141" s="315">
        <v>-216104</v>
      </c>
      <c r="BN141" s="315">
        <v>151541</v>
      </c>
      <c r="BO141" s="315">
        <v>-69427</v>
      </c>
      <c r="BP141" s="315">
        <v>13460</v>
      </c>
      <c r="BQ141" s="315">
        <v>15551</v>
      </c>
      <c r="BR141" s="315"/>
      <c r="BS141" s="315">
        <v>18639</v>
      </c>
      <c r="BT141" s="315"/>
      <c r="BU141" s="315"/>
      <c r="BV141" s="315"/>
      <c r="BW141" s="315"/>
      <c r="BX141" s="315">
        <v>17458</v>
      </c>
      <c r="BY141" s="315">
        <v>156025</v>
      </c>
      <c r="BZ141" s="315">
        <v>-165</v>
      </c>
      <c r="CA141" s="315">
        <v>167557</v>
      </c>
      <c r="CB141" s="315">
        <v>-189831</v>
      </c>
      <c r="CC141" s="315">
        <v>-8958</v>
      </c>
      <c r="CD141" s="315">
        <v>-180873</v>
      </c>
      <c r="CE141" s="315">
        <v>-22274</v>
      </c>
      <c r="CF141" s="315">
        <v>105782</v>
      </c>
      <c r="CG141" s="315">
        <v>29</v>
      </c>
      <c r="CH141" s="315">
        <v>-128085</v>
      </c>
      <c r="CI141" s="315">
        <v>15321273</v>
      </c>
      <c r="CJ141" s="315">
        <v>627480</v>
      </c>
      <c r="CK141" s="315">
        <v>14693793</v>
      </c>
      <c r="CL141" s="315">
        <v>7246253</v>
      </c>
      <c r="CM141" s="315">
        <v>7134579</v>
      </c>
      <c r="CN141" s="315">
        <v>312961</v>
      </c>
      <c r="CO141" s="315">
        <v>0</v>
      </c>
      <c r="CP141" s="315">
        <v>0</v>
      </c>
      <c r="CQ141" s="315">
        <v>312961</v>
      </c>
      <c r="CR141" s="315">
        <v>-469090</v>
      </c>
      <c r="CS141" s="315">
        <v>-239274</v>
      </c>
      <c r="CT141" s="315">
        <v>0</v>
      </c>
      <c r="CU141" s="315">
        <v>-193413</v>
      </c>
      <c r="CV141" s="315">
        <v>-364</v>
      </c>
      <c r="CW141" s="315">
        <v>-45497</v>
      </c>
      <c r="CX141" s="315">
        <v>-229816</v>
      </c>
      <c r="CY141" s="315">
        <v>0</v>
      </c>
      <c r="CZ141" s="315">
        <v>-211823</v>
      </c>
      <c r="DA141" s="315">
        <v>-17993</v>
      </c>
      <c r="DB141" s="315">
        <v>0</v>
      </c>
      <c r="DC141" s="315">
        <v>0</v>
      </c>
      <c r="DD141" s="315">
        <v>14852183</v>
      </c>
      <c r="DE141" s="315">
        <v>13378585</v>
      </c>
      <c r="DF141" s="315">
        <v>1473598</v>
      </c>
      <c r="DG141" s="315">
        <v>1430446</v>
      </c>
      <c r="DH141" s="315">
        <v>43152</v>
      </c>
      <c r="DI141" s="315">
        <v>1509675</v>
      </c>
      <c r="DJ141" s="315">
        <v>136033</v>
      </c>
      <c r="DK141" s="315">
        <v>22833</v>
      </c>
      <c r="DL141" s="315">
        <v>3125</v>
      </c>
      <c r="DM141" s="315">
        <v>796694</v>
      </c>
      <c r="DN141" s="315">
        <v>472839</v>
      </c>
      <c r="DO141" s="315">
        <v>77977</v>
      </c>
      <c r="DP141" s="315"/>
      <c r="DQ141" s="315"/>
      <c r="DR141" s="315">
        <v>174</v>
      </c>
      <c r="DS141" s="315">
        <v>-3795</v>
      </c>
      <c r="DT141" s="315">
        <v>-2585</v>
      </c>
      <c r="DU141" s="315">
        <v>-17</v>
      </c>
      <c r="DV141" s="315">
        <v>-29</v>
      </c>
      <c r="DW141" s="315">
        <v>-847</v>
      </c>
      <c r="DX141" s="315"/>
      <c r="DY141" s="315"/>
      <c r="DZ141" s="315"/>
      <c r="EA141" s="315">
        <v>-5</v>
      </c>
      <c r="EB141" s="315">
        <v>0</v>
      </c>
      <c r="EC141" s="315"/>
      <c r="ED141" s="315"/>
      <c r="EE141" s="315">
        <v>-312</v>
      </c>
      <c r="EF141" s="315">
        <v>1505880</v>
      </c>
      <c r="EG141" s="315">
        <v>812056</v>
      </c>
      <c r="EH141" s="315">
        <v>693824</v>
      </c>
      <c r="EI141" s="315">
        <v>676564</v>
      </c>
      <c r="EJ141" s="315">
        <v>17260</v>
      </c>
      <c r="EK141" s="315">
        <v>133448</v>
      </c>
      <c r="EL141" s="315">
        <v>100646</v>
      </c>
      <c r="EM141" s="315">
        <v>32802</v>
      </c>
      <c r="EN141" s="315">
        <v>31879</v>
      </c>
      <c r="EO141" s="315">
        <v>923</v>
      </c>
      <c r="EP141" s="315">
        <v>22816</v>
      </c>
      <c r="EQ141" s="315">
        <v>13570</v>
      </c>
      <c r="ER141" s="315">
        <v>9246</v>
      </c>
      <c r="ES141" s="315">
        <v>8992</v>
      </c>
      <c r="ET141" s="315">
        <v>254</v>
      </c>
      <c r="EU141" s="315">
        <v>3096</v>
      </c>
      <c r="EV141" s="315">
        <v>2399</v>
      </c>
      <c r="EW141" s="315">
        <v>697</v>
      </c>
      <c r="EX141" s="315">
        <v>677</v>
      </c>
      <c r="EY141" s="315">
        <v>20</v>
      </c>
      <c r="EZ141" s="315">
        <v>795847</v>
      </c>
      <c r="FA141" s="315">
        <v>436117</v>
      </c>
      <c r="FB141" s="315">
        <v>359730</v>
      </c>
      <c r="FC141" s="315">
        <v>349730</v>
      </c>
      <c r="FD141" s="315">
        <v>10000</v>
      </c>
      <c r="FE141" s="315">
        <v>472834</v>
      </c>
      <c r="FF141" s="315">
        <v>258961</v>
      </c>
      <c r="FG141" s="315">
        <v>213873</v>
      </c>
      <c r="FH141" s="315">
        <v>207810</v>
      </c>
      <c r="FI141" s="315">
        <v>6063</v>
      </c>
      <c r="FJ141" s="315">
        <v>77977</v>
      </c>
      <c r="FK141" s="315">
        <v>501</v>
      </c>
      <c r="FL141" s="315">
        <v>77476</v>
      </c>
      <c r="FM141" s="315">
        <v>77476</v>
      </c>
      <c r="FN141" s="315"/>
      <c r="FO141" s="315"/>
      <c r="FP141" s="315"/>
      <c r="FQ141" s="315">
        <v>-138</v>
      </c>
      <c r="FR141" s="315">
        <v>320977</v>
      </c>
      <c r="FS141" s="315">
        <v>-16551</v>
      </c>
      <c r="FT141" s="315">
        <v>304426</v>
      </c>
      <c r="FU141" s="315"/>
      <c r="FV141" s="315"/>
      <c r="FW141" s="315"/>
      <c r="FX141" s="315">
        <v>114866</v>
      </c>
      <c r="FY141" s="315">
        <v>117217</v>
      </c>
      <c r="FZ141" s="315"/>
      <c r="GA141" s="315"/>
      <c r="GB141" s="315"/>
      <c r="GC141" s="315">
        <v>37630</v>
      </c>
      <c r="GD141" s="315">
        <v>2199</v>
      </c>
      <c r="GE141" s="315"/>
      <c r="GF141" s="315">
        <v>35431</v>
      </c>
      <c r="GG141" s="315">
        <v>34713</v>
      </c>
      <c r="GH141" s="315">
        <v>3784</v>
      </c>
      <c r="GI141" s="315">
        <v>883</v>
      </c>
      <c r="GJ141" s="315">
        <v>30046</v>
      </c>
      <c r="GL141"/>
      <c r="GM141"/>
      <c r="GN141"/>
      <c r="GO141"/>
    </row>
    <row r="142" spans="1:197">
      <c r="A142" s="98" t="s">
        <v>24</v>
      </c>
      <c r="B142" s="98">
        <v>3</v>
      </c>
      <c r="C142" s="98" t="s">
        <v>219</v>
      </c>
      <c r="D142" s="315">
        <v>10181526</v>
      </c>
      <c r="E142" s="315">
        <v>-2506985</v>
      </c>
      <c r="F142" s="315">
        <v>-12021</v>
      </c>
      <c r="G142" s="315">
        <v>7662520</v>
      </c>
      <c r="H142" s="315">
        <v>3956300</v>
      </c>
      <c r="I142" s="315">
        <v>3706220</v>
      </c>
      <c r="J142" s="315">
        <v>3595039</v>
      </c>
      <c r="K142" s="315">
        <v>111181</v>
      </c>
      <c r="L142" s="315">
        <v>3720315</v>
      </c>
      <c r="M142" s="315">
        <v>3421417</v>
      </c>
      <c r="N142" s="315">
        <v>41534</v>
      </c>
      <c r="O142" s="315"/>
      <c r="P142" s="315"/>
      <c r="Q142" s="315">
        <v>34094</v>
      </c>
      <c r="R142" s="315">
        <v>223270</v>
      </c>
      <c r="S142" s="315">
        <v>-132553</v>
      </c>
      <c r="T142" s="315">
        <v>-122939</v>
      </c>
      <c r="U142" s="315">
        <v>-51028</v>
      </c>
      <c r="V142" s="315">
        <v>0</v>
      </c>
      <c r="W142" s="315">
        <v>-6241</v>
      </c>
      <c r="X142" s="315">
        <v>-50055</v>
      </c>
      <c r="Y142" s="315">
        <v>-15615</v>
      </c>
      <c r="Z142" s="315">
        <v>-2451</v>
      </c>
      <c r="AA142" s="315">
        <v>-7163</v>
      </c>
      <c r="AB142" s="315">
        <v>0</v>
      </c>
      <c r="AC142" s="315">
        <v>-12021</v>
      </c>
      <c r="AD142" s="315">
        <v>3575741</v>
      </c>
      <c r="AE142" s="315">
        <v>2036942</v>
      </c>
      <c r="AF142" s="315">
        <v>1538799</v>
      </c>
      <c r="AG142" s="315">
        <v>1488030</v>
      </c>
      <c r="AH142" s="315">
        <v>50769</v>
      </c>
      <c r="AI142" s="315">
        <v>3415522</v>
      </c>
      <c r="AJ142" s="315">
        <v>957531</v>
      </c>
      <c r="AK142" s="315">
        <v>2396410</v>
      </c>
      <c r="AL142" s="315">
        <v>14444</v>
      </c>
      <c r="AM142" s="315">
        <v>150140</v>
      </c>
      <c r="AN142" s="315">
        <v>30574</v>
      </c>
      <c r="AO142" s="315">
        <v>35586</v>
      </c>
      <c r="AP142" s="315"/>
      <c r="AQ142" s="315">
        <v>5505</v>
      </c>
      <c r="AR142" s="315">
        <v>-81405</v>
      </c>
      <c r="AS142" s="315">
        <v>31643</v>
      </c>
      <c r="AT142" s="315">
        <v>197</v>
      </c>
      <c r="AU142" s="315">
        <v>-12021</v>
      </c>
      <c r="AV142" s="315">
        <v>379955</v>
      </c>
      <c r="AW142" s="315">
        <v>15877</v>
      </c>
      <c r="AX142" s="315">
        <v>78257</v>
      </c>
      <c r="AY142" s="315"/>
      <c r="AZ142" s="315"/>
      <c r="BA142" s="315"/>
      <c r="BB142" s="315"/>
      <c r="BC142" s="315">
        <v>175634</v>
      </c>
      <c r="BD142" s="315">
        <v>110187</v>
      </c>
      <c r="BE142" s="315">
        <v>-433764</v>
      </c>
      <c r="BF142" s="315">
        <v>-248012</v>
      </c>
      <c r="BG142" s="315">
        <v>-103654</v>
      </c>
      <c r="BH142" s="315">
        <v>-144358</v>
      </c>
      <c r="BI142" s="315">
        <v>0</v>
      </c>
      <c r="BJ142" s="315">
        <v>-103415</v>
      </c>
      <c r="BK142" s="315">
        <v>-144597</v>
      </c>
      <c r="BL142" s="315">
        <v>-6457</v>
      </c>
      <c r="BM142" s="315">
        <v>-179295</v>
      </c>
      <c r="BN142" s="315">
        <v>-53809</v>
      </c>
      <c r="BO142" s="315">
        <v>-96753</v>
      </c>
      <c r="BP142" s="315">
        <v>12029</v>
      </c>
      <c r="BQ142" s="315">
        <v>15151</v>
      </c>
      <c r="BR142" s="315"/>
      <c r="BS142" s="315">
        <v>9896</v>
      </c>
      <c r="BT142" s="315"/>
      <c r="BU142" s="315"/>
      <c r="BV142" s="315"/>
      <c r="BW142" s="315"/>
      <c r="BX142" s="315">
        <v>-25397</v>
      </c>
      <c r="BY142" s="315">
        <v>31276</v>
      </c>
      <c r="BZ142" s="315">
        <v>-11</v>
      </c>
      <c r="CA142" s="315">
        <v>116214</v>
      </c>
      <c r="CB142" s="315">
        <v>-180272</v>
      </c>
      <c r="CC142" s="315">
        <v>-9972</v>
      </c>
      <c r="CD142" s="315">
        <v>-170300</v>
      </c>
      <c r="CE142" s="315">
        <v>-64058</v>
      </c>
      <c r="CF142" s="315">
        <v>84189</v>
      </c>
      <c r="CG142" s="315">
        <v>9</v>
      </c>
      <c r="CH142" s="315">
        <v>-148256</v>
      </c>
      <c r="CI142" s="315">
        <v>4124434</v>
      </c>
      <c r="CJ142" s="315">
        <v>674607</v>
      </c>
      <c r="CK142" s="315">
        <v>3449827</v>
      </c>
      <c r="CL142" s="315">
        <v>3211638</v>
      </c>
      <c r="CM142" s="315">
        <v>30937</v>
      </c>
      <c r="CN142" s="315">
        <v>207252</v>
      </c>
      <c r="CO142" s="315">
        <v>0</v>
      </c>
      <c r="CP142" s="315">
        <v>49217</v>
      </c>
      <c r="CQ142" s="315">
        <v>158035</v>
      </c>
      <c r="CR142" s="315">
        <v>-1704467</v>
      </c>
      <c r="CS142" s="315">
        <v>-618546</v>
      </c>
      <c r="CT142" s="315">
        <v>-371078</v>
      </c>
      <c r="CU142" s="315">
        <v>-132722</v>
      </c>
      <c r="CV142" s="315">
        <v>-579</v>
      </c>
      <c r="CW142" s="315">
        <v>-114167</v>
      </c>
      <c r="CX142" s="315">
        <v>-1004272</v>
      </c>
      <c r="CY142" s="315">
        <v>-866535</v>
      </c>
      <c r="CZ142" s="315">
        <v>-122871</v>
      </c>
      <c r="DA142" s="315">
        <v>-14866</v>
      </c>
      <c r="DB142" s="315">
        <v>0</v>
      </c>
      <c r="DC142" s="315">
        <v>-81649</v>
      </c>
      <c r="DD142" s="315">
        <v>2419967</v>
      </c>
      <c r="DE142" s="315">
        <v>946367</v>
      </c>
      <c r="DF142" s="315">
        <v>1473600</v>
      </c>
      <c r="DG142" s="315">
        <v>1430447</v>
      </c>
      <c r="DH142" s="315">
        <v>43153</v>
      </c>
      <c r="DI142" s="315">
        <v>1482826</v>
      </c>
      <c r="DJ142" s="315">
        <v>121427</v>
      </c>
      <c r="DK142" s="315">
        <v>19746</v>
      </c>
      <c r="DL142" s="315">
        <v>1885</v>
      </c>
      <c r="DM142" s="315">
        <v>803108</v>
      </c>
      <c r="DN142" s="315">
        <v>455918</v>
      </c>
      <c r="DO142" s="315">
        <v>80473</v>
      </c>
      <c r="DP142" s="315"/>
      <c r="DQ142" s="315"/>
      <c r="DR142" s="315">
        <v>269</v>
      </c>
      <c r="DS142" s="315">
        <v>-32088</v>
      </c>
      <c r="DT142" s="315">
        <v>-1159</v>
      </c>
      <c r="DU142" s="315">
        <v>-473</v>
      </c>
      <c r="DV142" s="315">
        <v>-22</v>
      </c>
      <c r="DW142" s="315">
        <v>-24782</v>
      </c>
      <c r="DX142" s="315"/>
      <c r="DY142" s="315"/>
      <c r="DZ142" s="315"/>
      <c r="EA142" s="315">
        <v>-5276</v>
      </c>
      <c r="EB142" s="315">
        <v>-35</v>
      </c>
      <c r="EC142" s="315"/>
      <c r="ED142" s="315"/>
      <c r="EE142" s="315">
        <v>-341</v>
      </c>
      <c r="EF142" s="315">
        <v>1450738</v>
      </c>
      <c r="EG142" s="315">
        <v>756917</v>
      </c>
      <c r="EH142" s="315">
        <v>693821</v>
      </c>
      <c r="EI142" s="315">
        <v>676562</v>
      </c>
      <c r="EJ142" s="315">
        <v>17259</v>
      </c>
      <c r="EK142" s="315">
        <v>120268</v>
      </c>
      <c r="EL142" s="315">
        <v>87467</v>
      </c>
      <c r="EM142" s="315">
        <v>32801</v>
      </c>
      <c r="EN142" s="315">
        <v>31878</v>
      </c>
      <c r="EO142" s="315">
        <v>923</v>
      </c>
      <c r="EP142" s="315">
        <v>19273</v>
      </c>
      <c r="EQ142" s="315">
        <v>10030</v>
      </c>
      <c r="ER142" s="315">
        <v>9243</v>
      </c>
      <c r="ES142" s="315">
        <v>8991</v>
      </c>
      <c r="ET142" s="315">
        <v>252</v>
      </c>
      <c r="EU142" s="315">
        <v>1863</v>
      </c>
      <c r="EV142" s="315">
        <v>1165</v>
      </c>
      <c r="EW142" s="315">
        <v>698</v>
      </c>
      <c r="EX142" s="315">
        <v>678</v>
      </c>
      <c r="EY142" s="315">
        <v>20</v>
      </c>
      <c r="EZ142" s="315">
        <v>778326</v>
      </c>
      <c r="FA142" s="315">
        <v>418597</v>
      </c>
      <c r="FB142" s="315">
        <v>359729</v>
      </c>
      <c r="FC142" s="315">
        <v>349729</v>
      </c>
      <c r="FD142" s="315">
        <v>10000</v>
      </c>
      <c r="FE142" s="315">
        <v>450642</v>
      </c>
      <c r="FF142" s="315">
        <v>236767</v>
      </c>
      <c r="FG142" s="315">
        <v>213875</v>
      </c>
      <c r="FH142" s="315">
        <v>207811</v>
      </c>
      <c r="FI142" s="315">
        <v>6064</v>
      </c>
      <c r="FJ142" s="315">
        <v>80438</v>
      </c>
      <c r="FK142" s="315">
        <v>2963</v>
      </c>
      <c r="FL142" s="315">
        <v>77475</v>
      </c>
      <c r="FM142" s="315">
        <v>77475</v>
      </c>
      <c r="FN142" s="315"/>
      <c r="FO142" s="315"/>
      <c r="FP142" s="315"/>
      <c r="FQ142" s="315">
        <v>-72</v>
      </c>
      <c r="FR142" s="315">
        <v>357782</v>
      </c>
      <c r="FS142" s="315">
        <v>-23841</v>
      </c>
      <c r="FT142" s="315">
        <v>333941</v>
      </c>
      <c r="FU142" s="315"/>
      <c r="FV142" s="315"/>
      <c r="FW142" s="315"/>
      <c r="FX142" s="315">
        <v>136701</v>
      </c>
      <c r="FY142" s="315">
        <v>107530</v>
      </c>
      <c r="FZ142" s="315"/>
      <c r="GA142" s="315"/>
      <c r="GB142" s="315"/>
      <c r="GC142" s="315">
        <v>61214</v>
      </c>
      <c r="GD142" s="315">
        <v>1028</v>
      </c>
      <c r="GE142" s="315"/>
      <c r="GF142" s="315">
        <v>60186</v>
      </c>
      <c r="GG142" s="315">
        <v>28496</v>
      </c>
      <c r="GH142" s="315">
        <v>2802</v>
      </c>
      <c r="GI142" s="315">
        <v>640</v>
      </c>
      <c r="GJ142" s="315">
        <v>25054</v>
      </c>
      <c r="GL142"/>
      <c r="GM142"/>
      <c r="GN142"/>
      <c r="GO142"/>
    </row>
    <row r="143" spans="1:197">
      <c r="A143" s="98" t="s">
        <v>24</v>
      </c>
      <c r="B143" s="98">
        <v>4</v>
      </c>
      <c r="C143" s="98" t="s">
        <v>220</v>
      </c>
      <c r="D143" s="315">
        <v>27251228</v>
      </c>
      <c r="E143" s="315">
        <v>-2191542</v>
      </c>
      <c r="F143" s="315">
        <v>-12020</v>
      </c>
      <c r="G143" s="315">
        <v>25047666</v>
      </c>
      <c r="H143" s="315">
        <v>21341444</v>
      </c>
      <c r="I143" s="315">
        <v>3706222</v>
      </c>
      <c r="J143" s="315">
        <v>3595042</v>
      </c>
      <c r="K143" s="315">
        <v>111180</v>
      </c>
      <c r="L143" s="315">
        <v>8320555</v>
      </c>
      <c r="M143" s="315">
        <v>6947211</v>
      </c>
      <c r="N143" s="315">
        <v>45068</v>
      </c>
      <c r="O143" s="315"/>
      <c r="P143" s="315"/>
      <c r="Q143" s="315">
        <v>35305</v>
      </c>
      <c r="R143" s="315">
        <v>1292971</v>
      </c>
      <c r="S143" s="315">
        <v>-350691</v>
      </c>
      <c r="T143" s="315">
        <v>-335635</v>
      </c>
      <c r="U143" s="315">
        <v>-53467</v>
      </c>
      <c r="V143" s="315">
        <v>0</v>
      </c>
      <c r="W143" s="315">
        <v>-248539</v>
      </c>
      <c r="X143" s="315">
        <v>0</v>
      </c>
      <c r="Y143" s="315">
        <v>-33629</v>
      </c>
      <c r="Z143" s="315">
        <v>-2188</v>
      </c>
      <c r="AA143" s="315">
        <v>-12868</v>
      </c>
      <c r="AB143" s="315">
        <v>0</v>
      </c>
      <c r="AC143" s="315">
        <v>-12020</v>
      </c>
      <c r="AD143" s="315">
        <v>7957844</v>
      </c>
      <c r="AE143" s="315">
        <v>6419045</v>
      </c>
      <c r="AF143" s="315">
        <v>1538799</v>
      </c>
      <c r="AG143" s="315">
        <v>1488031</v>
      </c>
      <c r="AH143" s="315">
        <v>50768</v>
      </c>
      <c r="AI143" s="315">
        <v>6935744</v>
      </c>
      <c r="AJ143" s="315">
        <v>898030</v>
      </c>
      <c r="AK143" s="315">
        <v>2452601</v>
      </c>
      <c r="AL143" s="315">
        <v>3545079</v>
      </c>
      <c r="AM143" s="315">
        <v>200120</v>
      </c>
      <c r="AN143" s="315">
        <v>284151</v>
      </c>
      <c r="AO143" s="315">
        <v>54605</v>
      </c>
      <c r="AP143" s="315"/>
      <c r="AQ143" s="315">
        <v>752683</v>
      </c>
      <c r="AR143" s="315">
        <v>-290567</v>
      </c>
      <c r="AS143" s="315">
        <v>33117</v>
      </c>
      <c r="AT143" s="315">
        <v>11</v>
      </c>
      <c r="AU143" s="315">
        <v>-12020</v>
      </c>
      <c r="AV143" s="315">
        <v>5788607</v>
      </c>
      <c r="AW143" s="315">
        <v>5349540</v>
      </c>
      <c r="AX143" s="315">
        <v>112890</v>
      </c>
      <c r="AY143" s="315"/>
      <c r="AZ143" s="315"/>
      <c r="BA143" s="315"/>
      <c r="BB143" s="315"/>
      <c r="BC143" s="315">
        <v>77850</v>
      </c>
      <c r="BD143" s="315">
        <v>248327</v>
      </c>
      <c r="BE143" s="315">
        <v>-64898</v>
      </c>
      <c r="BF143" s="315">
        <v>-58484</v>
      </c>
      <c r="BG143" s="315">
        <v>-48193</v>
      </c>
      <c r="BH143" s="315">
        <v>-10291</v>
      </c>
      <c r="BI143" s="315">
        <v>0</v>
      </c>
      <c r="BJ143" s="315">
        <v>-50552</v>
      </c>
      <c r="BK143" s="315">
        <v>-7932</v>
      </c>
      <c r="BL143" s="315">
        <v>-3279</v>
      </c>
      <c r="BM143" s="315">
        <v>-3135</v>
      </c>
      <c r="BN143" s="315">
        <v>5723709</v>
      </c>
      <c r="BO143" s="315">
        <v>101431</v>
      </c>
      <c r="BP143" s="315">
        <v>119752</v>
      </c>
      <c r="BQ143" s="315">
        <v>23243</v>
      </c>
      <c r="BR143" s="315"/>
      <c r="BS143" s="315">
        <v>5346857</v>
      </c>
      <c r="BT143" s="315"/>
      <c r="BU143" s="315"/>
      <c r="BV143" s="315"/>
      <c r="BW143" s="315"/>
      <c r="BX143" s="315">
        <v>64697</v>
      </c>
      <c r="BY143" s="315">
        <v>67559</v>
      </c>
      <c r="BZ143" s="315">
        <v>170</v>
      </c>
      <c r="CA143" s="315">
        <v>159917</v>
      </c>
      <c r="CB143" s="315">
        <v>-35717</v>
      </c>
      <c r="CC143" s="315">
        <v>-14511</v>
      </c>
      <c r="CD143" s="315">
        <v>-21206</v>
      </c>
      <c r="CE143" s="315">
        <v>124200</v>
      </c>
      <c r="CF143" s="315">
        <v>106885</v>
      </c>
      <c r="CG143" s="315">
        <v>20771</v>
      </c>
      <c r="CH143" s="315">
        <v>-3456</v>
      </c>
      <c r="CI143" s="315">
        <v>10921691</v>
      </c>
      <c r="CJ143" s="315">
        <v>692694</v>
      </c>
      <c r="CK143" s="315">
        <v>10228997</v>
      </c>
      <c r="CL143" s="315">
        <v>3784685</v>
      </c>
      <c r="CM143" s="315">
        <v>6235561</v>
      </c>
      <c r="CN143" s="315">
        <v>208751</v>
      </c>
      <c r="CO143" s="315">
        <v>0</v>
      </c>
      <c r="CP143" s="315">
        <v>0</v>
      </c>
      <c r="CQ143" s="315">
        <v>208751</v>
      </c>
      <c r="CR143" s="315">
        <v>-1667008</v>
      </c>
      <c r="CS143" s="315">
        <v>-479841</v>
      </c>
      <c r="CT143" s="315">
        <v>-380383</v>
      </c>
      <c r="CU143" s="315">
        <v>-47362</v>
      </c>
      <c r="CV143" s="315">
        <v>-165</v>
      </c>
      <c r="CW143" s="315">
        <v>-51931</v>
      </c>
      <c r="CX143" s="315">
        <v>-860694</v>
      </c>
      <c r="CY143" s="315">
        <v>-662831</v>
      </c>
      <c r="CZ143" s="315">
        <v>-191277</v>
      </c>
      <c r="DA143" s="315">
        <v>-6586</v>
      </c>
      <c r="DB143" s="315">
        <v>-326473</v>
      </c>
      <c r="DC143" s="315">
        <v>0</v>
      </c>
      <c r="DD143" s="315">
        <v>9254683</v>
      </c>
      <c r="DE143" s="315">
        <v>7781084</v>
      </c>
      <c r="DF143" s="315">
        <v>1473599</v>
      </c>
      <c r="DG143" s="315">
        <v>1430447</v>
      </c>
      <c r="DH143" s="315">
        <v>43152</v>
      </c>
      <c r="DI143" s="315">
        <v>1471625</v>
      </c>
      <c r="DJ143" s="315">
        <v>34149</v>
      </c>
      <c r="DK143" s="315">
        <v>18110</v>
      </c>
      <c r="DL143" s="315">
        <v>792</v>
      </c>
      <c r="DM143" s="315">
        <v>955993</v>
      </c>
      <c r="DN143" s="315">
        <v>372395</v>
      </c>
      <c r="DO143" s="315">
        <v>89759</v>
      </c>
      <c r="DP143" s="315"/>
      <c r="DQ143" s="315"/>
      <c r="DR143" s="315">
        <v>427</v>
      </c>
      <c r="DS143" s="315">
        <v>-66431</v>
      </c>
      <c r="DT143" s="315">
        <v>-24471</v>
      </c>
      <c r="DU143" s="315">
        <v>-4804</v>
      </c>
      <c r="DV143" s="315">
        <v>-14</v>
      </c>
      <c r="DW143" s="315">
        <v>-542</v>
      </c>
      <c r="DX143" s="315"/>
      <c r="DY143" s="315"/>
      <c r="DZ143" s="315"/>
      <c r="EA143" s="315">
        <v>-36576</v>
      </c>
      <c r="EB143" s="315">
        <v>0</v>
      </c>
      <c r="EC143" s="315"/>
      <c r="ED143" s="315"/>
      <c r="EE143" s="315">
        <v>-24</v>
      </c>
      <c r="EF143" s="315">
        <v>1405194</v>
      </c>
      <c r="EG143" s="315">
        <v>711370</v>
      </c>
      <c r="EH143" s="315">
        <v>693824</v>
      </c>
      <c r="EI143" s="315">
        <v>676564</v>
      </c>
      <c r="EJ143" s="315">
        <v>17260</v>
      </c>
      <c r="EK143" s="315">
        <v>9678</v>
      </c>
      <c r="EL143" s="315">
        <v>-23124</v>
      </c>
      <c r="EM143" s="315">
        <v>32802</v>
      </c>
      <c r="EN143" s="315">
        <v>31879</v>
      </c>
      <c r="EO143" s="315">
        <v>923</v>
      </c>
      <c r="EP143" s="315">
        <v>13306</v>
      </c>
      <c r="EQ143" s="315">
        <v>4061</v>
      </c>
      <c r="ER143" s="315">
        <v>9245</v>
      </c>
      <c r="ES143" s="315">
        <v>8992</v>
      </c>
      <c r="ET143" s="315">
        <v>253</v>
      </c>
      <c r="EU143" s="315">
        <v>778</v>
      </c>
      <c r="EV143" s="315">
        <v>80</v>
      </c>
      <c r="EW143" s="315">
        <v>698</v>
      </c>
      <c r="EX143" s="315">
        <v>677</v>
      </c>
      <c r="EY143" s="315">
        <v>21</v>
      </c>
      <c r="EZ143" s="315">
        <v>955451</v>
      </c>
      <c r="FA143" s="315">
        <v>595722</v>
      </c>
      <c r="FB143" s="315">
        <v>359729</v>
      </c>
      <c r="FC143" s="315">
        <v>349729</v>
      </c>
      <c r="FD143" s="315">
        <v>10000</v>
      </c>
      <c r="FE143" s="315">
        <v>335819</v>
      </c>
      <c r="FF143" s="315">
        <v>121945</v>
      </c>
      <c r="FG143" s="315">
        <v>213874</v>
      </c>
      <c r="FH143" s="315">
        <v>207811</v>
      </c>
      <c r="FI143" s="315">
        <v>6063</v>
      </c>
      <c r="FJ143" s="315">
        <v>89759</v>
      </c>
      <c r="FK143" s="315">
        <v>12283</v>
      </c>
      <c r="FL143" s="315">
        <v>77476</v>
      </c>
      <c r="FM143" s="315">
        <v>77476</v>
      </c>
      <c r="FN143" s="315"/>
      <c r="FO143" s="315"/>
      <c r="FP143" s="315"/>
      <c r="FQ143" s="315">
        <v>403</v>
      </c>
      <c r="FR143" s="315">
        <v>588833</v>
      </c>
      <c r="FS143" s="315">
        <v>-6797</v>
      </c>
      <c r="FT143" s="315">
        <v>582036</v>
      </c>
      <c r="FU143" s="315"/>
      <c r="FV143" s="315"/>
      <c r="FW143" s="315"/>
      <c r="FX143" s="315">
        <v>134603</v>
      </c>
      <c r="FY143" s="315">
        <v>125556</v>
      </c>
      <c r="FZ143" s="315"/>
      <c r="GA143" s="315"/>
      <c r="GB143" s="315"/>
      <c r="GC143" s="315">
        <v>265382</v>
      </c>
      <c r="GD143" s="315">
        <v>230819</v>
      </c>
      <c r="GE143" s="315"/>
      <c r="GF143" s="315">
        <v>34563</v>
      </c>
      <c r="GG143" s="315">
        <v>56495</v>
      </c>
      <c r="GH143" s="315">
        <v>3107</v>
      </c>
      <c r="GI143" s="315">
        <v>6844</v>
      </c>
      <c r="GJ143" s="315">
        <v>46544</v>
      </c>
      <c r="GL143"/>
      <c r="GM143"/>
      <c r="GN143"/>
      <c r="GO143"/>
    </row>
    <row r="144" spans="1:197">
      <c r="A144" s="98" t="s">
        <v>24</v>
      </c>
      <c r="B144" s="98">
        <v>5</v>
      </c>
      <c r="C144" s="98" t="s">
        <v>221</v>
      </c>
      <c r="D144" s="315">
        <v>9963474</v>
      </c>
      <c r="E144" s="315">
        <v>-4641053</v>
      </c>
      <c r="F144" s="315">
        <v>-12020</v>
      </c>
      <c r="G144" s="315">
        <v>5310401</v>
      </c>
      <c r="H144" s="315">
        <v>1604183</v>
      </c>
      <c r="I144" s="315">
        <v>3706218</v>
      </c>
      <c r="J144" s="315">
        <v>3595038</v>
      </c>
      <c r="K144" s="315">
        <v>111180</v>
      </c>
      <c r="L144" s="315">
        <v>3587115</v>
      </c>
      <c r="M144" s="315">
        <v>3127270</v>
      </c>
      <c r="N144" s="315">
        <v>162802</v>
      </c>
      <c r="O144" s="315"/>
      <c r="P144" s="315"/>
      <c r="Q144" s="315">
        <v>33031</v>
      </c>
      <c r="R144" s="315">
        <v>264012</v>
      </c>
      <c r="S144" s="315">
        <v>-2009715</v>
      </c>
      <c r="T144" s="315">
        <v>-1998464</v>
      </c>
      <c r="U144" s="315">
        <v>-55448</v>
      </c>
      <c r="V144" s="315">
        <v>0</v>
      </c>
      <c r="W144" s="315">
        <v>-1922222</v>
      </c>
      <c r="X144" s="315">
        <v>0</v>
      </c>
      <c r="Y144" s="315">
        <v>-20794</v>
      </c>
      <c r="Z144" s="315">
        <v>-3199</v>
      </c>
      <c r="AA144" s="315">
        <v>-8052</v>
      </c>
      <c r="AB144" s="315">
        <v>0</v>
      </c>
      <c r="AC144" s="315">
        <v>-12020</v>
      </c>
      <c r="AD144" s="315">
        <v>1565380</v>
      </c>
      <c r="AE144" s="315">
        <v>26581</v>
      </c>
      <c r="AF144" s="315">
        <v>1538799</v>
      </c>
      <c r="AG144" s="315">
        <v>1488030</v>
      </c>
      <c r="AH144" s="315">
        <v>50769</v>
      </c>
      <c r="AI144" s="315">
        <v>3122905</v>
      </c>
      <c r="AJ144" s="315">
        <v>897862</v>
      </c>
      <c r="AK144" s="315">
        <v>2154065</v>
      </c>
      <c r="AL144" s="315">
        <v>25290</v>
      </c>
      <c r="AM144" s="315">
        <v>175102</v>
      </c>
      <c r="AN144" s="315">
        <v>34477</v>
      </c>
      <c r="AO144" s="315">
        <v>36356</v>
      </c>
      <c r="AP144" s="315"/>
      <c r="AQ144" s="315">
        <v>14389</v>
      </c>
      <c r="AR144" s="315">
        <v>-1835662</v>
      </c>
      <c r="AS144" s="315">
        <v>29832</v>
      </c>
      <c r="AT144" s="315">
        <v>1</v>
      </c>
      <c r="AU144" s="315">
        <v>-12020</v>
      </c>
      <c r="AV144" s="315">
        <v>325277</v>
      </c>
      <c r="AW144" s="315">
        <v>36468</v>
      </c>
      <c r="AX144" s="315">
        <v>135396</v>
      </c>
      <c r="AY144" s="315"/>
      <c r="AZ144" s="315"/>
      <c r="BA144" s="315"/>
      <c r="BB144" s="315"/>
      <c r="BC144" s="315">
        <v>48342</v>
      </c>
      <c r="BD144" s="315">
        <v>105071</v>
      </c>
      <c r="BE144" s="315">
        <v>-71253</v>
      </c>
      <c r="BF144" s="315">
        <v>-55456</v>
      </c>
      <c r="BG144" s="315">
        <v>-48792</v>
      </c>
      <c r="BH144" s="315">
        <v>-6664</v>
      </c>
      <c r="BI144" s="315">
        <v>0</v>
      </c>
      <c r="BJ144" s="315">
        <v>-35410</v>
      </c>
      <c r="BK144" s="315">
        <v>-20046</v>
      </c>
      <c r="BL144" s="315">
        <v>-15656</v>
      </c>
      <c r="BM144" s="315">
        <v>-141</v>
      </c>
      <c r="BN144" s="315">
        <v>254024</v>
      </c>
      <c r="BO144" s="315">
        <v>74207</v>
      </c>
      <c r="BP144" s="315">
        <v>13593</v>
      </c>
      <c r="BQ144" s="315">
        <v>15475</v>
      </c>
      <c r="BR144" s="315"/>
      <c r="BS144" s="315">
        <v>22698</v>
      </c>
      <c r="BT144" s="315"/>
      <c r="BU144" s="315"/>
      <c r="BV144" s="315"/>
      <c r="BW144" s="315"/>
      <c r="BX144" s="315">
        <v>86604</v>
      </c>
      <c r="BY144" s="315">
        <v>41678</v>
      </c>
      <c r="BZ144" s="315">
        <v>-231</v>
      </c>
      <c r="CA144" s="315">
        <v>120785</v>
      </c>
      <c r="CB144" s="315">
        <v>-5980</v>
      </c>
      <c r="CC144" s="315">
        <v>-4710</v>
      </c>
      <c r="CD144" s="315">
        <v>-1270</v>
      </c>
      <c r="CE144" s="315">
        <v>114805</v>
      </c>
      <c r="CF144" s="315">
        <v>110975</v>
      </c>
      <c r="CG144" s="315">
        <v>-3</v>
      </c>
      <c r="CH144" s="315">
        <v>3833</v>
      </c>
      <c r="CI144" s="315">
        <v>4037611</v>
      </c>
      <c r="CJ144" s="315">
        <v>697772</v>
      </c>
      <c r="CK144" s="315">
        <v>3339839</v>
      </c>
      <c r="CL144" s="315">
        <v>3151487</v>
      </c>
      <c r="CM144" s="315">
        <v>47846</v>
      </c>
      <c r="CN144" s="315">
        <v>140506</v>
      </c>
      <c r="CO144" s="315">
        <v>0</v>
      </c>
      <c r="CP144" s="315">
        <v>0</v>
      </c>
      <c r="CQ144" s="315">
        <v>140506</v>
      </c>
      <c r="CR144" s="315">
        <v>-2541720</v>
      </c>
      <c r="CS144" s="315">
        <v>-1570933</v>
      </c>
      <c r="CT144" s="315">
        <v>-1357938</v>
      </c>
      <c r="CU144" s="315">
        <v>-17718</v>
      </c>
      <c r="CV144" s="315">
        <v>-220</v>
      </c>
      <c r="CW144" s="315">
        <v>-195057</v>
      </c>
      <c r="CX144" s="315">
        <v>-970787</v>
      </c>
      <c r="CY144" s="315">
        <v>-584865</v>
      </c>
      <c r="CZ144" s="315">
        <v>-381829</v>
      </c>
      <c r="DA144" s="315">
        <v>-4093</v>
      </c>
      <c r="DB144" s="315">
        <v>0</v>
      </c>
      <c r="DC144" s="315">
        <v>0</v>
      </c>
      <c r="DD144" s="315">
        <v>1495891</v>
      </c>
      <c r="DE144" s="315">
        <v>22292</v>
      </c>
      <c r="DF144" s="315">
        <v>1473599</v>
      </c>
      <c r="DG144" s="315">
        <v>1430446</v>
      </c>
      <c r="DH144" s="315">
        <v>43153</v>
      </c>
      <c r="DI144" s="315">
        <v>1450404</v>
      </c>
      <c r="DJ144" s="315">
        <v>73130</v>
      </c>
      <c r="DK144" s="315">
        <v>18441</v>
      </c>
      <c r="DL144" s="315">
        <v>2064</v>
      </c>
      <c r="DM144" s="315">
        <v>812372</v>
      </c>
      <c r="DN144" s="315">
        <v>468142</v>
      </c>
      <c r="DO144" s="315">
        <v>76065</v>
      </c>
      <c r="DP144" s="315"/>
      <c r="DQ144" s="315"/>
      <c r="DR144" s="315">
        <v>190</v>
      </c>
      <c r="DS144" s="315">
        <v>-2908</v>
      </c>
      <c r="DT144" s="315">
        <v>-2054</v>
      </c>
      <c r="DU144" s="315">
        <v>-38</v>
      </c>
      <c r="DV144" s="315">
        <v>-2</v>
      </c>
      <c r="DW144" s="315">
        <v>-800</v>
      </c>
      <c r="DX144" s="315"/>
      <c r="DY144" s="315"/>
      <c r="DZ144" s="315"/>
      <c r="EA144" s="315">
        <v>0</v>
      </c>
      <c r="EB144" s="315">
        <v>0</v>
      </c>
      <c r="EC144" s="315"/>
      <c r="ED144" s="315"/>
      <c r="EE144" s="315">
        <v>-14</v>
      </c>
      <c r="EF144" s="315">
        <v>1447496</v>
      </c>
      <c r="EG144" s="315">
        <v>753676</v>
      </c>
      <c r="EH144" s="315">
        <v>693820</v>
      </c>
      <c r="EI144" s="315">
        <v>676562</v>
      </c>
      <c r="EJ144" s="315">
        <v>17258</v>
      </c>
      <c r="EK144" s="315">
        <v>71076</v>
      </c>
      <c r="EL144" s="315">
        <v>38275</v>
      </c>
      <c r="EM144" s="315">
        <v>32801</v>
      </c>
      <c r="EN144" s="315">
        <v>31878</v>
      </c>
      <c r="EO144" s="315">
        <v>923</v>
      </c>
      <c r="EP144" s="315">
        <v>18403</v>
      </c>
      <c r="EQ144" s="315">
        <v>9160</v>
      </c>
      <c r="ER144" s="315">
        <v>9243</v>
      </c>
      <c r="ES144" s="315">
        <v>8991</v>
      </c>
      <c r="ET144" s="315">
        <v>252</v>
      </c>
      <c r="EU144" s="315">
        <v>2062</v>
      </c>
      <c r="EV144" s="315">
        <v>1364</v>
      </c>
      <c r="EW144" s="315">
        <v>698</v>
      </c>
      <c r="EX144" s="315">
        <v>678</v>
      </c>
      <c r="EY144" s="315">
        <v>20</v>
      </c>
      <c r="EZ144" s="315">
        <v>811572</v>
      </c>
      <c r="FA144" s="315">
        <v>451842</v>
      </c>
      <c r="FB144" s="315">
        <v>359730</v>
      </c>
      <c r="FC144" s="315">
        <v>349730</v>
      </c>
      <c r="FD144" s="315">
        <v>10000</v>
      </c>
      <c r="FE144" s="315">
        <v>468142</v>
      </c>
      <c r="FF144" s="315">
        <v>254269</v>
      </c>
      <c r="FG144" s="315">
        <v>213873</v>
      </c>
      <c r="FH144" s="315">
        <v>207810</v>
      </c>
      <c r="FI144" s="315">
        <v>6063</v>
      </c>
      <c r="FJ144" s="315">
        <v>76065</v>
      </c>
      <c r="FK144" s="315">
        <v>-1410</v>
      </c>
      <c r="FL144" s="315">
        <v>77475</v>
      </c>
      <c r="FM144" s="315">
        <v>77475</v>
      </c>
      <c r="FN144" s="315"/>
      <c r="FO144" s="315"/>
      <c r="FP144" s="315"/>
      <c r="FQ144" s="315">
        <v>176</v>
      </c>
      <c r="FR144" s="315">
        <v>442282</v>
      </c>
      <c r="FS144" s="315">
        <v>-9477</v>
      </c>
      <c r="FT144" s="315">
        <v>432805</v>
      </c>
      <c r="FU144" s="315"/>
      <c r="FV144" s="315"/>
      <c r="FW144" s="315"/>
      <c r="FX144" s="315">
        <v>125683</v>
      </c>
      <c r="FY144" s="315">
        <v>121401</v>
      </c>
      <c r="FZ144" s="315"/>
      <c r="GA144" s="315"/>
      <c r="GB144" s="315"/>
      <c r="GC144" s="315">
        <v>53384</v>
      </c>
      <c r="GD144" s="315">
        <v>7008</v>
      </c>
      <c r="GE144" s="315"/>
      <c r="GF144" s="315">
        <v>46376</v>
      </c>
      <c r="GG144" s="315">
        <v>132337</v>
      </c>
      <c r="GH144" s="315">
        <v>4241</v>
      </c>
      <c r="GI144" s="315">
        <v>956</v>
      </c>
      <c r="GJ144" s="315">
        <v>127140</v>
      </c>
      <c r="GL144"/>
      <c r="GM144"/>
      <c r="GN144"/>
      <c r="GO144"/>
    </row>
    <row r="145" spans="1:197">
      <c r="A145" s="98" t="s">
        <v>24</v>
      </c>
      <c r="B145" s="98">
        <v>6</v>
      </c>
      <c r="C145" s="98" t="s">
        <v>222</v>
      </c>
      <c r="D145" s="315">
        <v>11801364</v>
      </c>
      <c r="E145" s="315">
        <v>-5710762</v>
      </c>
      <c r="F145" s="315">
        <v>-12020</v>
      </c>
      <c r="G145" s="315">
        <v>6078582</v>
      </c>
      <c r="H145" s="315">
        <v>2372359</v>
      </c>
      <c r="I145" s="315">
        <v>3706223</v>
      </c>
      <c r="J145" s="315">
        <v>3595041</v>
      </c>
      <c r="K145" s="315">
        <v>111182</v>
      </c>
      <c r="L145" s="315">
        <v>4756313</v>
      </c>
      <c r="M145" s="315">
        <v>3230817</v>
      </c>
      <c r="N145" s="315">
        <v>1052888</v>
      </c>
      <c r="O145" s="315"/>
      <c r="P145" s="315"/>
      <c r="Q145" s="315">
        <v>39460</v>
      </c>
      <c r="R145" s="315">
        <v>433148</v>
      </c>
      <c r="S145" s="315">
        <v>-3213242</v>
      </c>
      <c r="T145" s="315">
        <v>-3205496</v>
      </c>
      <c r="U145" s="315">
        <v>-54895</v>
      </c>
      <c r="V145" s="315">
        <v>0</v>
      </c>
      <c r="W145" s="315">
        <v>-3129869</v>
      </c>
      <c r="X145" s="315">
        <v>0</v>
      </c>
      <c r="Y145" s="315">
        <v>-20732</v>
      </c>
      <c r="Z145" s="315">
        <v>-1250</v>
      </c>
      <c r="AA145" s="315">
        <v>-6496</v>
      </c>
      <c r="AB145" s="315">
        <v>0</v>
      </c>
      <c r="AC145" s="315">
        <v>-12020</v>
      </c>
      <c r="AD145" s="315">
        <v>1531051</v>
      </c>
      <c r="AE145" s="315">
        <v>-7749</v>
      </c>
      <c r="AF145" s="315">
        <v>1538800</v>
      </c>
      <c r="AG145" s="315">
        <v>1488031</v>
      </c>
      <c r="AH145" s="315">
        <v>50769</v>
      </c>
      <c r="AI145" s="315">
        <v>3225585</v>
      </c>
      <c r="AJ145" s="315">
        <v>1058457</v>
      </c>
      <c r="AK145" s="315">
        <v>2114563</v>
      </c>
      <c r="AL145" s="315">
        <v>13930</v>
      </c>
      <c r="AM145" s="315">
        <v>350251</v>
      </c>
      <c r="AN145" s="315">
        <v>32282</v>
      </c>
      <c r="AO145" s="315">
        <v>41051</v>
      </c>
      <c r="AP145" s="315"/>
      <c r="AQ145" s="315">
        <v>8274</v>
      </c>
      <c r="AR145" s="315">
        <v>-2152608</v>
      </c>
      <c r="AS145" s="315">
        <v>38210</v>
      </c>
      <c r="AT145" s="315">
        <v>26</v>
      </c>
      <c r="AU145" s="315">
        <v>-12020</v>
      </c>
      <c r="AV145" s="315">
        <v>473198</v>
      </c>
      <c r="AW145" s="315">
        <v>94658</v>
      </c>
      <c r="AX145" s="315">
        <v>109637</v>
      </c>
      <c r="AY145" s="315"/>
      <c r="AZ145" s="315"/>
      <c r="BA145" s="315"/>
      <c r="BB145" s="315"/>
      <c r="BC145" s="315">
        <v>88900</v>
      </c>
      <c r="BD145" s="315">
        <v>180003</v>
      </c>
      <c r="BE145" s="315">
        <v>-37008</v>
      </c>
      <c r="BF145" s="315">
        <v>-33714</v>
      </c>
      <c r="BG145" s="315">
        <v>-29708</v>
      </c>
      <c r="BH145" s="315">
        <v>-4006</v>
      </c>
      <c r="BI145" s="315">
        <v>0</v>
      </c>
      <c r="BJ145" s="315">
        <v>-22704</v>
      </c>
      <c r="BK145" s="315">
        <v>-11010</v>
      </c>
      <c r="BL145" s="315">
        <v>-1895</v>
      </c>
      <c r="BM145" s="315">
        <v>-1399</v>
      </c>
      <c r="BN145" s="315">
        <v>436190</v>
      </c>
      <c r="BO145" s="315">
        <v>148002</v>
      </c>
      <c r="BP145" s="315">
        <v>12478</v>
      </c>
      <c r="BQ145" s="315">
        <v>17414</v>
      </c>
      <c r="BR145" s="315"/>
      <c r="BS145" s="315">
        <v>93361</v>
      </c>
      <c r="BT145" s="315"/>
      <c r="BU145" s="315"/>
      <c r="BV145" s="315"/>
      <c r="BW145" s="315"/>
      <c r="BX145" s="315">
        <v>79929</v>
      </c>
      <c r="BY145" s="315">
        <v>84894</v>
      </c>
      <c r="BZ145" s="315">
        <v>112</v>
      </c>
      <c r="CA145" s="315">
        <v>129914</v>
      </c>
      <c r="CB145" s="315">
        <v>-17316</v>
      </c>
      <c r="CC145" s="315">
        <v>-4719</v>
      </c>
      <c r="CD145" s="315">
        <v>-12597</v>
      </c>
      <c r="CE145" s="315">
        <v>112598</v>
      </c>
      <c r="CF145" s="315">
        <v>117346</v>
      </c>
      <c r="CG145" s="315">
        <v>253</v>
      </c>
      <c r="CH145" s="315">
        <v>-5001</v>
      </c>
      <c r="CI145" s="315">
        <v>4407780</v>
      </c>
      <c r="CJ145" s="315">
        <v>744035</v>
      </c>
      <c r="CK145" s="315">
        <v>3663745</v>
      </c>
      <c r="CL145" s="315">
        <v>3374278</v>
      </c>
      <c r="CM145" s="315">
        <v>30878</v>
      </c>
      <c r="CN145" s="315">
        <v>258589</v>
      </c>
      <c r="CO145" s="315">
        <v>0</v>
      </c>
      <c r="CP145" s="315">
        <v>0</v>
      </c>
      <c r="CQ145" s="315">
        <v>258589</v>
      </c>
      <c r="CR145" s="315">
        <v>-2423577</v>
      </c>
      <c r="CS145" s="315">
        <v>-1235858</v>
      </c>
      <c r="CT145" s="315">
        <v>-1035232</v>
      </c>
      <c r="CU145" s="315">
        <v>-13878</v>
      </c>
      <c r="CV145" s="315">
        <v>-1218</v>
      </c>
      <c r="CW145" s="315">
        <v>-185530</v>
      </c>
      <c r="CX145" s="315">
        <v>-1115064</v>
      </c>
      <c r="CY145" s="315">
        <v>-745315</v>
      </c>
      <c r="CZ145" s="315">
        <v>-361247</v>
      </c>
      <c r="DA145" s="315">
        <v>-8502</v>
      </c>
      <c r="DB145" s="315">
        <v>0</v>
      </c>
      <c r="DC145" s="315">
        <v>-72655</v>
      </c>
      <c r="DD145" s="315">
        <v>1984203</v>
      </c>
      <c r="DE145" s="315">
        <v>510604</v>
      </c>
      <c r="DF145" s="315">
        <v>1473599</v>
      </c>
      <c r="DG145" s="315">
        <v>1430447</v>
      </c>
      <c r="DH145" s="315">
        <v>43152</v>
      </c>
      <c r="DI145" s="315">
        <v>1663927</v>
      </c>
      <c r="DJ145" s="315">
        <v>77925</v>
      </c>
      <c r="DK145" s="315">
        <v>23598</v>
      </c>
      <c r="DL145" s="315">
        <v>1521</v>
      </c>
      <c r="DM145" s="315">
        <v>893760</v>
      </c>
      <c r="DN145" s="315">
        <v>591170</v>
      </c>
      <c r="DO145" s="315">
        <v>75756</v>
      </c>
      <c r="DP145" s="315"/>
      <c r="DQ145" s="315"/>
      <c r="DR145" s="315">
        <v>197</v>
      </c>
      <c r="DS145" s="315">
        <v>-11278</v>
      </c>
      <c r="DT145" s="315">
        <v>-467</v>
      </c>
      <c r="DU145" s="315">
        <v>-6</v>
      </c>
      <c r="DV145" s="315">
        <v>-2</v>
      </c>
      <c r="DW145" s="315">
        <v>-620</v>
      </c>
      <c r="DX145" s="315"/>
      <c r="DY145" s="315"/>
      <c r="DZ145" s="315"/>
      <c r="EA145" s="315">
        <v>-10148</v>
      </c>
      <c r="EB145" s="315">
        <v>-27</v>
      </c>
      <c r="EC145" s="315"/>
      <c r="ED145" s="315"/>
      <c r="EE145" s="315">
        <v>-8</v>
      </c>
      <c r="EF145" s="315">
        <v>1652649</v>
      </c>
      <c r="EG145" s="315">
        <v>958825</v>
      </c>
      <c r="EH145" s="315">
        <v>693824</v>
      </c>
      <c r="EI145" s="315">
        <v>676563</v>
      </c>
      <c r="EJ145" s="315">
        <v>17261</v>
      </c>
      <c r="EK145" s="315">
        <v>77458</v>
      </c>
      <c r="EL145" s="315">
        <v>44656</v>
      </c>
      <c r="EM145" s="315">
        <v>32802</v>
      </c>
      <c r="EN145" s="315">
        <v>31879</v>
      </c>
      <c r="EO145" s="315">
        <v>923</v>
      </c>
      <c r="EP145" s="315">
        <v>23592</v>
      </c>
      <c r="EQ145" s="315">
        <v>14347</v>
      </c>
      <c r="ER145" s="315">
        <v>9245</v>
      </c>
      <c r="ES145" s="315">
        <v>8992</v>
      </c>
      <c r="ET145" s="315">
        <v>253</v>
      </c>
      <c r="EU145" s="315">
        <v>1519</v>
      </c>
      <c r="EV145" s="315">
        <v>821</v>
      </c>
      <c r="EW145" s="315">
        <v>698</v>
      </c>
      <c r="EX145" s="315">
        <v>677</v>
      </c>
      <c r="EY145" s="315">
        <v>21</v>
      </c>
      <c r="EZ145" s="315">
        <v>893140</v>
      </c>
      <c r="FA145" s="315">
        <v>533410</v>
      </c>
      <c r="FB145" s="315">
        <v>359730</v>
      </c>
      <c r="FC145" s="315">
        <v>349729</v>
      </c>
      <c r="FD145" s="315">
        <v>10001</v>
      </c>
      <c r="FE145" s="315">
        <v>581022</v>
      </c>
      <c r="FF145" s="315">
        <v>367148</v>
      </c>
      <c r="FG145" s="315">
        <v>213874</v>
      </c>
      <c r="FH145" s="315">
        <v>207811</v>
      </c>
      <c r="FI145" s="315">
        <v>6063</v>
      </c>
      <c r="FJ145" s="315">
        <v>75729</v>
      </c>
      <c r="FK145" s="315">
        <v>-1746</v>
      </c>
      <c r="FL145" s="315">
        <v>77475</v>
      </c>
      <c r="FM145" s="315">
        <v>77475</v>
      </c>
      <c r="FN145" s="315"/>
      <c r="FO145" s="315"/>
      <c r="FP145" s="315"/>
      <c r="FQ145" s="315">
        <v>189</v>
      </c>
      <c r="FR145" s="315">
        <v>370232</v>
      </c>
      <c r="FS145" s="315">
        <v>-8341</v>
      </c>
      <c r="FT145" s="315">
        <v>361891</v>
      </c>
      <c r="FU145" s="315"/>
      <c r="FV145" s="315"/>
      <c r="FW145" s="315"/>
      <c r="FX145" s="315">
        <v>124657</v>
      </c>
      <c r="FY145" s="315">
        <v>120498</v>
      </c>
      <c r="FZ145" s="315"/>
      <c r="GA145" s="315"/>
      <c r="GB145" s="315"/>
      <c r="GC145" s="315">
        <v>43799</v>
      </c>
      <c r="GD145" s="315">
        <v>3641</v>
      </c>
      <c r="GE145" s="315"/>
      <c r="GF145" s="315">
        <v>40158</v>
      </c>
      <c r="GG145" s="315">
        <v>72937</v>
      </c>
      <c r="GH145" s="315">
        <v>3678</v>
      </c>
      <c r="GI145" s="315">
        <v>9023</v>
      </c>
      <c r="GJ145" s="315">
        <v>60236</v>
      </c>
      <c r="GL145"/>
      <c r="GM145"/>
      <c r="GN145"/>
      <c r="GO145"/>
    </row>
    <row r="146" spans="1:197">
      <c r="A146" s="98" t="s">
        <v>24</v>
      </c>
      <c r="B146" s="98">
        <v>7</v>
      </c>
      <c r="C146" s="98" t="s">
        <v>223</v>
      </c>
      <c r="D146" s="315">
        <v>29860915</v>
      </c>
      <c r="E146" s="315">
        <v>-7128450</v>
      </c>
      <c r="F146" s="315">
        <v>-12021</v>
      </c>
      <c r="G146" s="315">
        <v>22720444</v>
      </c>
      <c r="H146" s="315">
        <v>18536720</v>
      </c>
      <c r="I146" s="315">
        <v>4183724</v>
      </c>
      <c r="J146" s="315">
        <v>3975064</v>
      </c>
      <c r="K146" s="315">
        <v>208660</v>
      </c>
      <c r="L146" s="315">
        <v>13553364</v>
      </c>
      <c r="M146" s="315">
        <v>8191682</v>
      </c>
      <c r="N146" s="315">
        <v>3902625</v>
      </c>
      <c r="O146" s="315"/>
      <c r="P146" s="315"/>
      <c r="Q146" s="315">
        <v>29015</v>
      </c>
      <c r="R146" s="315">
        <v>1430042</v>
      </c>
      <c r="S146" s="315">
        <v>-2124491</v>
      </c>
      <c r="T146" s="315">
        <v>-2112454</v>
      </c>
      <c r="U146" s="315">
        <v>-53424</v>
      </c>
      <c r="V146" s="315">
        <v>0</v>
      </c>
      <c r="W146" s="315">
        <v>-2039336</v>
      </c>
      <c r="X146" s="315">
        <v>0</v>
      </c>
      <c r="Y146" s="315">
        <v>-19694</v>
      </c>
      <c r="Z146" s="315">
        <v>-2165</v>
      </c>
      <c r="AA146" s="315">
        <v>-9872</v>
      </c>
      <c r="AB146" s="315">
        <v>0</v>
      </c>
      <c r="AC146" s="315">
        <v>-12021</v>
      </c>
      <c r="AD146" s="315">
        <v>11416852</v>
      </c>
      <c r="AE146" s="315">
        <v>9705144</v>
      </c>
      <c r="AF146" s="315">
        <v>1711708</v>
      </c>
      <c r="AG146" s="315">
        <v>1660940</v>
      </c>
      <c r="AH146" s="315">
        <v>50768</v>
      </c>
      <c r="AI146" s="315">
        <v>8186433</v>
      </c>
      <c r="AJ146" s="315">
        <v>1400879</v>
      </c>
      <c r="AK146" s="315">
        <v>2761495</v>
      </c>
      <c r="AL146" s="315">
        <v>3970213</v>
      </c>
      <c r="AM146" s="315">
        <v>299133</v>
      </c>
      <c r="AN146" s="315">
        <v>295146</v>
      </c>
      <c r="AO146" s="315">
        <v>49794</v>
      </c>
      <c r="AP146" s="315"/>
      <c r="AQ146" s="315">
        <v>781325</v>
      </c>
      <c r="AR146" s="315">
        <v>1790171</v>
      </c>
      <c r="AS146" s="315">
        <v>26850</v>
      </c>
      <c r="AT146" s="315">
        <v>21</v>
      </c>
      <c r="AU146" s="315">
        <v>-12021</v>
      </c>
      <c r="AV146" s="315">
        <v>2585365</v>
      </c>
      <c r="AW146" s="315">
        <v>30676</v>
      </c>
      <c r="AX146" s="315">
        <v>1765044</v>
      </c>
      <c r="AY146" s="315"/>
      <c r="AZ146" s="315"/>
      <c r="BA146" s="315"/>
      <c r="BB146" s="315"/>
      <c r="BC146" s="315">
        <v>92602</v>
      </c>
      <c r="BD146" s="315">
        <v>697043</v>
      </c>
      <c r="BE146" s="315">
        <v>-99850</v>
      </c>
      <c r="BF146" s="315">
        <v>-91355</v>
      </c>
      <c r="BG146" s="315">
        <v>-45759</v>
      </c>
      <c r="BH146" s="315">
        <v>-45596</v>
      </c>
      <c r="BI146" s="315">
        <v>0</v>
      </c>
      <c r="BJ146" s="315">
        <v>-19147</v>
      </c>
      <c r="BK146" s="315">
        <v>-72208</v>
      </c>
      <c r="BL146" s="315">
        <v>-8486</v>
      </c>
      <c r="BM146" s="315">
        <v>-9</v>
      </c>
      <c r="BN146" s="315">
        <v>2485515</v>
      </c>
      <c r="BO146" s="315">
        <v>549612</v>
      </c>
      <c r="BP146" s="315">
        <v>124238</v>
      </c>
      <c r="BQ146" s="315">
        <v>21192</v>
      </c>
      <c r="BR146" s="315"/>
      <c r="BS146" s="315">
        <v>24272</v>
      </c>
      <c r="BT146" s="315"/>
      <c r="BU146" s="315"/>
      <c r="BV146" s="315"/>
      <c r="BW146" s="315"/>
      <c r="BX146" s="315">
        <v>1719285</v>
      </c>
      <c r="BY146" s="315">
        <v>47006</v>
      </c>
      <c r="BZ146" s="315">
        <v>-90</v>
      </c>
      <c r="CA146" s="315">
        <v>505395</v>
      </c>
      <c r="CB146" s="315">
        <v>-7013</v>
      </c>
      <c r="CC146" s="315">
        <v>-6937</v>
      </c>
      <c r="CD146" s="315">
        <v>-76</v>
      </c>
      <c r="CE146" s="315">
        <v>498382</v>
      </c>
      <c r="CF146" s="315">
        <v>125720</v>
      </c>
      <c r="CG146" s="315">
        <v>11</v>
      </c>
      <c r="CH146" s="315">
        <v>372651</v>
      </c>
      <c r="CI146" s="315">
        <v>11229231</v>
      </c>
      <c r="CJ146" s="315">
        <v>754166</v>
      </c>
      <c r="CK146" s="315">
        <v>10475065</v>
      </c>
      <c r="CL146" s="315">
        <v>3691020</v>
      </c>
      <c r="CM146" s="315">
        <v>6530566</v>
      </c>
      <c r="CN146" s="315">
        <v>253479</v>
      </c>
      <c r="CO146" s="315">
        <v>0</v>
      </c>
      <c r="CP146" s="315">
        <v>0</v>
      </c>
      <c r="CQ146" s="315">
        <v>253479</v>
      </c>
      <c r="CR146" s="315">
        <v>-4875103</v>
      </c>
      <c r="CS146" s="315">
        <v>-3225959</v>
      </c>
      <c r="CT146" s="315">
        <v>-3151762</v>
      </c>
      <c r="CU146" s="315">
        <v>-8288</v>
      </c>
      <c r="CV146" s="315">
        <v>-251</v>
      </c>
      <c r="CW146" s="315">
        <v>-65658</v>
      </c>
      <c r="CX146" s="315">
        <v>-1401599</v>
      </c>
      <c r="CY146" s="315">
        <v>-1071805</v>
      </c>
      <c r="CZ146" s="315">
        <v>-324569</v>
      </c>
      <c r="DA146" s="315">
        <v>-5225</v>
      </c>
      <c r="DB146" s="315">
        <v>-247545</v>
      </c>
      <c r="DC146" s="315">
        <v>0</v>
      </c>
      <c r="DD146" s="315">
        <v>6354128</v>
      </c>
      <c r="DE146" s="315">
        <v>4688080</v>
      </c>
      <c r="DF146" s="315">
        <v>1666048</v>
      </c>
      <c r="DG146" s="315">
        <v>1570829</v>
      </c>
      <c r="DH146" s="315">
        <v>95219</v>
      </c>
      <c r="DI146" s="315">
        <v>1607632</v>
      </c>
      <c r="DJ146" s="315">
        <v>51438</v>
      </c>
      <c r="DK146" s="315">
        <v>23168</v>
      </c>
      <c r="DL146" s="315">
        <v>1497</v>
      </c>
      <c r="DM146" s="315">
        <v>904173</v>
      </c>
      <c r="DN146" s="315">
        <v>546331</v>
      </c>
      <c r="DO146" s="315">
        <v>80751</v>
      </c>
      <c r="DP146" s="315"/>
      <c r="DQ146" s="315"/>
      <c r="DR146" s="315">
        <v>274</v>
      </c>
      <c r="DS146" s="315">
        <v>-13283</v>
      </c>
      <c r="DT146" s="315">
        <v>-10245</v>
      </c>
      <c r="DU146" s="315">
        <v>-2113</v>
      </c>
      <c r="DV146" s="315">
        <v>-39</v>
      </c>
      <c r="DW146" s="315">
        <v>-375</v>
      </c>
      <c r="DX146" s="315"/>
      <c r="DY146" s="315"/>
      <c r="DZ146" s="315"/>
      <c r="EA146" s="315">
        <v>-63</v>
      </c>
      <c r="EB146" s="315">
        <v>-4</v>
      </c>
      <c r="EC146" s="315"/>
      <c r="ED146" s="315"/>
      <c r="EE146" s="315">
        <v>-444</v>
      </c>
      <c r="EF146" s="315">
        <v>1594349</v>
      </c>
      <c r="EG146" s="315">
        <v>788381</v>
      </c>
      <c r="EH146" s="315">
        <v>805968</v>
      </c>
      <c r="EI146" s="315">
        <v>743295</v>
      </c>
      <c r="EJ146" s="315">
        <v>62673</v>
      </c>
      <c r="EK146" s="315">
        <v>41193</v>
      </c>
      <c r="EL146" s="315">
        <v>4791</v>
      </c>
      <c r="EM146" s="315">
        <v>36402</v>
      </c>
      <c r="EN146" s="315">
        <v>35054</v>
      </c>
      <c r="EO146" s="315">
        <v>1348</v>
      </c>
      <c r="EP146" s="315">
        <v>21055</v>
      </c>
      <c r="EQ146" s="315">
        <v>10754</v>
      </c>
      <c r="ER146" s="315">
        <v>10301</v>
      </c>
      <c r="ES146" s="315">
        <v>9787</v>
      </c>
      <c r="ET146" s="315">
        <v>514</v>
      </c>
      <c r="EU146" s="315">
        <v>1458</v>
      </c>
      <c r="EV146" s="315">
        <v>689</v>
      </c>
      <c r="EW146" s="315">
        <v>769</v>
      </c>
      <c r="EX146" s="315">
        <v>744</v>
      </c>
      <c r="EY146" s="315">
        <v>25</v>
      </c>
      <c r="EZ146" s="315">
        <v>903798</v>
      </c>
      <c r="FA146" s="315">
        <v>504568</v>
      </c>
      <c r="FB146" s="315">
        <v>399230</v>
      </c>
      <c r="FC146" s="315">
        <v>382851</v>
      </c>
      <c r="FD146" s="315">
        <v>16379</v>
      </c>
      <c r="FE146" s="315">
        <v>546268</v>
      </c>
      <c r="FF146" s="315">
        <v>272675</v>
      </c>
      <c r="FG146" s="315">
        <v>273593</v>
      </c>
      <c r="FH146" s="315">
        <v>229186</v>
      </c>
      <c r="FI146" s="315">
        <v>44407</v>
      </c>
      <c r="FJ146" s="315">
        <v>80747</v>
      </c>
      <c r="FK146" s="315">
        <v>-4926</v>
      </c>
      <c r="FL146" s="315">
        <v>85673</v>
      </c>
      <c r="FM146" s="315">
        <v>85673</v>
      </c>
      <c r="FN146" s="315"/>
      <c r="FO146" s="315"/>
      <c r="FP146" s="315"/>
      <c r="FQ146" s="315">
        <v>-170</v>
      </c>
      <c r="FR146" s="315">
        <v>379928</v>
      </c>
      <c r="FS146" s="315">
        <v>-8710</v>
      </c>
      <c r="FT146" s="315">
        <v>371218</v>
      </c>
      <c r="FU146" s="315"/>
      <c r="FV146" s="315"/>
      <c r="FW146" s="315"/>
      <c r="FX146" s="315">
        <v>132990</v>
      </c>
      <c r="FY146" s="315">
        <v>121617</v>
      </c>
      <c r="FZ146" s="315"/>
      <c r="GA146" s="315"/>
      <c r="GB146" s="315"/>
      <c r="GC146" s="315">
        <v>54826</v>
      </c>
      <c r="GD146" s="315">
        <v>9037</v>
      </c>
      <c r="GE146" s="315"/>
      <c r="GF146" s="315">
        <v>45789</v>
      </c>
      <c r="GG146" s="315">
        <v>61785</v>
      </c>
      <c r="GH146" s="315">
        <v>7028</v>
      </c>
      <c r="GI146" s="315">
        <v>1450</v>
      </c>
      <c r="GJ146" s="315">
        <v>53307</v>
      </c>
      <c r="GL146"/>
      <c r="GM146"/>
      <c r="GN146"/>
      <c r="GO146"/>
    </row>
    <row r="147" spans="1:197">
      <c r="A147" s="98" t="s">
        <v>24</v>
      </c>
      <c r="B147" s="98">
        <v>8</v>
      </c>
      <c r="C147" s="98" t="s">
        <v>224</v>
      </c>
      <c r="D147" s="315">
        <v>15985508</v>
      </c>
      <c r="E147" s="315">
        <v>-3832023</v>
      </c>
      <c r="F147" s="315">
        <v>-12020</v>
      </c>
      <c r="G147" s="315">
        <v>12141465</v>
      </c>
      <c r="H147" s="315">
        <v>7714831</v>
      </c>
      <c r="I147" s="315">
        <v>4426634</v>
      </c>
      <c r="J147" s="315">
        <v>4315456</v>
      </c>
      <c r="K147" s="315">
        <v>111178</v>
      </c>
      <c r="L147" s="315">
        <v>673547</v>
      </c>
      <c r="M147" s="315">
        <v>544693</v>
      </c>
      <c r="N147" s="315">
        <v>53765</v>
      </c>
      <c r="O147" s="315"/>
      <c r="P147" s="315"/>
      <c r="Q147" s="315">
        <v>47507</v>
      </c>
      <c r="R147" s="315">
        <v>27582</v>
      </c>
      <c r="S147" s="315">
        <v>-665737</v>
      </c>
      <c r="T147" s="315">
        <v>-661253</v>
      </c>
      <c r="U147" s="315">
        <v>-54578</v>
      </c>
      <c r="V147" s="315">
        <v>0</v>
      </c>
      <c r="W147" s="315">
        <v>-590078</v>
      </c>
      <c r="X147" s="315">
        <v>0</v>
      </c>
      <c r="Y147" s="315">
        <v>-16597</v>
      </c>
      <c r="Z147" s="315">
        <v>-1397</v>
      </c>
      <c r="AA147" s="315">
        <v>-3087</v>
      </c>
      <c r="AB147" s="315">
        <v>0</v>
      </c>
      <c r="AC147" s="315">
        <v>-12020</v>
      </c>
      <c r="AD147" s="315">
        <v>-4210</v>
      </c>
      <c r="AE147" s="315">
        <v>-1857448</v>
      </c>
      <c r="AF147" s="315">
        <v>1853238</v>
      </c>
      <c r="AG147" s="315">
        <v>1802469</v>
      </c>
      <c r="AH147" s="315">
        <v>50769</v>
      </c>
      <c r="AI147" s="315">
        <v>542295</v>
      </c>
      <c r="AJ147" s="315">
        <v>319300</v>
      </c>
      <c r="AK147" s="315">
        <v>164444</v>
      </c>
      <c r="AL147" s="315">
        <v>26923</v>
      </c>
      <c r="AM147" s="315">
        <v>6290</v>
      </c>
      <c r="AN147" s="315">
        <v>7055</v>
      </c>
      <c r="AO147" s="315">
        <v>1852</v>
      </c>
      <c r="AP147" s="315"/>
      <c r="AQ147" s="315">
        <v>11694</v>
      </c>
      <c r="AR147" s="315">
        <v>-607488</v>
      </c>
      <c r="AS147" s="315">
        <v>46110</v>
      </c>
      <c r="AT147" s="315">
        <v>2</v>
      </c>
      <c r="AU147" s="315">
        <v>-12020</v>
      </c>
      <c r="AV147" s="315">
        <v>12357890</v>
      </c>
      <c r="AW147" s="315">
        <v>17088</v>
      </c>
      <c r="AX147" s="315">
        <v>12257458</v>
      </c>
      <c r="AY147" s="315"/>
      <c r="AZ147" s="315"/>
      <c r="BA147" s="315"/>
      <c r="BB147" s="315"/>
      <c r="BC147" s="315">
        <v>76451</v>
      </c>
      <c r="BD147" s="315">
        <v>6893</v>
      </c>
      <c r="BE147" s="315">
        <v>-412770</v>
      </c>
      <c r="BF147" s="315">
        <v>-27198</v>
      </c>
      <c r="BG147" s="315">
        <v>-18101</v>
      </c>
      <c r="BH147" s="315">
        <v>-9097</v>
      </c>
      <c r="BI147" s="315">
        <v>0</v>
      </c>
      <c r="BJ147" s="315">
        <v>-7457</v>
      </c>
      <c r="BK147" s="315">
        <v>-19741</v>
      </c>
      <c r="BL147" s="315">
        <v>-1823</v>
      </c>
      <c r="BM147" s="315">
        <v>-383749</v>
      </c>
      <c r="BN147" s="315">
        <v>11945120</v>
      </c>
      <c r="BO147" s="315">
        <v>-380049</v>
      </c>
      <c r="BP147" s="315">
        <v>2028</v>
      </c>
      <c r="BQ147" s="315">
        <v>777</v>
      </c>
      <c r="BR147" s="315"/>
      <c r="BS147" s="315">
        <v>16238</v>
      </c>
      <c r="BT147" s="315"/>
      <c r="BU147" s="315"/>
      <c r="BV147" s="315"/>
      <c r="BW147" s="315"/>
      <c r="BX147" s="315">
        <v>12239357</v>
      </c>
      <c r="BY147" s="315">
        <v>67354</v>
      </c>
      <c r="BZ147" s="315">
        <v>-585</v>
      </c>
      <c r="CA147" s="315">
        <v>55050</v>
      </c>
      <c r="CB147" s="315">
        <v>-317473</v>
      </c>
      <c r="CC147" s="315">
        <v>-3496</v>
      </c>
      <c r="CD147" s="315">
        <v>-313977</v>
      </c>
      <c r="CE147" s="315">
        <v>-262423</v>
      </c>
      <c r="CF147" s="315">
        <v>28430</v>
      </c>
      <c r="CG147" s="315">
        <v>20</v>
      </c>
      <c r="CH147" s="315">
        <v>-290873</v>
      </c>
      <c r="CI147" s="315">
        <v>979928</v>
      </c>
      <c r="CJ147" s="315">
        <v>720380</v>
      </c>
      <c r="CK147" s="315">
        <v>259548</v>
      </c>
      <c r="CL147" s="315">
        <v>80984</v>
      </c>
      <c r="CM147" s="315">
        <v>36409</v>
      </c>
      <c r="CN147" s="315">
        <v>142155</v>
      </c>
      <c r="CO147" s="315">
        <v>0</v>
      </c>
      <c r="CP147" s="315">
        <v>0</v>
      </c>
      <c r="CQ147" s="315">
        <v>142155</v>
      </c>
      <c r="CR147" s="315">
        <v>-2429231</v>
      </c>
      <c r="CS147" s="315">
        <v>-1884278</v>
      </c>
      <c r="CT147" s="315">
        <v>-1853889</v>
      </c>
      <c r="CU147" s="315">
        <v>-7476</v>
      </c>
      <c r="CV147" s="315">
        <v>-130</v>
      </c>
      <c r="CW147" s="315">
        <v>-22783</v>
      </c>
      <c r="CX147" s="315">
        <v>-544953</v>
      </c>
      <c r="CY147" s="315">
        <v>-318962</v>
      </c>
      <c r="CZ147" s="315">
        <v>-224665</v>
      </c>
      <c r="DA147" s="315">
        <v>-1326</v>
      </c>
      <c r="DB147" s="315">
        <v>0</v>
      </c>
      <c r="DC147" s="315">
        <v>0</v>
      </c>
      <c r="DD147" s="315">
        <v>-1449303</v>
      </c>
      <c r="DE147" s="315">
        <v>-3201143</v>
      </c>
      <c r="DF147" s="315">
        <v>1751840</v>
      </c>
      <c r="DG147" s="315">
        <v>1708688</v>
      </c>
      <c r="DH147" s="315">
        <v>43152</v>
      </c>
      <c r="DI147" s="315">
        <v>1660915</v>
      </c>
      <c r="DJ147" s="315">
        <v>110631</v>
      </c>
      <c r="DK147" s="315">
        <v>30634</v>
      </c>
      <c r="DL147" s="315">
        <v>2537</v>
      </c>
      <c r="DM147" s="315">
        <v>887315</v>
      </c>
      <c r="DN147" s="315">
        <v>550060</v>
      </c>
      <c r="DO147" s="315">
        <v>78829</v>
      </c>
      <c r="DP147" s="315"/>
      <c r="DQ147" s="315"/>
      <c r="DR147" s="315">
        <v>909</v>
      </c>
      <c r="DS147" s="315">
        <v>-2002</v>
      </c>
      <c r="DT147" s="315">
        <v>-1545</v>
      </c>
      <c r="DU147" s="315">
        <v>-24</v>
      </c>
      <c r="DV147" s="315">
        <v>-27</v>
      </c>
      <c r="DW147" s="315">
        <v>-321</v>
      </c>
      <c r="DX147" s="315"/>
      <c r="DY147" s="315"/>
      <c r="DZ147" s="315"/>
      <c r="EA147" s="315">
        <v>0</v>
      </c>
      <c r="EB147" s="315">
        <v>-28</v>
      </c>
      <c r="EC147" s="315"/>
      <c r="ED147" s="315"/>
      <c r="EE147" s="315">
        <v>-57</v>
      </c>
      <c r="EF147" s="315">
        <v>1658913</v>
      </c>
      <c r="EG147" s="315">
        <v>837357</v>
      </c>
      <c r="EH147" s="315">
        <v>821556</v>
      </c>
      <c r="EI147" s="315">
        <v>804299</v>
      </c>
      <c r="EJ147" s="315">
        <v>17257</v>
      </c>
      <c r="EK147" s="315">
        <v>109086</v>
      </c>
      <c r="EL147" s="315">
        <v>70543</v>
      </c>
      <c r="EM147" s="315">
        <v>38543</v>
      </c>
      <c r="EN147" s="315">
        <v>37621</v>
      </c>
      <c r="EO147" s="315">
        <v>922</v>
      </c>
      <c r="EP147" s="315">
        <v>30610</v>
      </c>
      <c r="EQ147" s="315">
        <v>19717</v>
      </c>
      <c r="ER147" s="315">
        <v>10893</v>
      </c>
      <c r="ES147" s="315">
        <v>10641</v>
      </c>
      <c r="ET147" s="315">
        <v>252</v>
      </c>
      <c r="EU147" s="315">
        <v>2510</v>
      </c>
      <c r="EV147" s="315">
        <v>1691</v>
      </c>
      <c r="EW147" s="315">
        <v>819</v>
      </c>
      <c r="EX147" s="315">
        <v>799</v>
      </c>
      <c r="EY147" s="315">
        <v>20</v>
      </c>
      <c r="EZ147" s="315">
        <v>886994</v>
      </c>
      <c r="FA147" s="315">
        <v>460315</v>
      </c>
      <c r="FB147" s="315">
        <v>426679</v>
      </c>
      <c r="FC147" s="315">
        <v>416679</v>
      </c>
      <c r="FD147" s="315">
        <v>10000</v>
      </c>
      <c r="FE147" s="315">
        <v>550060</v>
      </c>
      <c r="FF147" s="315">
        <v>297167</v>
      </c>
      <c r="FG147" s="315">
        <v>252893</v>
      </c>
      <c r="FH147" s="315">
        <v>246830</v>
      </c>
      <c r="FI147" s="315">
        <v>6063</v>
      </c>
      <c r="FJ147" s="315">
        <v>78801</v>
      </c>
      <c r="FK147" s="315">
        <v>-12928</v>
      </c>
      <c r="FL147" s="315">
        <v>91729</v>
      </c>
      <c r="FM147" s="315">
        <v>91729</v>
      </c>
      <c r="FN147" s="315"/>
      <c r="FO147" s="315"/>
      <c r="FP147" s="315"/>
      <c r="FQ147" s="315">
        <v>852</v>
      </c>
      <c r="FR147" s="315">
        <v>258178</v>
      </c>
      <c r="FS147" s="315">
        <v>-4810</v>
      </c>
      <c r="FT147" s="315">
        <v>253368</v>
      </c>
      <c r="FU147" s="315"/>
      <c r="FV147" s="315"/>
      <c r="FW147" s="315"/>
      <c r="FX147" s="315">
        <v>138725</v>
      </c>
      <c r="FY147" s="315">
        <v>3360</v>
      </c>
      <c r="FZ147" s="315"/>
      <c r="GA147" s="315"/>
      <c r="GB147" s="315"/>
      <c r="GC147" s="315">
        <v>45568</v>
      </c>
      <c r="GD147" s="315">
        <v>5120</v>
      </c>
      <c r="GE147" s="315"/>
      <c r="GF147" s="315">
        <v>40448</v>
      </c>
      <c r="GG147" s="315">
        <v>65715</v>
      </c>
      <c r="GH147" s="315">
        <v>3673</v>
      </c>
      <c r="GI147" s="315">
        <v>1341</v>
      </c>
      <c r="GJ147" s="315">
        <v>60701</v>
      </c>
      <c r="GL147"/>
      <c r="GM147"/>
      <c r="GN147"/>
      <c r="GO147"/>
    </row>
    <row r="148" spans="1:197">
      <c r="A148" s="98" t="s">
        <v>24</v>
      </c>
      <c r="B148" s="98">
        <v>9</v>
      </c>
      <c r="C148" s="98" t="s">
        <v>225</v>
      </c>
      <c r="D148" s="315">
        <v>17130544</v>
      </c>
      <c r="E148" s="315">
        <v>-3579500</v>
      </c>
      <c r="F148" s="315">
        <v>-12020</v>
      </c>
      <c r="G148" s="315">
        <v>13539024</v>
      </c>
      <c r="H148" s="315">
        <v>9633846</v>
      </c>
      <c r="I148" s="315">
        <v>3905178</v>
      </c>
      <c r="J148" s="315">
        <v>3793999</v>
      </c>
      <c r="K148" s="315">
        <v>111179</v>
      </c>
      <c r="L148" s="315">
        <v>6698792</v>
      </c>
      <c r="M148" s="315">
        <v>5835628</v>
      </c>
      <c r="N148" s="315">
        <v>47070</v>
      </c>
      <c r="O148" s="315"/>
      <c r="P148" s="315"/>
      <c r="Q148" s="315">
        <v>29283</v>
      </c>
      <c r="R148" s="315">
        <v>786811</v>
      </c>
      <c r="S148" s="315">
        <v>-742310</v>
      </c>
      <c r="T148" s="315">
        <v>-734329</v>
      </c>
      <c r="U148" s="315">
        <v>-51909</v>
      </c>
      <c r="V148" s="315">
        <v>0</v>
      </c>
      <c r="W148" s="315">
        <v>-669839</v>
      </c>
      <c r="X148" s="315">
        <v>0</v>
      </c>
      <c r="Y148" s="315">
        <v>-12581</v>
      </c>
      <c r="Z148" s="315">
        <v>-4569</v>
      </c>
      <c r="AA148" s="315">
        <v>-3412</v>
      </c>
      <c r="AB148" s="315">
        <v>0</v>
      </c>
      <c r="AC148" s="315">
        <v>-12020</v>
      </c>
      <c r="AD148" s="315">
        <v>5944462</v>
      </c>
      <c r="AE148" s="315">
        <v>4343498</v>
      </c>
      <c r="AF148" s="315">
        <v>1600964</v>
      </c>
      <c r="AG148" s="315">
        <v>1550196</v>
      </c>
      <c r="AH148" s="315">
        <v>50768</v>
      </c>
      <c r="AI148" s="315">
        <v>5833134</v>
      </c>
      <c r="AJ148" s="315">
        <v>1536226</v>
      </c>
      <c r="AK148" s="315">
        <v>4256216</v>
      </c>
      <c r="AL148" s="315">
        <v>8288</v>
      </c>
      <c r="AM148" s="315">
        <v>665568</v>
      </c>
      <c r="AN148" s="315">
        <v>58397</v>
      </c>
      <c r="AO148" s="315">
        <v>55989</v>
      </c>
      <c r="AP148" s="315"/>
      <c r="AQ148" s="315">
        <v>5929</v>
      </c>
      <c r="AR148" s="315">
        <v>-687259</v>
      </c>
      <c r="AS148" s="315">
        <v>24714</v>
      </c>
      <c r="AT148" s="315">
        <v>10</v>
      </c>
      <c r="AU148" s="315">
        <v>-12020</v>
      </c>
      <c r="AV148" s="315">
        <v>603820</v>
      </c>
      <c r="AW148" s="315">
        <v>4658</v>
      </c>
      <c r="AX148" s="315">
        <v>179653</v>
      </c>
      <c r="AY148" s="315"/>
      <c r="AZ148" s="315"/>
      <c r="BA148" s="315"/>
      <c r="BB148" s="315"/>
      <c r="BC148" s="315">
        <v>91914</v>
      </c>
      <c r="BD148" s="315">
        <v>327595</v>
      </c>
      <c r="BE148" s="315">
        <v>-68961</v>
      </c>
      <c r="BF148" s="315">
        <v>-28911</v>
      </c>
      <c r="BG148" s="315">
        <v>-21422</v>
      </c>
      <c r="BH148" s="315">
        <v>-7489</v>
      </c>
      <c r="BI148" s="315">
        <v>0</v>
      </c>
      <c r="BJ148" s="315">
        <v>-15</v>
      </c>
      <c r="BK148" s="315">
        <v>-28896</v>
      </c>
      <c r="BL148" s="315">
        <v>-3233</v>
      </c>
      <c r="BM148" s="315">
        <v>-36817</v>
      </c>
      <c r="BN148" s="315">
        <v>534859</v>
      </c>
      <c r="BO148" s="315">
        <v>242724</v>
      </c>
      <c r="BP148" s="315">
        <v>23805</v>
      </c>
      <c r="BQ148" s="315">
        <v>23833</v>
      </c>
      <c r="BR148" s="315"/>
      <c r="BS148" s="315">
        <v>1845</v>
      </c>
      <c r="BT148" s="315"/>
      <c r="BU148" s="315"/>
      <c r="BV148" s="315"/>
      <c r="BW148" s="315"/>
      <c r="BX148" s="315">
        <v>158231</v>
      </c>
      <c r="BY148" s="315">
        <v>84425</v>
      </c>
      <c r="BZ148" s="315">
        <v>-4</v>
      </c>
      <c r="CA148" s="315">
        <v>192056</v>
      </c>
      <c r="CB148" s="315">
        <v>-38434</v>
      </c>
      <c r="CC148" s="315">
        <v>-5378</v>
      </c>
      <c r="CD148" s="315">
        <v>-33056</v>
      </c>
      <c r="CE148" s="315">
        <v>153622</v>
      </c>
      <c r="CF148" s="315">
        <v>182857</v>
      </c>
      <c r="CG148" s="315">
        <v>-18</v>
      </c>
      <c r="CH148" s="315">
        <v>-29217</v>
      </c>
      <c r="CI148" s="315">
        <v>7488666</v>
      </c>
      <c r="CJ148" s="315">
        <v>722328</v>
      </c>
      <c r="CK148" s="315">
        <v>6766338</v>
      </c>
      <c r="CL148" s="315">
        <v>6598836</v>
      </c>
      <c r="CM148" s="315">
        <v>17079</v>
      </c>
      <c r="CN148" s="315">
        <v>150423</v>
      </c>
      <c r="CO148" s="315">
        <v>0</v>
      </c>
      <c r="CP148" s="315">
        <v>0</v>
      </c>
      <c r="CQ148" s="315">
        <v>150423</v>
      </c>
      <c r="CR148" s="315">
        <v>-2700569</v>
      </c>
      <c r="CS148" s="315">
        <v>-1496382</v>
      </c>
      <c r="CT148" s="315">
        <v>-1433188</v>
      </c>
      <c r="CU148" s="315">
        <v>-3505</v>
      </c>
      <c r="CV148" s="315">
        <v>-603</v>
      </c>
      <c r="CW148" s="315">
        <v>-59086</v>
      </c>
      <c r="CX148" s="315">
        <v>-1133150</v>
      </c>
      <c r="CY148" s="315">
        <v>-1067190</v>
      </c>
      <c r="CZ148" s="315">
        <v>-60525</v>
      </c>
      <c r="DA148" s="315">
        <v>-5435</v>
      </c>
      <c r="DB148" s="315">
        <v>0</v>
      </c>
      <c r="DC148" s="315">
        <v>-71037</v>
      </c>
      <c r="DD148" s="315">
        <v>4788097</v>
      </c>
      <c r="DE148" s="315">
        <v>3218455</v>
      </c>
      <c r="DF148" s="315">
        <v>1569642</v>
      </c>
      <c r="DG148" s="315">
        <v>1526490</v>
      </c>
      <c r="DH148" s="315">
        <v>43152</v>
      </c>
      <c r="DI148" s="315">
        <v>1668214</v>
      </c>
      <c r="DJ148" s="315">
        <v>88065</v>
      </c>
      <c r="DK148" s="315">
        <v>31265</v>
      </c>
      <c r="DL148" s="315">
        <v>1393</v>
      </c>
      <c r="DM148" s="315">
        <v>873154</v>
      </c>
      <c r="DN148" s="315">
        <v>587435</v>
      </c>
      <c r="DO148" s="315">
        <v>86804</v>
      </c>
      <c r="DP148" s="315"/>
      <c r="DQ148" s="315"/>
      <c r="DR148" s="315">
        <v>98</v>
      </c>
      <c r="DS148" s="315">
        <v>-18780</v>
      </c>
      <c r="DT148" s="315">
        <v>-1013</v>
      </c>
      <c r="DU148" s="315">
        <v>-36</v>
      </c>
      <c r="DV148" s="315">
        <v>-9</v>
      </c>
      <c r="DW148" s="315">
        <v>-947</v>
      </c>
      <c r="DX148" s="315"/>
      <c r="DY148" s="315"/>
      <c r="DZ148" s="315"/>
      <c r="EA148" s="315">
        <v>-16747</v>
      </c>
      <c r="EB148" s="315">
        <v>-8</v>
      </c>
      <c r="EC148" s="315"/>
      <c r="ED148" s="315"/>
      <c r="EE148" s="315">
        <v>-20</v>
      </c>
      <c r="EF148" s="315">
        <v>1649434</v>
      </c>
      <c r="EG148" s="315">
        <v>914862</v>
      </c>
      <c r="EH148" s="315">
        <v>734572</v>
      </c>
      <c r="EI148" s="315">
        <v>717313</v>
      </c>
      <c r="EJ148" s="315">
        <v>17259</v>
      </c>
      <c r="EK148" s="315">
        <v>87052</v>
      </c>
      <c r="EL148" s="315">
        <v>52381</v>
      </c>
      <c r="EM148" s="315">
        <v>34671</v>
      </c>
      <c r="EN148" s="315">
        <v>33748</v>
      </c>
      <c r="EO148" s="315">
        <v>923</v>
      </c>
      <c r="EP148" s="315">
        <v>31229</v>
      </c>
      <c r="EQ148" s="315">
        <v>21410</v>
      </c>
      <c r="ER148" s="315">
        <v>9819</v>
      </c>
      <c r="ES148" s="315">
        <v>9566</v>
      </c>
      <c r="ET148" s="315">
        <v>253</v>
      </c>
      <c r="EU148" s="315">
        <v>1384</v>
      </c>
      <c r="EV148" s="315">
        <v>647</v>
      </c>
      <c r="EW148" s="315">
        <v>737</v>
      </c>
      <c r="EX148" s="315">
        <v>717</v>
      </c>
      <c r="EY148" s="315">
        <v>20</v>
      </c>
      <c r="EZ148" s="315">
        <v>872207</v>
      </c>
      <c r="FA148" s="315">
        <v>493049</v>
      </c>
      <c r="FB148" s="315">
        <v>379158</v>
      </c>
      <c r="FC148" s="315">
        <v>369158</v>
      </c>
      <c r="FD148" s="315">
        <v>10000</v>
      </c>
      <c r="FE148" s="315">
        <v>570688</v>
      </c>
      <c r="FF148" s="315">
        <v>341728</v>
      </c>
      <c r="FG148" s="315">
        <v>228960</v>
      </c>
      <c r="FH148" s="315">
        <v>222897</v>
      </c>
      <c r="FI148" s="315">
        <v>6063</v>
      </c>
      <c r="FJ148" s="315">
        <v>86796</v>
      </c>
      <c r="FK148" s="315">
        <v>5569</v>
      </c>
      <c r="FL148" s="315">
        <v>81227</v>
      </c>
      <c r="FM148" s="315">
        <v>81227</v>
      </c>
      <c r="FN148" s="315"/>
      <c r="FO148" s="315"/>
      <c r="FP148" s="315"/>
      <c r="FQ148" s="315">
        <v>78</v>
      </c>
      <c r="FR148" s="315">
        <v>478996</v>
      </c>
      <c r="FS148" s="315">
        <v>-10446</v>
      </c>
      <c r="FT148" s="315">
        <v>468550</v>
      </c>
      <c r="FU148" s="315"/>
      <c r="FV148" s="315"/>
      <c r="FW148" s="315"/>
      <c r="FX148" s="315">
        <v>136421</v>
      </c>
      <c r="FY148" s="315">
        <v>229435</v>
      </c>
      <c r="FZ148" s="315"/>
      <c r="GA148" s="315"/>
      <c r="GB148" s="315"/>
      <c r="GC148" s="315">
        <v>52864</v>
      </c>
      <c r="GD148" s="315">
        <v>10963</v>
      </c>
      <c r="GE148" s="315"/>
      <c r="GF148" s="315">
        <v>41901</v>
      </c>
      <c r="GG148" s="315">
        <v>49830</v>
      </c>
      <c r="GH148" s="315">
        <v>6083</v>
      </c>
      <c r="GI148" s="315">
        <v>1055</v>
      </c>
      <c r="GJ148" s="315">
        <v>42692</v>
      </c>
      <c r="GL148"/>
      <c r="GM148"/>
      <c r="GN148"/>
      <c r="GO148"/>
    </row>
    <row r="149" spans="1:197">
      <c r="A149" s="98" t="s">
        <v>24</v>
      </c>
      <c r="B149" s="98">
        <v>10</v>
      </c>
      <c r="C149" s="98" t="s">
        <v>226</v>
      </c>
      <c r="D149" s="315">
        <v>33320174</v>
      </c>
      <c r="E149" s="315">
        <v>-2844583</v>
      </c>
      <c r="F149" s="315">
        <v>-12020</v>
      </c>
      <c r="G149" s="315">
        <v>30463571</v>
      </c>
      <c r="H149" s="315">
        <v>23489010</v>
      </c>
      <c r="I149" s="315">
        <v>6974561</v>
      </c>
      <c r="J149" s="315">
        <v>6921035</v>
      </c>
      <c r="K149" s="315">
        <v>53526</v>
      </c>
      <c r="L149" s="315">
        <v>8372424</v>
      </c>
      <c r="M149" s="315">
        <v>6920900</v>
      </c>
      <c r="N149" s="315">
        <v>50233</v>
      </c>
      <c r="O149" s="315"/>
      <c r="P149" s="315"/>
      <c r="Q149" s="315">
        <v>38282</v>
      </c>
      <c r="R149" s="315">
        <v>1363009</v>
      </c>
      <c r="S149" s="315">
        <v>-458141</v>
      </c>
      <c r="T149" s="315">
        <v>-448887</v>
      </c>
      <c r="U149" s="315">
        <v>-57288</v>
      </c>
      <c r="V149" s="315">
        <v>0</v>
      </c>
      <c r="W149" s="315">
        <v>-376955</v>
      </c>
      <c r="X149" s="315">
        <v>0</v>
      </c>
      <c r="Y149" s="315">
        <v>-14644</v>
      </c>
      <c r="Z149" s="315">
        <v>-4302</v>
      </c>
      <c r="AA149" s="315">
        <v>-4952</v>
      </c>
      <c r="AB149" s="315">
        <v>0</v>
      </c>
      <c r="AC149" s="315">
        <v>-12020</v>
      </c>
      <c r="AD149" s="315">
        <v>7902263</v>
      </c>
      <c r="AE149" s="315">
        <v>4088300</v>
      </c>
      <c r="AF149" s="315">
        <v>3813963</v>
      </c>
      <c r="AG149" s="315">
        <v>3809013</v>
      </c>
      <c r="AH149" s="315">
        <v>4950</v>
      </c>
      <c r="AI149" s="315">
        <v>6917037</v>
      </c>
      <c r="AJ149" s="315">
        <v>909002</v>
      </c>
      <c r="AK149" s="315">
        <v>2146423</v>
      </c>
      <c r="AL149" s="315">
        <v>3804783</v>
      </c>
      <c r="AM149" s="315">
        <v>238427</v>
      </c>
      <c r="AN149" s="315">
        <v>303753</v>
      </c>
      <c r="AO149" s="315">
        <v>46114</v>
      </c>
      <c r="AP149" s="315"/>
      <c r="AQ149" s="315">
        <v>773608</v>
      </c>
      <c r="AR149" s="315">
        <v>-398654</v>
      </c>
      <c r="AS149" s="315">
        <v>33980</v>
      </c>
      <c r="AT149" s="315">
        <v>18</v>
      </c>
      <c r="AU149" s="315">
        <v>-12020</v>
      </c>
      <c r="AV149" s="315">
        <v>11842391</v>
      </c>
      <c r="AW149" s="315">
        <v>11101986</v>
      </c>
      <c r="AX149" s="315">
        <v>266027</v>
      </c>
      <c r="AY149" s="315"/>
      <c r="AZ149" s="315"/>
      <c r="BA149" s="315"/>
      <c r="BB149" s="315"/>
      <c r="BC149" s="315">
        <v>69862</v>
      </c>
      <c r="BD149" s="315">
        <v>404516</v>
      </c>
      <c r="BE149" s="315">
        <v>-402503</v>
      </c>
      <c r="BF149" s="315">
        <v>-399502</v>
      </c>
      <c r="BG149" s="315">
        <v>-377388</v>
      </c>
      <c r="BH149" s="315">
        <v>-22114</v>
      </c>
      <c r="BI149" s="315">
        <v>-374410</v>
      </c>
      <c r="BJ149" s="315">
        <v>0</v>
      </c>
      <c r="BK149" s="315">
        <v>-25092</v>
      </c>
      <c r="BL149" s="315">
        <v>-3001</v>
      </c>
      <c r="BM149" s="315">
        <v>0</v>
      </c>
      <c r="BN149" s="315">
        <v>11439888</v>
      </c>
      <c r="BO149" s="315">
        <v>256576</v>
      </c>
      <c r="BP149" s="315">
        <v>127862</v>
      </c>
      <c r="BQ149" s="315">
        <v>19617</v>
      </c>
      <c r="BR149" s="315"/>
      <c r="BS149" s="315">
        <v>11099480</v>
      </c>
      <c r="BT149" s="315"/>
      <c r="BU149" s="315"/>
      <c r="BV149" s="315"/>
      <c r="BW149" s="315"/>
      <c r="BX149" s="315">
        <v>-111361</v>
      </c>
      <c r="BY149" s="315">
        <v>47748</v>
      </c>
      <c r="BZ149" s="315">
        <v>-34</v>
      </c>
      <c r="CA149" s="315">
        <v>294165</v>
      </c>
      <c r="CB149" s="315">
        <v>-6225</v>
      </c>
      <c r="CC149" s="315">
        <v>-6225</v>
      </c>
      <c r="CD149" s="315">
        <v>0</v>
      </c>
      <c r="CE149" s="315">
        <v>287940</v>
      </c>
      <c r="CF149" s="315">
        <v>111052</v>
      </c>
      <c r="CG149" s="315">
        <v>36206</v>
      </c>
      <c r="CH149" s="315">
        <v>140682</v>
      </c>
      <c r="CI149" s="315">
        <v>10798959</v>
      </c>
      <c r="CJ149" s="315">
        <v>755266</v>
      </c>
      <c r="CK149" s="315">
        <v>10043693</v>
      </c>
      <c r="CL149" s="315">
        <v>3369824</v>
      </c>
      <c r="CM149" s="315">
        <v>6452108</v>
      </c>
      <c r="CN149" s="315">
        <v>221761</v>
      </c>
      <c r="CO149" s="315">
        <v>0</v>
      </c>
      <c r="CP149" s="315">
        <v>0</v>
      </c>
      <c r="CQ149" s="315">
        <v>221761</v>
      </c>
      <c r="CR149" s="315">
        <v>-1927295</v>
      </c>
      <c r="CS149" s="315">
        <v>-711320</v>
      </c>
      <c r="CT149" s="315">
        <v>-628971</v>
      </c>
      <c r="CU149" s="315">
        <v>-3442</v>
      </c>
      <c r="CV149" s="315">
        <v>-434</v>
      </c>
      <c r="CW149" s="315">
        <v>-78473</v>
      </c>
      <c r="CX149" s="315">
        <v>-1005514</v>
      </c>
      <c r="CY149" s="315">
        <v>-962607</v>
      </c>
      <c r="CZ149" s="315">
        <v>-31876</v>
      </c>
      <c r="DA149" s="315">
        <v>-11031</v>
      </c>
      <c r="DB149" s="315">
        <v>-210461</v>
      </c>
      <c r="DC149" s="315">
        <v>0</v>
      </c>
      <c r="DD149" s="315">
        <v>8871664</v>
      </c>
      <c r="DE149" s="315">
        <v>6479887</v>
      </c>
      <c r="DF149" s="315">
        <v>2391777</v>
      </c>
      <c r="DG149" s="315">
        <v>2352689</v>
      </c>
      <c r="DH149" s="315">
        <v>39088</v>
      </c>
      <c r="DI149" s="315">
        <v>1643625</v>
      </c>
      <c r="DJ149" s="315">
        <v>59556</v>
      </c>
      <c r="DK149" s="315">
        <v>30299</v>
      </c>
      <c r="DL149" s="315">
        <v>1064</v>
      </c>
      <c r="DM149" s="315">
        <v>895505</v>
      </c>
      <c r="DN149" s="315">
        <v>572123</v>
      </c>
      <c r="DO149" s="315">
        <v>84890</v>
      </c>
      <c r="DP149" s="315"/>
      <c r="DQ149" s="315"/>
      <c r="DR149" s="315">
        <v>188</v>
      </c>
      <c r="DS149" s="315">
        <v>-37712</v>
      </c>
      <c r="DT149" s="315">
        <v>-17850</v>
      </c>
      <c r="DU149" s="315">
        <v>-4407</v>
      </c>
      <c r="DV149" s="315">
        <v>-20</v>
      </c>
      <c r="DW149" s="315">
        <v>-152</v>
      </c>
      <c r="DX149" s="315"/>
      <c r="DY149" s="315"/>
      <c r="DZ149" s="315"/>
      <c r="EA149" s="315">
        <v>-14959</v>
      </c>
      <c r="EB149" s="315">
        <v>-95</v>
      </c>
      <c r="EC149" s="315"/>
      <c r="ED149" s="315"/>
      <c r="EE149" s="315">
        <v>-229</v>
      </c>
      <c r="EF149" s="315">
        <v>1605913</v>
      </c>
      <c r="EG149" s="315">
        <v>837092</v>
      </c>
      <c r="EH149" s="315">
        <v>768821</v>
      </c>
      <c r="EI149" s="315">
        <v>759333</v>
      </c>
      <c r="EJ149" s="315">
        <v>9488</v>
      </c>
      <c r="EK149" s="315">
        <v>41706</v>
      </c>
      <c r="EL149" s="315">
        <v>10980</v>
      </c>
      <c r="EM149" s="315">
        <v>30726</v>
      </c>
      <c r="EN149" s="315">
        <v>30096</v>
      </c>
      <c r="EO149" s="315">
        <v>630</v>
      </c>
      <c r="EP149" s="315">
        <v>25892</v>
      </c>
      <c r="EQ149" s="315">
        <v>12464</v>
      </c>
      <c r="ER149" s="315">
        <v>13428</v>
      </c>
      <c r="ES149" s="315">
        <v>13212</v>
      </c>
      <c r="ET149" s="315">
        <v>216</v>
      </c>
      <c r="EU149" s="315">
        <v>1044</v>
      </c>
      <c r="EV149" s="315">
        <v>840</v>
      </c>
      <c r="EW149" s="315">
        <v>204</v>
      </c>
      <c r="EX149" s="315">
        <v>199</v>
      </c>
      <c r="EY149" s="315">
        <v>5</v>
      </c>
      <c r="EZ149" s="315">
        <v>895353</v>
      </c>
      <c r="FA149" s="315">
        <v>456271</v>
      </c>
      <c r="FB149" s="315">
        <v>439082</v>
      </c>
      <c r="FC149" s="315">
        <v>431840</v>
      </c>
      <c r="FD149" s="315">
        <v>7242</v>
      </c>
      <c r="FE149" s="315">
        <v>557164</v>
      </c>
      <c r="FF149" s="315">
        <v>369827</v>
      </c>
      <c r="FG149" s="315">
        <v>187337</v>
      </c>
      <c r="FH149" s="315">
        <v>185942</v>
      </c>
      <c r="FI149" s="315">
        <v>1395</v>
      </c>
      <c r="FJ149" s="315">
        <v>84795</v>
      </c>
      <c r="FK149" s="315">
        <v>-13249</v>
      </c>
      <c r="FL149" s="315">
        <v>98044</v>
      </c>
      <c r="FM149" s="315">
        <v>98044</v>
      </c>
      <c r="FN149" s="315"/>
      <c r="FO149" s="315"/>
      <c r="FP149" s="315"/>
      <c r="FQ149" s="315">
        <v>-41</v>
      </c>
      <c r="FR149" s="315">
        <v>368610</v>
      </c>
      <c r="FS149" s="315">
        <v>-12707</v>
      </c>
      <c r="FT149" s="315">
        <v>355903</v>
      </c>
      <c r="FU149" s="315"/>
      <c r="FV149" s="315"/>
      <c r="FW149" s="315"/>
      <c r="FX149" s="315">
        <v>149622</v>
      </c>
      <c r="FY149" s="315">
        <v>102309</v>
      </c>
      <c r="FZ149" s="315"/>
      <c r="GA149" s="315"/>
      <c r="GB149" s="315"/>
      <c r="GC149" s="315">
        <v>52577</v>
      </c>
      <c r="GD149" s="315">
        <v>2389</v>
      </c>
      <c r="GE149" s="315"/>
      <c r="GF149" s="315">
        <v>50188</v>
      </c>
      <c r="GG149" s="315">
        <v>51395</v>
      </c>
      <c r="GH149" s="315">
        <v>5078</v>
      </c>
      <c r="GI149" s="315">
        <v>1066</v>
      </c>
      <c r="GJ149" s="315">
        <v>45251</v>
      </c>
      <c r="GL149"/>
      <c r="GM149"/>
      <c r="GN149"/>
      <c r="GO149"/>
    </row>
    <row r="150" spans="1:197">
      <c r="A150" s="98" t="s">
        <v>24</v>
      </c>
      <c r="B150" s="98">
        <v>11</v>
      </c>
      <c r="C150" s="98" t="s">
        <v>227</v>
      </c>
      <c r="D150" s="315">
        <v>13239929</v>
      </c>
      <c r="E150" s="315">
        <v>-2474918</v>
      </c>
      <c r="F150" s="315">
        <v>-12021</v>
      </c>
      <c r="G150" s="315">
        <v>10752990</v>
      </c>
      <c r="H150" s="315">
        <v>7073159</v>
      </c>
      <c r="I150" s="315">
        <v>3679831</v>
      </c>
      <c r="J150" s="315">
        <v>3595040</v>
      </c>
      <c r="K150" s="315">
        <v>84791</v>
      </c>
      <c r="L150" s="315">
        <v>6193290</v>
      </c>
      <c r="M150" s="315">
        <v>3178140</v>
      </c>
      <c r="N150" s="315">
        <v>2688639</v>
      </c>
      <c r="O150" s="315"/>
      <c r="P150" s="315"/>
      <c r="Q150" s="315">
        <v>20980</v>
      </c>
      <c r="R150" s="315">
        <v>305531</v>
      </c>
      <c r="S150" s="315">
        <v>-383058</v>
      </c>
      <c r="T150" s="315">
        <v>-375887</v>
      </c>
      <c r="U150" s="315">
        <v>-55402</v>
      </c>
      <c r="V150" s="315">
        <v>0</v>
      </c>
      <c r="W150" s="315">
        <v>-304181</v>
      </c>
      <c r="X150" s="315">
        <v>0</v>
      </c>
      <c r="Y150" s="315">
        <v>-16304</v>
      </c>
      <c r="Z150" s="315">
        <v>-2688</v>
      </c>
      <c r="AA150" s="315">
        <v>-4483</v>
      </c>
      <c r="AB150" s="315">
        <v>0</v>
      </c>
      <c r="AC150" s="315">
        <v>-12021</v>
      </c>
      <c r="AD150" s="315">
        <v>5798211</v>
      </c>
      <c r="AE150" s="315">
        <v>4288149</v>
      </c>
      <c r="AF150" s="315">
        <v>1510062</v>
      </c>
      <c r="AG150" s="315">
        <v>1488031</v>
      </c>
      <c r="AH150" s="315">
        <v>22031</v>
      </c>
      <c r="AI150" s="315">
        <v>3174728</v>
      </c>
      <c r="AJ150" s="315">
        <v>1001534</v>
      </c>
      <c r="AK150" s="315">
        <v>2104657</v>
      </c>
      <c r="AL150" s="315">
        <v>24793</v>
      </c>
      <c r="AM150" s="315">
        <v>199370</v>
      </c>
      <c r="AN150" s="315">
        <v>36227</v>
      </c>
      <c r="AO150" s="315">
        <v>57042</v>
      </c>
      <c r="AP150" s="315"/>
      <c r="AQ150" s="315">
        <v>11817</v>
      </c>
      <c r="AR150" s="315">
        <v>2312752</v>
      </c>
      <c r="AS150" s="315">
        <v>18292</v>
      </c>
      <c r="AT150" s="315">
        <v>4</v>
      </c>
      <c r="AU150" s="315">
        <v>-12021</v>
      </c>
      <c r="AV150" s="315">
        <v>472444</v>
      </c>
      <c r="AW150" s="315">
        <v>32363</v>
      </c>
      <c r="AX150" s="315">
        <v>257751</v>
      </c>
      <c r="AY150" s="315"/>
      <c r="AZ150" s="315"/>
      <c r="BA150" s="315"/>
      <c r="BB150" s="315"/>
      <c r="BC150" s="315">
        <v>58889</v>
      </c>
      <c r="BD150" s="315">
        <v>123441</v>
      </c>
      <c r="BE150" s="315">
        <v>-477303</v>
      </c>
      <c r="BF150" s="315">
        <v>-326787</v>
      </c>
      <c r="BG150" s="315">
        <v>-300988</v>
      </c>
      <c r="BH150" s="315">
        <v>-25799</v>
      </c>
      <c r="BI150" s="315">
        <v>-304136</v>
      </c>
      <c r="BJ150" s="315">
        <v>0</v>
      </c>
      <c r="BK150" s="315">
        <v>-22651</v>
      </c>
      <c r="BL150" s="315">
        <v>-2991</v>
      </c>
      <c r="BM150" s="315">
        <v>-147525</v>
      </c>
      <c r="BN150" s="315">
        <v>-4859</v>
      </c>
      <c r="BO150" s="315">
        <v>-63299</v>
      </c>
      <c r="BP150" s="315">
        <v>14225</v>
      </c>
      <c r="BQ150" s="315">
        <v>24280</v>
      </c>
      <c r="BR150" s="315"/>
      <c r="BS150" s="315">
        <v>29787</v>
      </c>
      <c r="BT150" s="315"/>
      <c r="BU150" s="315"/>
      <c r="BV150" s="315"/>
      <c r="BW150" s="315"/>
      <c r="BX150" s="315">
        <v>-43237</v>
      </c>
      <c r="BY150" s="315">
        <v>33090</v>
      </c>
      <c r="BZ150" s="315">
        <v>295</v>
      </c>
      <c r="CA150" s="315">
        <v>106268</v>
      </c>
      <c r="CB150" s="315">
        <v>-135552</v>
      </c>
      <c r="CC150" s="315">
        <v>-12705</v>
      </c>
      <c r="CD150" s="315">
        <v>-122847</v>
      </c>
      <c r="CE150" s="315">
        <v>-29284</v>
      </c>
      <c r="CF150" s="315">
        <v>90076</v>
      </c>
      <c r="CG150" s="315">
        <v>58</v>
      </c>
      <c r="CH150" s="315">
        <v>-119418</v>
      </c>
      <c r="CI150" s="315">
        <v>4400869</v>
      </c>
      <c r="CJ150" s="315">
        <v>772784</v>
      </c>
      <c r="CK150" s="315">
        <v>3628085</v>
      </c>
      <c r="CL150" s="315">
        <v>3415908</v>
      </c>
      <c r="CM150" s="315">
        <v>37760</v>
      </c>
      <c r="CN150" s="315">
        <v>174417</v>
      </c>
      <c r="CO150" s="315">
        <v>0</v>
      </c>
      <c r="CP150" s="315">
        <v>0</v>
      </c>
      <c r="CQ150" s="315">
        <v>174417</v>
      </c>
      <c r="CR150" s="315">
        <v>-1464437</v>
      </c>
      <c r="CS150" s="315">
        <v>-518065</v>
      </c>
      <c r="CT150" s="315">
        <v>-412881</v>
      </c>
      <c r="CU150" s="315">
        <v>-3603</v>
      </c>
      <c r="CV150" s="315">
        <v>-483</v>
      </c>
      <c r="CW150" s="315">
        <v>-101098</v>
      </c>
      <c r="CX150" s="315">
        <v>-946372</v>
      </c>
      <c r="CY150" s="315">
        <v>-927690</v>
      </c>
      <c r="CZ150" s="315">
        <v>-9442</v>
      </c>
      <c r="DA150" s="315">
        <v>-9240</v>
      </c>
      <c r="DB150" s="315">
        <v>0</v>
      </c>
      <c r="DC150" s="315">
        <v>0</v>
      </c>
      <c r="DD150" s="315">
        <v>2936432</v>
      </c>
      <c r="DE150" s="315">
        <v>1462822</v>
      </c>
      <c r="DF150" s="315">
        <v>1473610</v>
      </c>
      <c r="DG150" s="315">
        <v>1430447</v>
      </c>
      <c r="DH150" s="315">
        <v>43163</v>
      </c>
      <c r="DI150" s="315">
        <v>1623349</v>
      </c>
      <c r="DJ150" s="315">
        <v>110228</v>
      </c>
      <c r="DK150" s="315">
        <v>33359</v>
      </c>
      <c r="DL150" s="315">
        <v>2340</v>
      </c>
      <c r="DM150" s="315">
        <v>854276</v>
      </c>
      <c r="DN150" s="315">
        <v>540432</v>
      </c>
      <c r="DO150" s="315">
        <v>82572</v>
      </c>
      <c r="DP150" s="315"/>
      <c r="DQ150" s="315"/>
      <c r="DR150" s="315">
        <v>142</v>
      </c>
      <c r="DS150" s="315">
        <v>-2789</v>
      </c>
      <c r="DT150" s="315">
        <v>-1995</v>
      </c>
      <c r="DU150" s="315">
        <v>-51</v>
      </c>
      <c r="DV150" s="315">
        <v>-3</v>
      </c>
      <c r="DW150" s="315">
        <v>-542</v>
      </c>
      <c r="DX150" s="315"/>
      <c r="DY150" s="315"/>
      <c r="DZ150" s="315"/>
      <c r="EA150" s="315">
        <v>0</v>
      </c>
      <c r="EB150" s="315">
        <v>0</v>
      </c>
      <c r="EC150" s="315"/>
      <c r="ED150" s="315"/>
      <c r="EE150" s="315">
        <v>-198</v>
      </c>
      <c r="EF150" s="315">
        <v>1620560</v>
      </c>
      <c r="EG150" s="315">
        <v>924401</v>
      </c>
      <c r="EH150" s="315">
        <v>696159</v>
      </c>
      <c r="EI150" s="315">
        <v>676562</v>
      </c>
      <c r="EJ150" s="315">
        <v>19597</v>
      </c>
      <c r="EK150" s="315">
        <v>108233</v>
      </c>
      <c r="EL150" s="315">
        <v>75546</v>
      </c>
      <c r="EM150" s="315">
        <v>32687</v>
      </c>
      <c r="EN150" s="315">
        <v>31879</v>
      </c>
      <c r="EO150" s="315">
        <v>808</v>
      </c>
      <c r="EP150" s="315">
        <v>33308</v>
      </c>
      <c r="EQ150" s="315">
        <v>24065</v>
      </c>
      <c r="ER150" s="315">
        <v>9243</v>
      </c>
      <c r="ES150" s="315">
        <v>8991</v>
      </c>
      <c r="ET150" s="315">
        <v>252</v>
      </c>
      <c r="EU150" s="315">
        <v>2337</v>
      </c>
      <c r="EV150" s="315">
        <v>1647</v>
      </c>
      <c r="EW150" s="315">
        <v>690</v>
      </c>
      <c r="EX150" s="315">
        <v>677</v>
      </c>
      <c r="EY150" s="315">
        <v>13</v>
      </c>
      <c r="EZ150" s="315">
        <v>853734</v>
      </c>
      <c r="FA150" s="315">
        <v>488627</v>
      </c>
      <c r="FB150" s="315">
        <v>365107</v>
      </c>
      <c r="FC150" s="315">
        <v>349730</v>
      </c>
      <c r="FD150" s="315">
        <v>15377</v>
      </c>
      <c r="FE150" s="315">
        <v>540432</v>
      </c>
      <c r="FF150" s="315">
        <v>329475</v>
      </c>
      <c r="FG150" s="315">
        <v>210957</v>
      </c>
      <c r="FH150" s="315">
        <v>207810</v>
      </c>
      <c r="FI150" s="315">
        <v>3147</v>
      </c>
      <c r="FJ150" s="315">
        <v>82572</v>
      </c>
      <c r="FK150" s="315">
        <v>5097</v>
      </c>
      <c r="FL150" s="315">
        <v>77475</v>
      </c>
      <c r="FM150" s="315">
        <v>77475</v>
      </c>
      <c r="FN150" s="315"/>
      <c r="FO150" s="315"/>
      <c r="FP150" s="315"/>
      <c r="FQ150" s="315">
        <v>-56</v>
      </c>
      <c r="FR150" s="315">
        <v>443709</v>
      </c>
      <c r="FS150" s="315">
        <v>-11779</v>
      </c>
      <c r="FT150" s="315">
        <v>431930</v>
      </c>
      <c r="FU150" s="315"/>
      <c r="FV150" s="315"/>
      <c r="FW150" s="315"/>
      <c r="FX150" s="315">
        <v>132679</v>
      </c>
      <c r="FY150" s="315">
        <v>112283</v>
      </c>
      <c r="FZ150" s="315"/>
      <c r="GA150" s="315"/>
      <c r="GB150" s="315"/>
      <c r="GC150" s="315">
        <v>122549</v>
      </c>
      <c r="GD150" s="315">
        <v>74410</v>
      </c>
      <c r="GE150" s="315"/>
      <c r="GF150" s="315">
        <v>48139</v>
      </c>
      <c r="GG150" s="315">
        <v>64419</v>
      </c>
      <c r="GH150" s="315">
        <v>6426</v>
      </c>
      <c r="GI150" s="315">
        <v>1055</v>
      </c>
      <c r="GJ150" s="315">
        <v>56938</v>
      </c>
      <c r="GL150"/>
      <c r="GM150"/>
      <c r="GN150"/>
      <c r="GO150"/>
    </row>
    <row r="151" spans="1:197">
      <c r="A151" s="98" t="s">
        <v>24</v>
      </c>
      <c r="B151" s="98">
        <v>12</v>
      </c>
      <c r="C151" s="98" t="s">
        <v>228</v>
      </c>
      <c r="D151" s="315">
        <v>16683260</v>
      </c>
      <c r="E151" s="315">
        <v>-5188586</v>
      </c>
      <c r="F151" s="315">
        <v>-12020</v>
      </c>
      <c r="G151" s="315">
        <v>11482654</v>
      </c>
      <c r="H151" s="315">
        <v>7636903</v>
      </c>
      <c r="I151" s="315">
        <v>3845751</v>
      </c>
      <c r="J151" s="315">
        <v>3655787</v>
      </c>
      <c r="K151" s="315">
        <v>189964</v>
      </c>
      <c r="L151" s="315">
        <v>4198391</v>
      </c>
      <c r="M151" s="315">
        <v>3682385</v>
      </c>
      <c r="N151" s="315">
        <v>58943</v>
      </c>
      <c r="O151" s="315"/>
      <c r="P151" s="315"/>
      <c r="Q151" s="315">
        <v>21984</v>
      </c>
      <c r="R151" s="315">
        <v>435079</v>
      </c>
      <c r="S151" s="315">
        <v>-245376</v>
      </c>
      <c r="T151" s="315">
        <v>-279513</v>
      </c>
      <c r="U151" s="315">
        <v>-56369</v>
      </c>
      <c r="V151" s="315">
        <v>0</v>
      </c>
      <c r="W151" s="315">
        <v>-200498</v>
      </c>
      <c r="X151" s="315">
        <v>0</v>
      </c>
      <c r="Y151" s="315">
        <v>-22646</v>
      </c>
      <c r="Z151" s="315">
        <v>-1424</v>
      </c>
      <c r="AA151" s="315">
        <v>35561</v>
      </c>
      <c r="AB151" s="315">
        <v>0</v>
      </c>
      <c r="AC151" s="315">
        <v>-12020</v>
      </c>
      <c r="AD151" s="315">
        <v>3940995</v>
      </c>
      <c r="AE151" s="315">
        <v>2346050</v>
      </c>
      <c r="AF151" s="315">
        <v>1594945</v>
      </c>
      <c r="AG151" s="315">
        <v>1512854</v>
      </c>
      <c r="AH151" s="315">
        <v>82091</v>
      </c>
      <c r="AI151" s="315">
        <v>3722905</v>
      </c>
      <c r="AJ151" s="315">
        <v>1416882</v>
      </c>
      <c r="AK151" s="315">
        <v>2220426</v>
      </c>
      <c r="AL151" s="315">
        <v>11318</v>
      </c>
      <c r="AM151" s="315">
        <v>333598</v>
      </c>
      <c r="AN151" s="315">
        <v>32919</v>
      </c>
      <c r="AO151" s="315">
        <v>56669</v>
      </c>
      <c r="AP151" s="315"/>
      <c r="AQ151" s="315">
        <v>6911</v>
      </c>
      <c r="AR151" s="315">
        <v>-220570</v>
      </c>
      <c r="AS151" s="315">
        <v>20560</v>
      </c>
      <c r="AT151" s="315">
        <v>23</v>
      </c>
      <c r="AU151" s="315">
        <v>-12020</v>
      </c>
      <c r="AV151" s="315">
        <v>5618720</v>
      </c>
      <c r="AW151" s="315">
        <v>5223840</v>
      </c>
      <c r="AX151" s="315">
        <v>103322</v>
      </c>
      <c r="AY151" s="315"/>
      <c r="AZ151" s="315"/>
      <c r="BA151" s="315"/>
      <c r="BB151" s="315"/>
      <c r="BC151" s="315">
        <v>78454</v>
      </c>
      <c r="BD151" s="315">
        <v>213104</v>
      </c>
      <c r="BE151" s="315">
        <v>-2123691</v>
      </c>
      <c r="BF151" s="315">
        <v>-2099002</v>
      </c>
      <c r="BG151" s="315">
        <v>-2089731</v>
      </c>
      <c r="BH151" s="315">
        <v>-9271</v>
      </c>
      <c r="BI151" s="315">
        <v>-2073553</v>
      </c>
      <c r="BJ151" s="315">
        <v>0</v>
      </c>
      <c r="BK151" s="315">
        <v>-25449</v>
      </c>
      <c r="BL151" s="315">
        <v>-18012</v>
      </c>
      <c r="BM151" s="315">
        <v>-6677</v>
      </c>
      <c r="BN151" s="315">
        <v>3495029</v>
      </c>
      <c r="BO151" s="315">
        <v>168326</v>
      </c>
      <c r="BP151" s="315">
        <v>12650</v>
      </c>
      <c r="BQ151" s="315">
        <v>24121</v>
      </c>
      <c r="BR151" s="315"/>
      <c r="BS151" s="315">
        <v>5207390</v>
      </c>
      <c r="BT151" s="315"/>
      <c r="BU151" s="315"/>
      <c r="BV151" s="315"/>
      <c r="BW151" s="315"/>
      <c r="BX151" s="315">
        <v>-1986409</v>
      </c>
      <c r="BY151" s="315">
        <v>69183</v>
      </c>
      <c r="BZ151" s="315">
        <v>-232</v>
      </c>
      <c r="CA151" s="315">
        <v>106318</v>
      </c>
      <c r="CB151" s="315">
        <v>-43826</v>
      </c>
      <c r="CC151" s="315">
        <v>-38363</v>
      </c>
      <c r="CD151" s="315">
        <v>-5463</v>
      </c>
      <c r="CE151" s="315">
        <v>62492</v>
      </c>
      <c r="CF151" s="315">
        <v>89994</v>
      </c>
      <c r="CG151" s="315">
        <v>21075</v>
      </c>
      <c r="CH151" s="315">
        <v>-48577</v>
      </c>
      <c r="CI151" s="315">
        <v>4552434</v>
      </c>
      <c r="CJ151" s="315">
        <v>802122</v>
      </c>
      <c r="CK151" s="315">
        <v>3750312</v>
      </c>
      <c r="CL151" s="315">
        <v>3591335</v>
      </c>
      <c r="CM151" s="315">
        <v>21066</v>
      </c>
      <c r="CN151" s="315">
        <v>137911</v>
      </c>
      <c r="CO151" s="315">
        <v>0</v>
      </c>
      <c r="CP151" s="315">
        <v>0</v>
      </c>
      <c r="CQ151" s="315">
        <v>137911</v>
      </c>
      <c r="CR151" s="315">
        <v>-2553189</v>
      </c>
      <c r="CS151" s="315">
        <v>-429160</v>
      </c>
      <c r="CT151" s="315">
        <v>-332212</v>
      </c>
      <c r="CU151" s="315">
        <v>-2467</v>
      </c>
      <c r="CV151" s="315">
        <v>561</v>
      </c>
      <c r="CW151" s="315">
        <v>-95042</v>
      </c>
      <c r="CX151" s="315">
        <v>-1611775</v>
      </c>
      <c r="CY151" s="315">
        <v>-1589916</v>
      </c>
      <c r="CZ151" s="315">
        <v>-16775</v>
      </c>
      <c r="DA151" s="315">
        <v>-5084</v>
      </c>
      <c r="DB151" s="315">
        <v>-424424</v>
      </c>
      <c r="DC151" s="315">
        <v>-87830</v>
      </c>
      <c r="DD151" s="315">
        <v>1999245</v>
      </c>
      <c r="DE151" s="315">
        <v>465874</v>
      </c>
      <c r="DF151" s="315">
        <v>1533371</v>
      </c>
      <c r="DG151" s="315">
        <v>1453848</v>
      </c>
      <c r="DH151" s="315">
        <v>79523</v>
      </c>
      <c r="DI151" s="315">
        <v>1788642</v>
      </c>
      <c r="DJ151" s="315">
        <v>114761</v>
      </c>
      <c r="DK151" s="315">
        <v>39726</v>
      </c>
      <c r="DL151" s="315">
        <v>1541</v>
      </c>
      <c r="DM151" s="315">
        <v>934397</v>
      </c>
      <c r="DN151" s="315">
        <v>561307</v>
      </c>
      <c r="DO151" s="315">
        <v>136728</v>
      </c>
      <c r="DP151" s="315"/>
      <c r="DQ151" s="315"/>
      <c r="DR151" s="315">
        <v>182</v>
      </c>
      <c r="DS151" s="315">
        <v>-187325</v>
      </c>
      <c r="DT151" s="315">
        <v>-46641</v>
      </c>
      <c r="DU151" s="315">
        <v>-20058</v>
      </c>
      <c r="DV151" s="315">
        <v>-184</v>
      </c>
      <c r="DW151" s="315">
        <v>-18912</v>
      </c>
      <c r="DX151" s="315"/>
      <c r="DY151" s="315"/>
      <c r="DZ151" s="315"/>
      <c r="EA151" s="315">
        <v>-47945</v>
      </c>
      <c r="EB151" s="315">
        <v>-53428</v>
      </c>
      <c r="EC151" s="315"/>
      <c r="ED151" s="315"/>
      <c r="EE151" s="315">
        <v>-157</v>
      </c>
      <c r="EF151" s="315">
        <v>1601317</v>
      </c>
      <c r="EG151" s="315">
        <v>883882</v>
      </c>
      <c r="EH151" s="315">
        <v>717435</v>
      </c>
      <c r="EI151" s="315">
        <v>689085</v>
      </c>
      <c r="EJ151" s="315">
        <v>28350</v>
      </c>
      <c r="EK151" s="315">
        <v>68120</v>
      </c>
      <c r="EL151" s="315">
        <v>33987</v>
      </c>
      <c r="EM151" s="315">
        <v>34133</v>
      </c>
      <c r="EN151" s="315">
        <v>32433</v>
      </c>
      <c r="EO151" s="315">
        <v>1700</v>
      </c>
      <c r="EP151" s="315">
        <v>19668</v>
      </c>
      <c r="EQ151" s="315">
        <v>10093</v>
      </c>
      <c r="ER151" s="315">
        <v>9575</v>
      </c>
      <c r="ES151" s="315">
        <v>9126</v>
      </c>
      <c r="ET151" s="315">
        <v>449</v>
      </c>
      <c r="EU151" s="315">
        <v>1357</v>
      </c>
      <c r="EV151" s="315">
        <v>634</v>
      </c>
      <c r="EW151" s="315">
        <v>723</v>
      </c>
      <c r="EX151" s="315">
        <v>689</v>
      </c>
      <c r="EY151" s="315">
        <v>34</v>
      </c>
      <c r="EZ151" s="315">
        <v>915485</v>
      </c>
      <c r="FA151" s="315">
        <v>540612</v>
      </c>
      <c r="FB151" s="315">
        <v>374873</v>
      </c>
      <c r="FC151" s="315">
        <v>356789</v>
      </c>
      <c r="FD151" s="315">
        <v>18084</v>
      </c>
      <c r="FE151" s="315">
        <v>513362</v>
      </c>
      <c r="FF151" s="315">
        <v>294293</v>
      </c>
      <c r="FG151" s="315">
        <v>219069</v>
      </c>
      <c r="FH151" s="315">
        <v>210986</v>
      </c>
      <c r="FI151" s="315">
        <v>8083</v>
      </c>
      <c r="FJ151" s="315">
        <v>83300</v>
      </c>
      <c r="FK151" s="315">
        <v>4238</v>
      </c>
      <c r="FL151" s="315">
        <v>79062</v>
      </c>
      <c r="FM151" s="315">
        <v>79062</v>
      </c>
      <c r="FN151" s="315"/>
      <c r="FO151" s="315"/>
      <c r="FP151" s="315"/>
      <c r="FQ151" s="315">
        <v>25</v>
      </c>
      <c r="FR151" s="315">
        <v>418755</v>
      </c>
      <c r="FS151" s="315">
        <v>-35179</v>
      </c>
      <c r="FT151" s="315">
        <v>383576</v>
      </c>
      <c r="FU151" s="315"/>
      <c r="FV151" s="315"/>
      <c r="FW151" s="315"/>
      <c r="FX151" s="315">
        <v>136134</v>
      </c>
      <c r="FY151" s="315">
        <v>108231</v>
      </c>
      <c r="FZ151" s="315"/>
      <c r="GA151" s="315"/>
      <c r="GB151" s="315"/>
      <c r="GC151" s="315">
        <v>47634</v>
      </c>
      <c r="GD151" s="315">
        <v>2943</v>
      </c>
      <c r="GE151" s="315"/>
      <c r="GF151" s="315">
        <v>44691</v>
      </c>
      <c r="GG151" s="315">
        <v>91577</v>
      </c>
      <c r="GH151" s="315">
        <v>24641</v>
      </c>
      <c r="GI151" s="315">
        <v>-454</v>
      </c>
      <c r="GJ151" s="315">
        <v>67390</v>
      </c>
      <c r="GL151"/>
      <c r="GM151"/>
      <c r="GN151"/>
      <c r="GO151"/>
    </row>
    <row r="152" spans="1:197">
      <c r="A152" s="96" t="s">
        <v>25</v>
      </c>
      <c r="B152" s="96">
        <v>1</v>
      </c>
      <c r="C152" s="97" t="s">
        <v>217</v>
      </c>
      <c r="D152" s="314">
        <v>16094822</v>
      </c>
      <c r="E152" s="314">
        <v>-716164</v>
      </c>
      <c r="F152" s="314">
        <v>-12020</v>
      </c>
      <c r="G152" s="314">
        <v>15366638</v>
      </c>
      <c r="H152" s="314">
        <v>11300310</v>
      </c>
      <c r="I152" s="314">
        <v>4066328</v>
      </c>
      <c r="J152" s="314">
        <v>3949417</v>
      </c>
      <c r="K152" s="314">
        <v>116911</v>
      </c>
      <c r="L152" s="314">
        <v>10605628</v>
      </c>
      <c r="M152" s="314">
        <v>9389727</v>
      </c>
      <c r="N152" s="314">
        <v>44723</v>
      </c>
      <c r="O152" s="314"/>
      <c r="P152" s="314"/>
      <c r="Q152" s="314">
        <v>26724</v>
      </c>
      <c r="R152" s="314">
        <v>1144454</v>
      </c>
      <c r="S152" s="314">
        <v>-180674</v>
      </c>
      <c r="T152" s="314">
        <v>-175478</v>
      </c>
      <c r="U152" s="314">
        <v>0</v>
      </c>
      <c r="V152" s="314">
        <v>-54691</v>
      </c>
      <c r="W152" s="314">
        <v>0</v>
      </c>
      <c r="X152" s="314">
        <v>-109469</v>
      </c>
      <c r="Y152" s="314">
        <v>-11318</v>
      </c>
      <c r="Z152" s="314">
        <v>-2211</v>
      </c>
      <c r="AA152" s="314">
        <v>-2985</v>
      </c>
      <c r="AB152" s="314">
        <v>0</v>
      </c>
      <c r="AC152" s="314">
        <v>-12020</v>
      </c>
      <c r="AD152" s="314">
        <v>10412934</v>
      </c>
      <c r="AE152" s="314">
        <v>8735093</v>
      </c>
      <c r="AF152" s="314">
        <v>1677841</v>
      </c>
      <c r="AG152" s="314">
        <v>1624587</v>
      </c>
      <c r="AH152" s="314">
        <v>53254</v>
      </c>
      <c r="AI152" s="314">
        <v>9387739</v>
      </c>
      <c r="AJ152" s="314">
        <v>1291504</v>
      </c>
      <c r="AK152" s="314">
        <v>3245680</v>
      </c>
      <c r="AL152" s="314">
        <v>4807028</v>
      </c>
      <c r="AM152" s="314">
        <v>492791</v>
      </c>
      <c r="AN152" s="314">
        <v>333190</v>
      </c>
      <c r="AO152" s="314">
        <v>146682</v>
      </c>
      <c r="AP152" s="314"/>
      <c r="AQ152" s="314">
        <v>170782</v>
      </c>
      <c r="AR152" s="314">
        <v>-130755</v>
      </c>
      <c r="AS152" s="314">
        <v>24513</v>
      </c>
      <c r="AT152" s="314">
        <v>12</v>
      </c>
      <c r="AU152" s="314">
        <v>-12020</v>
      </c>
      <c r="AV152" s="314">
        <v>1170074</v>
      </c>
      <c r="AW152" s="314">
        <v>49883</v>
      </c>
      <c r="AX152" s="314">
        <v>131913</v>
      </c>
      <c r="AY152" s="314"/>
      <c r="AZ152" s="314"/>
      <c r="BA152" s="314"/>
      <c r="BB152" s="314"/>
      <c r="BC152" s="314">
        <v>81826</v>
      </c>
      <c r="BD152" s="314">
        <v>906452</v>
      </c>
      <c r="BE152" s="314">
        <v>-163975</v>
      </c>
      <c r="BF152" s="314">
        <v>-160830</v>
      </c>
      <c r="BG152" s="314">
        <v>-153353</v>
      </c>
      <c r="BH152" s="314">
        <v>-7477</v>
      </c>
      <c r="BI152" s="314">
        <v>0</v>
      </c>
      <c r="BJ152" s="314">
        <v>-144112</v>
      </c>
      <c r="BK152" s="314">
        <v>-16718</v>
      </c>
      <c r="BL152" s="314">
        <v>-2917</v>
      </c>
      <c r="BM152" s="314">
        <v>-228</v>
      </c>
      <c r="BN152" s="314">
        <v>1006099</v>
      </c>
      <c r="BO152" s="314">
        <v>702571</v>
      </c>
      <c r="BP152" s="314">
        <v>140760</v>
      </c>
      <c r="BQ152" s="314">
        <v>62436</v>
      </c>
      <c r="BR152" s="314"/>
      <c r="BS152" s="314">
        <v>47344</v>
      </c>
      <c r="BT152" s="314"/>
      <c r="BU152" s="314"/>
      <c r="BV152" s="314"/>
      <c r="BW152" s="314"/>
      <c r="BX152" s="314">
        <v>-21440</v>
      </c>
      <c r="BY152" s="314">
        <v>74349</v>
      </c>
      <c r="BZ152" s="314">
        <v>79</v>
      </c>
      <c r="CA152" s="314">
        <v>584805</v>
      </c>
      <c r="CB152" s="314">
        <v>-6307</v>
      </c>
      <c r="CC152" s="314">
        <v>-5858</v>
      </c>
      <c r="CD152" s="314">
        <v>-449</v>
      </c>
      <c r="CE152" s="314">
        <v>578498</v>
      </c>
      <c r="CF152" s="314">
        <v>152079</v>
      </c>
      <c r="CG152" s="314">
        <v>216</v>
      </c>
      <c r="CH152" s="314">
        <v>426203</v>
      </c>
      <c r="CI152" s="314">
        <v>1724902</v>
      </c>
      <c r="CJ152" s="314">
        <v>764494</v>
      </c>
      <c r="CK152" s="314">
        <v>960408</v>
      </c>
      <c r="CL152" s="314">
        <v>221323</v>
      </c>
      <c r="CM152" s="314">
        <v>551969</v>
      </c>
      <c r="CN152" s="314">
        <v>187116</v>
      </c>
      <c r="CO152" s="314">
        <v>0</v>
      </c>
      <c r="CP152" s="314">
        <v>0</v>
      </c>
      <c r="CQ152" s="314">
        <v>187116</v>
      </c>
      <c r="CR152" s="314">
        <v>-350367</v>
      </c>
      <c r="CS152" s="314">
        <v>-199587</v>
      </c>
      <c r="CT152" s="314">
        <v>0</v>
      </c>
      <c r="CU152" s="314">
        <v>-119851</v>
      </c>
      <c r="CV152" s="314">
        <v>-297</v>
      </c>
      <c r="CW152" s="314">
        <v>-79439</v>
      </c>
      <c r="CX152" s="314">
        <v>-150780</v>
      </c>
      <c r="CY152" s="314">
        <v>0</v>
      </c>
      <c r="CZ152" s="314">
        <v>-140387</v>
      </c>
      <c r="DA152" s="314">
        <v>-10393</v>
      </c>
      <c r="DB152" s="314">
        <v>0</v>
      </c>
      <c r="DC152" s="314">
        <v>0</v>
      </c>
      <c r="DD152" s="314">
        <v>1374535</v>
      </c>
      <c r="DE152" s="314">
        <v>-330076</v>
      </c>
      <c r="DF152" s="314">
        <v>1704611</v>
      </c>
      <c r="DG152" s="314">
        <v>1655261</v>
      </c>
      <c r="DH152" s="314">
        <v>49350</v>
      </c>
      <c r="DI152" s="314">
        <v>1661894</v>
      </c>
      <c r="DJ152" s="314">
        <v>66759</v>
      </c>
      <c r="DK152" s="314">
        <v>22672</v>
      </c>
      <c r="DL152" s="314">
        <v>1187</v>
      </c>
      <c r="DM152" s="314">
        <v>855917</v>
      </c>
      <c r="DN152" s="314">
        <v>632630</v>
      </c>
      <c r="DO152" s="314">
        <v>82576</v>
      </c>
      <c r="DP152" s="314"/>
      <c r="DQ152" s="314"/>
      <c r="DR152" s="314">
        <v>153</v>
      </c>
      <c r="DS152" s="314">
        <v>-2172</v>
      </c>
      <c r="DT152" s="314">
        <v>-1553</v>
      </c>
      <c r="DU152" s="314">
        <v>-65</v>
      </c>
      <c r="DV152" s="314">
        <v>-5</v>
      </c>
      <c r="DW152" s="314">
        <v>-395</v>
      </c>
      <c r="DX152" s="314"/>
      <c r="DY152" s="314"/>
      <c r="DZ152" s="314"/>
      <c r="EA152" s="314">
        <v>0</v>
      </c>
      <c r="EB152" s="314">
        <v>-8</v>
      </c>
      <c r="EC152" s="314"/>
      <c r="ED152" s="314"/>
      <c r="EE152" s="314">
        <v>-146</v>
      </c>
      <c r="EF152" s="314">
        <v>1659722</v>
      </c>
      <c r="EG152" s="314">
        <v>975846</v>
      </c>
      <c r="EH152" s="314">
        <v>683876</v>
      </c>
      <c r="EI152" s="314">
        <v>669569</v>
      </c>
      <c r="EJ152" s="314">
        <v>14307</v>
      </c>
      <c r="EK152" s="314">
        <v>65206</v>
      </c>
      <c r="EL152" s="314">
        <v>31060</v>
      </c>
      <c r="EM152" s="314">
        <v>34146</v>
      </c>
      <c r="EN152" s="314">
        <v>33222</v>
      </c>
      <c r="EO152" s="314">
        <v>924</v>
      </c>
      <c r="EP152" s="314">
        <v>22607</v>
      </c>
      <c r="EQ152" s="314">
        <v>13405</v>
      </c>
      <c r="ER152" s="314">
        <v>9202</v>
      </c>
      <c r="ES152" s="314">
        <v>8951</v>
      </c>
      <c r="ET152" s="314">
        <v>251</v>
      </c>
      <c r="EU152" s="314">
        <v>1182</v>
      </c>
      <c r="EV152" s="314">
        <v>476</v>
      </c>
      <c r="EW152" s="314">
        <v>706</v>
      </c>
      <c r="EX152" s="314">
        <v>686</v>
      </c>
      <c r="EY152" s="314">
        <v>20</v>
      </c>
      <c r="EZ152" s="314">
        <v>855522</v>
      </c>
      <c r="FA152" s="314">
        <v>499556</v>
      </c>
      <c r="FB152" s="314">
        <v>355966</v>
      </c>
      <c r="FC152" s="314">
        <v>345973</v>
      </c>
      <c r="FD152" s="314">
        <v>9993</v>
      </c>
      <c r="FE152" s="314">
        <v>632630</v>
      </c>
      <c r="FF152" s="314">
        <v>429264</v>
      </c>
      <c r="FG152" s="314">
        <v>203366</v>
      </c>
      <c r="FH152" s="314">
        <v>200247</v>
      </c>
      <c r="FI152" s="314">
        <v>3119</v>
      </c>
      <c r="FJ152" s="314">
        <v>82568</v>
      </c>
      <c r="FK152" s="314">
        <v>2078</v>
      </c>
      <c r="FL152" s="314">
        <v>80490</v>
      </c>
      <c r="FM152" s="314">
        <v>80490</v>
      </c>
      <c r="FN152" s="314"/>
      <c r="FO152" s="314"/>
      <c r="FP152" s="314"/>
      <c r="FQ152" s="314">
        <v>7</v>
      </c>
      <c r="FR152" s="314">
        <v>347519</v>
      </c>
      <c r="FS152" s="314">
        <v>-12669</v>
      </c>
      <c r="FT152" s="314">
        <v>334850</v>
      </c>
      <c r="FU152" s="314"/>
      <c r="FV152" s="314"/>
      <c r="FW152" s="314"/>
      <c r="FX152" s="314">
        <v>141260</v>
      </c>
      <c r="FY152" s="314">
        <v>119304</v>
      </c>
      <c r="FZ152" s="314"/>
      <c r="GA152" s="314"/>
      <c r="GB152" s="314"/>
      <c r="GC152" s="314">
        <v>49140</v>
      </c>
      <c r="GD152" s="314">
        <v>161</v>
      </c>
      <c r="GE152" s="314"/>
      <c r="GF152" s="314">
        <v>48979</v>
      </c>
      <c r="GG152" s="314">
        <v>25146</v>
      </c>
      <c r="GH152" s="314">
        <v>7670</v>
      </c>
      <c r="GI152" s="314">
        <v>744</v>
      </c>
      <c r="GJ152" s="314">
        <v>16732</v>
      </c>
      <c r="GL152"/>
      <c r="GM152"/>
      <c r="GN152"/>
      <c r="GO152"/>
    </row>
    <row r="153" spans="1:197">
      <c r="A153" s="98" t="s">
        <v>25</v>
      </c>
      <c r="B153" s="98">
        <v>2</v>
      </c>
      <c r="C153" s="98" t="s">
        <v>218</v>
      </c>
      <c r="D153" s="315">
        <v>24959285</v>
      </c>
      <c r="E153" s="315">
        <v>-1563976</v>
      </c>
      <c r="F153" s="315">
        <v>-12501</v>
      </c>
      <c r="G153" s="315">
        <v>23382808</v>
      </c>
      <c r="H153" s="315">
        <v>19320566</v>
      </c>
      <c r="I153" s="315">
        <v>4062242</v>
      </c>
      <c r="J153" s="315">
        <v>3949414</v>
      </c>
      <c r="K153" s="315">
        <v>112828</v>
      </c>
      <c r="L153" s="315">
        <v>4762318</v>
      </c>
      <c r="M153" s="315">
        <v>3510039</v>
      </c>
      <c r="N153" s="315">
        <v>45889</v>
      </c>
      <c r="O153" s="315"/>
      <c r="P153" s="315"/>
      <c r="Q153" s="315">
        <v>37342</v>
      </c>
      <c r="R153" s="315">
        <v>1169048</v>
      </c>
      <c r="S153" s="315">
        <v>-147114</v>
      </c>
      <c r="T153" s="315">
        <v>-138161</v>
      </c>
      <c r="U153" s="315">
        <v>-54909</v>
      </c>
      <c r="V153" s="315">
        <v>0</v>
      </c>
      <c r="W153" s="315">
        <v>0</v>
      </c>
      <c r="X153" s="315">
        <v>-68451</v>
      </c>
      <c r="Y153" s="315">
        <v>-14801</v>
      </c>
      <c r="Z153" s="315">
        <v>-2486</v>
      </c>
      <c r="AA153" s="315">
        <v>-6467</v>
      </c>
      <c r="AB153" s="315">
        <v>0</v>
      </c>
      <c r="AC153" s="315">
        <v>-12501</v>
      </c>
      <c r="AD153" s="315">
        <v>4602703</v>
      </c>
      <c r="AE153" s="315">
        <v>2924547</v>
      </c>
      <c r="AF153" s="315">
        <v>1678156</v>
      </c>
      <c r="AG153" s="315">
        <v>1624587</v>
      </c>
      <c r="AH153" s="315">
        <v>53569</v>
      </c>
      <c r="AI153" s="315">
        <v>3506408</v>
      </c>
      <c r="AJ153" s="315">
        <v>1071223</v>
      </c>
      <c r="AK153" s="315">
        <v>2340258</v>
      </c>
      <c r="AL153" s="315">
        <v>45890</v>
      </c>
      <c r="AM153" s="315">
        <v>390162</v>
      </c>
      <c r="AN153" s="315">
        <v>44253</v>
      </c>
      <c r="AO153" s="315">
        <v>57783</v>
      </c>
      <c r="AP153" s="315"/>
      <c r="AQ153" s="315">
        <v>673998</v>
      </c>
      <c r="AR153" s="315">
        <v>-92272</v>
      </c>
      <c r="AS153" s="315">
        <v>34856</v>
      </c>
      <c r="AT153" s="315">
        <v>16</v>
      </c>
      <c r="AU153" s="315">
        <v>-12501</v>
      </c>
      <c r="AV153" s="315">
        <v>586370</v>
      </c>
      <c r="AW153" s="315">
        <v>32111</v>
      </c>
      <c r="AX153" s="315">
        <v>158344</v>
      </c>
      <c r="AY153" s="315"/>
      <c r="AZ153" s="315"/>
      <c r="BA153" s="315"/>
      <c r="BB153" s="315"/>
      <c r="BC153" s="315">
        <v>145930</v>
      </c>
      <c r="BD153" s="315">
        <v>249985</v>
      </c>
      <c r="BE153" s="315">
        <v>-604463</v>
      </c>
      <c r="BF153" s="315">
        <v>-141056</v>
      </c>
      <c r="BG153" s="315">
        <v>-137387</v>
      </c>
      <c r="BH153" s="315">
        <v>-3669</v>
      </c>
      <c r="BI153" s="315">
        <v>0</v>
      </c>
      <c r="BJ153" s="315">
        <v>-128751</v>
      </c>
      <c r="BK153" s="315">
        <v>-12305</v>
      </c>
      <c r="BL153" s="315">
        <v>-5095</v>
      </c>
      <c r="BM153" s="315">
        <v>-458312</v>
      </c>
      <c r="BN153" s="315">
        <v>-18093</v>
      </c>
      <c r="BO153" s="315">
        <v>-252774</v>
      </c>
      <c r="BP153" s="315">
        <v>17567</v>
      </c>
      <c r="BQ153" s="315">
        <v>24604</v>
      </c>
      <c r="BR153" s="315"/>
      <c r="BS153" s="315">
        <v>28189</v>
      </c>
      <c r="BT153" s="315"/>
      <c r="BU153" s="315"/>
      <c r="BV153" s="315"/>
      <c r="BW153" s="315"/>
      <c r="BX153" s="315">
        <v>20957</v>
      </c>
      <c r="BY153" s="315">
        <v>142261</v>
      </c>
      <c r="BZ153" s="315">
        <v>1103</v>
      </c>
      <c r="CA153" s="315">
        <v>224957</v>
      </c>
      <c r="CB153" s="315">
        <v>-380501</v>
      </c>
      <c r="CC153" s="315">
        <v>-5510</v>
      </c>
      <c r="CD153" s="315">
        <v>-374991</v>
      </c>
      <c r="CE153" s="315">
        <v>-155544</v>
      </c>
      <c r="CF153" s="315">
        <v>170971</v>
      </c>
      <c r="CG153" s="315">
        <v>47</v>
      </c>
      <c r="CH153" s="315">
        <v>-326562</v>
      </c>
      <c r="CI153" s="315">
        <v>17486497</v>
      </c>
      <c r="CJ153" s="315">
        <v>723120</v>
      </c>
      <c r="CK153" s="315">
        <v>16763377</v>
      </c>
      <c r="CL153" s="315">
        <v>7881623</v>
      </c>
      <c r="CM153" s="315">
        <v>8578856</v>
      </c>
      <c r="CN153" s="315">
        <v>302898</v>
      </c>
      <c r="CO153" s="315">
        <v>0</v>
      </c>
      <c r="CP153" s="315">
        <v>0</v>
      </c>
      <c r="CQ153" s="315">
        <v>302898</v>
      </c>
      <c r="CR153" s="315">
        <v>-412502</v>
      </c>
      <c r="CS153" s="315">
        <v>-195329</v>
      </c>
      <c r="CT153" s="315">
        <v>0</v>
      </c>
      <c r="CU153" s="315">
        <v>-134330</v>
      </c>
      <c r="CV153" s="315">
        <v>-768</v>
      </c>
      <c r="CW153" s="315">
        <v>-60231</v>
      </c>
      <c r="CX153" s="315">
        <v>-217173</v>
      </c>
      <c r="CY153" s="315">
        <v>0</v>
      </c>
      <c r="CZ153" s="315">
        <v>-188047</v>
      </c>
      <c r="DA153" s="315">
        <v>-29126</v>
      </c>
      <c r="DB153" s="315">
        <v>0</v>
      </c>
      <c r="DC153" s="315">
        <v>0</v>
      </c>
      <c r="DD153" s="315">
        <v>17073995</v>
      </c>
      <c r="DE153" s="315">
        <v>15369383</v>
      </c>
      <c r="DF153" s="315">
        <v>1704612</v>
      </c>
      <c r="DG153" s="315">
        <v>1655261</v>
      </c>
      <c r="DH153" s="315">
        <v>49351</v>
      </c>
      <c r="DI153" s="315">
        <v>1500392</v>
      </c>
      <c r="DJ153" s="315">
        <v>135968</v>
      </c>
      <c r="DK153" s="315">
        <v>25300</v>
      </c>
      <c r="DL153" s="315">
        <v>2907</v>
      </c>
      <c r="DM153" s="315">
        <v>859125</v>
      </c>
      <c r="DN153" s="315">
        <v>388557</v>
      </c>
      <c r="DO153" s="315">
        <v>88306</v>
      </c>
      <c r="DP153" s="315"/>
      <c r="DQ153" s="315"/>
      <c r="DR153" s="315">
        <v>229</v>
      </c>
      <c r="DS153" s="315">
        <v>-3944</v>
      </c>
      <c r="DT153" s="315">
        <v>-3280</v>
      </c>
      <c r="DU153" s="315">
        <v>-55</v>
      </c>
      <c r="DV153" s="315">
        <v>-19</v>
      </c>
      <c r="DW153" s="315">
        <v>-537</v>
      </c>
      <c r="DX153" s="315"/>
      <c r="DY153" s="315"/>
      <c r="DZ153" s="315"/>
      <c r="EA153" s="315">
        <v>0</v>
      </c>
      <c r="EB153" s="315">
        <v>0</v>
      </c>
      <c r="EC153" s="315"/>
      <c r="ED153" s="315"/>
      <c r="EE153" s="315">
        <v>-53</v>
      </c>
      <c r="EF153" s="315">
        <v>1496448</v>
      </c>
      <c r="EG153" s="315">
        <v>816974</v>
      </c>
      <c r="EH153" s="315">
        <v>679474</v>
      </c>
      <c r="EI153" s="315">
        <v>669566</v>
      </c>
      <c r="EJ153" s="315">
        <v>9908</v>
      </c>
      <c r="EK153" s="315">
        <v>132688</v>
      </c>
      <c r="EL153" s="315">
        <v>98542</v>
      </c>
      <c r="EM153" s="315">
        <v>34146</v>
      </c>
      <c r="EN153" s="315">
        <v>33222</v>
      </c>
      <c r="EO153" s="315">
        <v>924</v>
      </c>
      <c r="EP153" s="315">
        <v>25245</v>
      </c>
      <c r="EQ153" s="315">
        <v>16045</v>
      </c>
      <c r="ER153" s="315">
        <v>9200</v>
      </c>
      <c r="ES153" s="315">
        <v>8949</v>
      </c>
      <c r="ET153" s="315">
        <v>251</v>
      </c>
      <c r="EU153" s="315">
        <v>2888</v>
      </c>
      <c r="EV153" s="315">
        <v>2182</v>
      </c>
      <c r="EW153" s="315">
        <v>706</v>
      </c>
      <c r="EX153" s="315">
        <v>686</v>
      </c>
      <c r="EY153" s="315">
        <v>20</v>
      </c>
      <c r="EZ153" s="315">
        <v>858588</v>
      </c>
      <c r="FA153" s="315">
        <v>506006</v>
      </c>
      <c r="FB153" s="315">
        <v>352582</v>
      </c>
      <c r="FC153" s="315">
        <v>345972</v>
      </c>
      <c r="FD153" s="315">
        <v>6610</v>
      </c>
      <c r="FE153" s="315">
        <v>388557</v>
      </c>
      <c r="FF153" s="315">
        <v>186208</v>
      </c>
      <c r="FG153" s="315">
        <v>202349</v>
      </c>
      <c r="FH153" s="315">
        <v>200246</v>
      </c>
      <c r="FI153" s="315">
        <v>2103</v>
      </c>
      <c r="FJ153" s="315">
        <v>88306</v>
      </c>
      <c r="FK153" s="315">
        <v>7815</v>
      </c>
      <c r="FL153" s="315">
        <v>80491</v>
      </c>
      <c r="FM153" s="315">
        <v>80491</v>
      </c>
      <c r="FN153" s="315"/>
      <c r="FO153" s="315"/>
      <c r="FP153" s="315"/>
      <c r="FQ153" s="315">
        <v>176</v>
      </c>
      <c r="FR153" s="315">
        <v>398751</v>
      </c>
      <c r="FS153" s="315">
        <v>-15452</v>
      </c>
      <c r="FT153" s="315">
        <v>383299</v>
      </c>
      <c r="FU153" s="315"/>
      <c r="FV153" s="315"/>
      <c r="FW153" s="315"/>
      <c r="FX153" s="315">
        <v>139213</v>
      </c>
      <c r="FY153" s="315">
        <v>124747</v>
      </c>
      <c r="FZ153" s="315"/>
      <c r="GA153" s="315"/>
      <c r="GB153" s="315"/>
      <c r="GC153" s="315">
        <v>46465</v>
      </c>
      <c r="GD153" s="315">
        <v>-295</v>
      </c>
      <c r="GE153" s="315"/>
      <c r="GF153" s="315">
        <v>46760</v>
      </c>
      <c r="GG153" s="315">
        <v>72874</v>
      </c>
      <c r="GH153" s="315">
        <v>25179</v>
      </c>
      <c r="GI153" s="315">
        <v>1647</v>
      </c>
      <c r="GJ153" s="315">
        <v>46048</v>
      </c>
      <c r="GL153"/>
      <c r="GM153"/>
      <c r="GN153"/>
      <c r="GO153"/>
    </row>
    <row r="154" spans="1:197">
      <c r="A154" s="98" t="s">
        <v>25</v>
      </c>
      <c r="B154" s="98">
        <v>3</v>
      </c>
      <c r="C154" s="98" t="s">
        <v>219</v>
      </c>
      <c r="D154" s="315">
        <v>11050540</v>
      </c>
      <c r="E154" s="315">
        <v>-2721478</v>
      </c>
      <c r="F154" s="315">
        <v>-12501</v>
      </c>
      <c r="G154" s="315">
        <v>8316561</v>
      </c>
      <c r="H154" s="315">
        <v>4249598</v>
      </c>
      <c r="I154" s="315">
        <v>4066963</v>
      </c>
      <c r="J154" s="315">
        <v>3949416</v>
      </c>
      <c r="K154" s="315">
        <v>117547</v>
      </c>
      <c r="L154" s="315">
        <v>4050648</v>
      </c>
      <c r="M154" s="315">
        <v>3633960</v>
      </c>
      <c r="N154" s="315">
        <v>44333</v>
      </c>
      <c r="O154" s="315"/>
      <c r="P154" s="315"/>
      <c r="Q154" s="315">
        <v>37282</v>
      </c>
      <c r="R154" s="315">
        <v>335073</v>
      </c>
      <c r="S154" s="315">
        <v>-134616</v>
      </c>
      <c r="T154" s="315">
        <v>-124929</v>
      </c>
      <c r="U154" s="315">
        <v>-55900</v>
      </c>
      <c r="V154" s="315">
        <v>0</v>
      </c>
      <c r="W154" s="315">
        <v>-3452</v>
      </c>
      <c r="X154" s="315">
        <v>-51591</v>
      </c>
      <c r="Y154" s="315">
        <v>-13986</v>
      </c>
      <c r="Z154" s="315">
        <v>-2971</v>
      </c>
      <c r="AA154" s="315">
        <v>-6716</v>
      </c>
      <c r="AB154" s="315">
        <v>0</v>
      </c>
      <c r="AC154" s="315">
        <v>-12501</v>
      </c>
      <c r="AD154" s="315">
        <v>3903531</v>
      </c>
      <c r="AE154" s="315">
        <v>2225057</v>
      </c>
      <c r="AF154" s="315">
        <v>1678474</v>
      </c>
      <c r="AG154" s="315">
        <v>1624586</v>
      </c>
      <c r="AH154" s="315">
        <v>53888</v>
      </c>
      <c r="AI154" s="315">
        <v>3629095</v>
      </c>
      <c r="AJ154" s="315">
        <v>1030014</v>
      </c>
      <c r="AK154" s="315">
        <v>2543899</v>
      </c>
      <c r="AL154" s="315">
        <v>15617</v>
      </c>
      <c r="AM154" s="315">
        <v>226652</v>
      </c>
      <c r="AN154" s="315">
        <v>40546</v>
      </c>
      <c r="AO154" s="315">
        <v>59549</v>
      </c>
      <c r="AP154" s="315"/>
      <c r="AQ154" s="315">
        <v>6467</v>
      </c>
      <c r="AR154" s="315">
        <v>-80596</v>
      </c>
      <c r="AS154" s="315">
        <v>34311</v>
      </c>
      <c r="AT154" s="315">
        <v>8</v>
      </c>
      <c r="AU154" s="315">
        <v>-12501</v>
      </c>
      <c r="AV154" s="315">
        <v>425734</v>
      </c>
      <c r="AW154" s="315">
        <v>16957</v>
      </c>
      <c r="AX154" s="315">
        <v>139545</v>
      </c>
      <c r="AY154" s="315"/>
      <c r="AZ154" s="315"/>
      <c r="BA154" s="315"/>
      <c r="BB154" s="315"/>
      <c r="BC154" s="315">
        <v>131102</v>
      </c>
      <c r="BD154" s="315">
        <v>138130</v>
      </c>
      <c r="BE154" s="315">
        <v>-149876</v>
      </c>
      <c r="BF154" s="315">
        <v>-118496</v>
      </c>
      <c r="BG154" s="315">
        <v>-112561</v>
      </c>
      <c r="BH154" s="315">
        <v>-5935</v>
      </c>
      <c r="BI154" s="315">
        <v>0</v>
      </c>
      <c r="BJ154" s="315">
        <v>-101235</v>
      </c>
      <c r="BK154" s="315">
        <v>-17261</v>
      </c>
      <c r="BL154" s="315">
        <v>-2658</v>
      </c>
      <c r="BM154" s="315">
        <v>-28722</v>
      </c>
      <c r="BN154" s="315">
        <v>275858</v>
      </c>
      <c r="BO154" s="315">
        <v>67103</v>
      </c>
      <c r="BP154" s="315">
        <v>16220</v>
      </c>
      <c r="BQ154" s="315">
        <v>25351</v>
      </c>
      <c r="BR154" s="315"/>
      <c r="BS154" s="315">
        <v>15006</v>
      </c>
      <c r="BT154" s="315"/>
      <c r="BU154" s="315"/>
      <c r="BV154" s="315"/>
      <c r="BW154" s="315"/>
      <c r="BX154" s="315">
        <v>26984</v>
      </c>
      <c r="BY154" s="315">
        <v>125167</v>
      </c>
      <c r="BZ154" s="315">
        <v>27</v>
      </c>
      <c r="CA154" s="315">
        <v>131522</v>
      </c>
      <c r="CB154" s="315">
        <v>-59433</v>
      </c>
      <c r="CC154" s="315">
        <v>-13772</v>
      </c>
      <c r="CD154" s="315">
        <v>-45661</v>
      </c>
      <c r="CE154" s="315">
        <v>72089</v>
      </c>
      <c r="CF154" s="315">
        <v>109098</v>
      </c>
      <c r="CG154" s="315">
        <v>19</v>
      </c>
      <c r="CH154" s="315">
        <v>-37028</v>
      </c>
      <c r="CI154" s="315">
        <v>4376815</v>
      </c>
      <c r="CJ154" s="315">
        <v>728156</v>
      </c>
      <c r="CK154" s="315">
        <v>3648659</v>
      </c>
      <c r="CL154" s="315">
        <v>3392392</v>
      </c>
      <c r="CM154" s="315">
        <v>31319</v>
      </c>
      <c r="CN154" s="315">
        <v>224948</v>
      </c>
      <c r="CO154" s="315">
        <v>23</v>
      </c>
      <c r="CP154" s="315">
        <v>0</v>
      </c>
      <c r="CQ154" s="315">
        <v>224925</v>
      </c>
      <c r="CR154" s="315">
        <v>-2313541</v>
      </c>
      <c r="CS154" s="315">
        <v>-1312199</v>
      </c>
      <c r="CT154" s="315">
        <v>-622477</v>
      </c>
      <c r="CU154" s="315">
        <v>-146815</v>
      </c>
      <c r="CV154" s="315">
        <v>-329</v>
      </c>
      <c r="CW154" s="315">
        <v>-542578</v>
      </c>
      <c r="CX154" s="315">
        <v>-907702</v>
      </c>
      <c r="CY154" s="315">
        <v>-370170</v>
      </c>
      <c r="CZ154" s="315">
        <v>-270376</v>
      </c>
      <c r="DA154" s="315">
        <v>-267156</v>
      </c>
      <c r="DB154" s="315">
        <v>-36</v>
      </c>
      <c r="DC154" s="315">
        <v>-93604</v>
      </c>
      <c r="DD154" s="315">
        <v>2063274</v>
      </c>
      <c r="DE154" s="315">
        <v>358663</v>
      </c>
      <c r="DF154" s="315">
        <v>1704611</v>
      </c>
      <c r="DG154" s="315">
        <v>1655260</v>
      </c>
      <c r="DH154" s="315">
        <v>49351</v>
      </c>
      <c r="DI154" s="315">
        <v>1480998</v>
      </c>
      <c r="DJ154" s="315">
        <v>121659</v>
      </c>
      <c r="DK154" s="315">
        <v>19212</v>
      </c>
      <c r="DL154" s="315">
        <v>2403</v>
      </c>
      <c r="DM154" s="315">
        <v>821708</v>
      </c>
      <c r="DN154" s="315">
        <v>425864</v>
      </c>
      <c r="DO154" s="315">
        <v>89972</v>
      </c>
      <c r="DP154" s="315"/>
      <c r="DQ154" s="315"/>
      <c r="DR154" s="315">
        <v>180</v>
      </c>
      <c r="DS154" s="315">
        <v>-28963</v>
      </c>
      <c r="DT154" s="315">
        <v>-5528</v>
      </c>
      <c r="DU154" s="315">
        <v>-60</v>
      </c>
      <c r="DV154" s="315">
        <v>-72</v>
      </c>
      <c r="DW154" s="315">
        <v>-22435</v>
      </c>
      <c r="DX154" s="315">
        <v>-21856</v>
      </c>
      <c r="DY154" s="315"/>
      <c r="DZ154" s="315">
        <v>-579</v>
      </c>
      <c r="EA154" s="315">
        <v>0</v>
      </c>
      <c r="EB154" s="315">
        <v>-67</v>
      </c>
      <c r="EC154" s="315"/>
      <c r="ED154" s="315"/>
      <c r="EE154" s="315">
        <v>-801</v>
      </c>
      <c r="EF154" s="315">
        <v>1452035</v>
      </c>
      <c r="EG154" s="315">
        <v>768157</v>
      </c>
      <c r="EH154" s="315">
        <v>683878</v>
      </c>
      <c r="EI154" s="315">
        <v>669570</v>
      </c>
      <c r="EJ154" s="315">
        <v>14308</v>
      </c>
      <c r="EK154" s="315">
        <v>116131</v>
      </c>
      <c r="EL154" s="315">
        <v>81985</v>
      </c>
      <c r="EM154" s="315">
        <v>34146</v>
      </c>
      <c r="EN154" s="315">
        <v>33222</v>
      </c>
      <c r="EO154" s="315">
        <v>924</v>
      </c>
      <c r="EP154" s="315">
        <v>19152</v>
      </c>
      <c r="EQ154" s="315">
        <v>9950</v>
      </c>
      <c r="ER154" s="315">
        <v>9202</v>
      </c>
      <c r="ES154" s="315">
        <v>8952</v>
      </c>
      <c r="ET154" s="315">
        <v>250</v>
      </c>
      <c r="EU154" s="315">
        <v>2331</v>
      </c>
      <c r="EV154" s="315">
        <v>1624</v>
      </c>
      <c r="EW154" s="315">
        <v>707</v>
      </c>
      <c r="EX154" s="315">
        <v>686</v>
      </c>
      <c r="EY154" s="315">
        <v>21</v>
      </c>
      <c r="EZ154" s="315">
        <v>799273</v>
      </c>
      <c r="FA154" s="315">
        <v>443306</v>
      </c>
      <c r="FB154" s="315">
        <v>355967</v>
      </c>
      <c r="FC154" s="315">
        <v>345973</v>
      </c>
      <c r="FD154" s="315">
        <v>9994</v>
      </c>
      <c r="FE154" s="315">
        <v>425864</v>
      </c>
      <c r="FF154" s="315">
        <v>222498</v>
      </c>
      <c r="FG154" s="315">
        <v>203366</v>
      </c>
      <c r="FH154" s="315">
        <v>200247</v>
      </c>
      <c r="FI154" s="315">
        <v>3119</v>
      </c>
      <c r="FJ154" s="315">
        <v>89905</v>
      </c>
      <c r="FK154" s="315">
        <v>9415</v>
      </c>
      <c r="FL154" s="315">
        <v>80490</v>
      </c>
      <c r="FM154" s="315">
        <v>80490</v>
      </c>
      <c r="FN154" s="315"/>
      <c r="FO154" s="315"/>
      <c r="FP154" s="315"/>
      <c r="FQ154" s="315">
        <v>-621</v>
      </c>
      <c r="FR154" s="315">
        <v>584823</v>
      </c>
      <c r="FS154" s="315">
        <v>-35049</v>
      </c>
      <c r="FT154" s="315">
        <v>549774</v>
      </c>
      <c r="FU154" s="315"/>
      <c r="FV154" s="315"/>
      <c r="FW154" s="315"/>
      <c r="FX154" s="315">
        <v>134842</v>
      </c>
      <c r="FY154" s="315">
        <v>112535</v>
      </c>
      <c r="FZ154" s="315"/>
      <c r="GA154" s="315"/>
      <c r="GB154" s="315"/>
      <c r="GC154" s="315">
        <v>265219</v>
      </c>
      <c r="GD154" s="315">
        <v>207514</v>
      </c>
      <c r="GE154" s="315"/>
      <c r="GF154" s="315">
        <v>57705</v>
      </c>
      <c r="GG154" s="315">
        <v>37178</v>
      </c>
      <c r="GH154" s="315">
        <v>3826</v>
      </c>
      <c r="GI154" s="315">
        <v>-683</v>
      </c>
      <c r="GJ154" s="315">
        <v>34035</v>
      </c>
      <c r="GL154"/>
      <c r="GM154"/>
      <c r="GN154"/>
      <c r="GO154"/>
    </row>
    <row r="155" spans="1:197">
      <c r="A155" s="98" t="s">
        <v>25</v>
      </c>
      <c r="B155" s="98">
        <v>4</v>
      </c>
      <c r="C155" s="98" t="s">
        <v>220</v>
      </c>
      <c r="D155" s="315">
        <v>30365174</v>
      </c>
      <c r="E155" s="315">
        <v>-2674055</v>
      </c>
      <c r="F155" s="315">
        <v>-12501</v>
      </c>
      <c r="G155" s="315">
        <v>27678618</v>
      </c>
      <c r="H155" s="315">
        <v>23611653</v>
      </c>
      <c r="I155" s="315">
        <v>4066965</v>
      </c>
      <c r="J155" s="315">
        <v>3949418</v>
      </c>
      <c r="K155" s="315">
        <v>117547</v>
      </c>
      <c r="L155" s="315">
        <v>9350233</v>
      </c>
      <c r="M155" s="315">
        <v>7637703</v>
      </c>
      <c r="N155" s="315">
        <v>51304</v>
      </c>
      <c r="O155" s="315"/>
      <c r="P155" s="315"/>
      <c r="Q155" s="315">
        <v>20858</v>
      </c>
      <c r="R155" s="315">
        <v>1640368</v>
      </c>
      <c r="S155" s="315">
        <v>-440242</v>
      </c>
      <c r="T155" s="315">
        <v>-431278</v>
      </c>
      <c r="U155" s="315">
        <v>-53378</v>
      </c>
      <c r="V155" s="315">
        <v>0</v>
      </c>
      <c r="W155" s="315">
        <v>-344200</v>
      </c>
      <c r="X155" s="315">
        <v>0</v>
      </c>
      <c r="Y155" s="315">
        <v>-33700</v>
      </c>
      <c r="Z155" s="315">
        <v>-3878</v>
      </c>
      <c r="AA155" s="315">
        <v>-5086</v>
      </c>
      <c r="AB155" s="315">
        <v>0</v>
      </c>
      <c r="AC155" s="315">
        <v>-12501</v>
      </c>
      <c r="AD155" s="315">
        <v>8897490</v>
      </c>
      <c r="AE155" s="315">
        <v>7219015</v>
      </c>
      <c r="AF155" s="315">
        <v>1678475</v>
      </c>
      <c r="AG155" s="315">
        <v>1624587</v>
      </c>
      <c r="AH155" s="315">
        <v>53888</v>
      </c>
      <c r="AI155" s="315">
        <v>7633342</v>
      </c>
      <c r="AJ155" s="315">
        <v>1032018</v>
      </c>
      <c r="AK155" s="315">
        <v>2696731</v>
      </c>
      <c r="AL155" s="315">
        <v>3847705</v>
      </c>
      <c r="AM155" s="315">
        <v>397523</v>
      </c>
      <c r="AN155" s="315">
        <v>371127</v>
      </c>
      <c r="AO155" s="315">
        <v>77200</v>
      </c>
      <c r="AP155" s="315"/>
      <c r="AQ155" s="315">
        <v>794308</v>
      </c>
      <c r="AR155" s="315">
        <v>-379974</v>
      </c>
      <c r="AS155" s="315">
        <v>16980</v>
      </c>
      <c r="AT155" s="315">
        <v>-515</v>
      </c>
      <c r="AU155" s="315">
        <v>-12501</v>
      </c>
      <c r="AV155" s="315">
        <v>6867786</v>
      </c>
      <c r="AW155" s="315">
        <v>6254349</v>
      </c>
      <c r="AX155" s="315">
        <v>179277</v>
      </c>
      <c r="AY155" s="315"/>
      <c r="AZ155" s="315"/>
      <c r="BA155" s="315"/>
      <c r="BB155" s="315"/>
      <c r="BC155" s="315">
        <v>52982</v>
      </c>
      <c r="BD155" s="315">
        <v>381178</v>
      </c>
      <c r="BE155" s="315">
        <v>-79490</v>
      </c>
      <c r="BF155" s="315">
        <v>-72273</v>
      </c>
      <c r="BG155" s="315">
        <v>-60000</v>
      </c>
      <c r="BH155" s="315">
        <v>-12273</v>
      </c>
      <c r="BI155" s="315">
        <v>0</v>
      </c>
      <c r="BJ155" s="315">
        <v>-58781</v>
      </c>
      <c r="BK155" s="315">
        <v>-13492</v>
      </c>
      <c r="BL155" s="315">
        <v>-4246</v>
      </c>
      <c r="BM155" s="315">
        <v>-2971</v>
      </c>
      <c r="BN155" s="315">
        <v>6788296</v>
      </c>
      <c r="BO155" s="315">
        <v>188442</v>
      </c>
      <c r="BP155" s="315">
        <v>156473</v>
      </c>
      <c r="BQ155" s="315">
        <v>32861</v>
      </c>
      <c r="BR155" s="315"/>
      <c r="BS155" s="315">
        <v>6250385</v>
      </c>
      <c r="BT155" s="315"/>
      <c r="BU155" s="315"/>
      <c r="BV155" s="315"/>
      <c r="BW155" s="315"/>
      <c r="BX155" s="315">
        <v>119277</v>
      </c>
      <c r="BY155" s="315">
        <v>40709</v>
      </c>
      <c r="BZ155" s="315">
        <v>149</v>
      </c>
      <c r="CA155" s="315">
        <v>191837</v>
      </c>
      <c r="CB155" s="315">
        <v>-7293</v>
      </c>
      <c r="CC155" s="315">
        <v>-4548</v>
      </c>
      <c r="CD155" s="315">
        <v>-2745</v>
      </c>
      <c r="CE155" s="315">
        <v>184544</v>
      </c>
      <c r="CF155" s="315">
        <v>132784</v>
      </c>
      <c r="CG155" s="315">
        <v>22857</v>
      </c>
      <c r="CH155" s="315">
        <v>28903</v>
      </c>
      <c r="CI155" s="315">
        <v>11731072</v>
      </c>
      <c r="CJ155" s="315">
        <v>798859</v>
      </c>
      <c r="CK155" s="315">
        <v>10932213</v>
      </c>
      <c r="CL155" s="315">
        <v>4182421</v>
      </c>
      <c r="CM155" s="315">
        <v>6476165</v>
      </c>
      <c r="CN155" s="315">
        <v>273627</v>
      </c>
      <c r="CO155" s="315">
        <v>17560</v>
      </c>
      <c r="CP155" s="315">
        <v>0</v>
      </c>
      <c r="CQ155" s="315">
        <v>256067</v>
      </c>
      <c r="CR155" s="315">
        <v>-2038758</v>
      </c>
      <c r="CS155" s="315">
        <v>-479405</v>
      </c>
      <c r="CT155" s="315">
        <v>-360783</v>
      </c>
      <c r="CU155" s="315">
        <v>-69173</v>
      </c>
      <c r="CV155" s="315">
        <v>-783</v>
      </c>
      <c r="CW155" s="315">
        <v>-48666</v>
      </c>
      <c r="CX155" s="315">
        <v>-1225945</v>
      </c>
      <c r="CY155" s="315">
        <v>-1018390</v>
      </c>
      <c r="CZ155" s="315">
        <v>-199265</v>
      </c>
      <c r="DA155" s="315">
        <v>-8290</v>
      </c>
      <c r="DB155" s="315">
        <v>-333408</v>
      </c>
      <c r="DC155" s="315">
        <v>0</v>
      </c>
      <c r="DD155" s="315">
        <v>9692314</v>
      </c>
      <c r="DE155" s="315">
        <v>7987702</v>
      </c>
      <c r="DF155" s="315">
        <v>1704612</v>
      </c>
      <c r="DG155" s="315">
        <v>1655261</v>
      </c>
      <c r="DH155" s="315">
        <v>49351</v>
      </c>
      <c r="DI155" s="315">
        <v>1736955</v>
      </c>
      <c r="DJ155" s="315">
        <v>29208</v>
      </c>
      <c r="DK155" s="315">
        <v>19450</v>
      </c>
      <c r="DL155" s="315">
        <v>707</v>
      </c>
      <c r="DM155" s="315">
        <v>1004858</v>
      </c>
      <c r="DN155" s="315">
        <v>586044</v>
      </c>
      <c r="DO155" s="315">
        <v>96511</v>
      </c>
      <c r="DP155" s="315"/>
      <c r="DQ155" s="315"/>
      <c r="DR155" s="315">
        <v>177</v>
      </c>
      <c r="DS155" s="315">
        <v>-94333</v>
      </c>
      <c r="DT155" s="315">
        <v>-19828</v>
      </c>
      <c r="DU155" s="315">
        <v>-5587</v>
      </c>
      <c r="DV155" s="315">
        <v>-21</v>
      </c>
      <c r="DW155" s="315">
        <v>-36125</v>
      </c>
      <c r="DX155" s="315">
        <v>-35447</v>
      </c>
      <c r="DY155" s="315"/>
      <c r="DZ155" s="315">
        <v>-678</v>
      </c>
      <c r="EA155" s="315">
        <v>-32749</v>
      </c>
      <c r="EB155" s="315">
        <v>-13</v>
      </c>
      <c r="EC155" s="315"/>
      <c r="ED155" s="315"/>
      <c r="EE155" s="315">
        <v>-10</v>
      </c>
      <c r="EF155" s="315">
        <v>1642622</v>
      </c>
      <c r="EG155" s="315">
        <v>958744</v>
      </c>
      <c r="EH155" s="315">
        <v>683878</v>
      </c>
      <c r="EI155" s="315">
        <v>669570</v>
      </c>
      <c r="EJ155" s="315">
        <v>14308</v>
      </c>
      <c r="EK155" s="315">
        <v>9380</v>
      </c>
      <c r="EL155" s="315">
        <v>-24766</v>
      </c>
      <c r="EM155" s="315">
        <v>34146</v>
      </c>
      <c r="EN155" s="315">
        <v>33222</v>
      </c>
      <c r="EO155" s="315">
        <v>924</v>
      </c>
      <c r="EP155" s="315">
        <v>13863</v>
      </c>
      <c r="EQ155" s="315">
        <v>4661</v>
      </c>
      <c r="ER155" s="315">
        <v>9202</v>
      </c>
      <c r="ES155" s="315">
        <v>8951</v>
      </c>
      <c r="ET155" s="315">
        <v>251</v>
      </c>
      <c r="EU155" s="315">
        <v>686</v>
      </c>
      <c r="EV155" s="315">
        <v>-20</v>
      </c>
      <c r="EW155" s="315">
        <v>706</v>
      </c>
      <c r="EX155" s="315">
        <v>686</v>
      </c>
      <c r="EY155" s="315">
        <v>20</v>
      </c>
      <c r="EZ155" s="315">
        <v>968733</v>
      </c>
      <c r="FA155" s="315">
        <v>612766</v>
      </c>
      <c r="FB155" s="315">
        <v>355967</v>
      </c>
      <c r="FC155" s="315">
        <v>345973</v>
      </c>
      <c r="FD155" s="315">
        <v>9994</v>
      </c>
      <c r="FE155" s="315">
        <v>553295</v>
      </c>
      <c r="FF155" s="315">
        <v>349929</v>
      </c>
      <c r="FG155" s="315">
        <v>203366</v>
      </c>
      <c r="FH155" s="315">
        <v>200247</v>
      </c>
      <c r="FI155" s="315">
        <v>3119</v>
      </c>
      <c r="FJ155" s="315">
        <v>96498</v>
      </c>
      <c r="FK155" s="315">
        <v>16007</v>
      </c>
      <c r="FL155" s="315">
        <v>80491</v>
      </c>
      <c r="FM155" s="315">
        <v>80491</v>
      </c>
      <c r="FN155" s="315"/>
      <c r="FO155" s="315"/>
      <c r="FP155" s="315"/>
      <c r="FQ155" s="315">
        <v>167</v>
      </c>
      <c r="FR155" s="315">
        <v>487291</v>
      </c>
      <c r="FS155" s="315">
        <v>-13939</v>
      </c>
      <c r="FT155" s="315">
        <v>473352</v>
      </c>
      <c r="FU155" s="315"/>
      <c r="FV155" s="315"/>
      <c r="FW155" s="315"/>
      <c r="FX155" s="315">
        <v>148545</v>
      </c>
      <c r="FY155" s="315">
        <v>132115</v>
      </c>
      <c r="FZ155" s="315"/>
      <c r="GA155" s="315"/>
      <c r="GB155" s="315"/>
      <c r="GC155" s="315">
        <v>125330</v>
      </c>
      <c r="GD155" s="315">
        <v>77327</v>
      </c>
      <c r="GE155" s="315"/>
      <c r="GF155" s="315">
        <v>48003</v>
      </c>
      <c r="GG155" s="315">
        <v>67362</v>
      </c>
      <c r="GH155" s="315">
        <v>4009</v>
      </c>
      <c r="GI155" s="315">
        <v>1193</v>
      </c>
      <c r="GJ155" s="315">
        <v>62160</v>
      </c>
      <c r="GL155"/>
      <c r="GM155"/>
      <c r="GN155"/>
      <c r="GO155"/>
    </row>
    <row r="156" spans="1:197">
      <c r="A156" s="98" t="s">
        <v>25</v>
      </c>
      <c r="B156" s="98">
        <v>5</v>
      </c>
      <c r="C156" s="98" t="s">
        <v>221</v>
      </c>
      <c r="D156" s="315">
        <v>10915207</v>
      </c>
      <c r="E156" s="315">
        <v>-5067694</v>
      </c>
      <c r="F156" s="315">
        <v>-12501</v>
      </c>
      <c r="G156" s="315">
        <v>5835012</v>
      </c>
      <c r="H156" s="315">
        <v>1768025</v>
      </c>
      <c r="I156" s="315">
        <v>4066987</v>
      </c>
      <c r="J156" s="315">
        <v>3949414</v>
      </c>
      <c r="K156" s="315">
        <v>117573</v>
      </c>
      <c r="L156" s="315">
        <v>4007639</v>
      </c>
      <c r="M156" s="315">
        <v>3381462</v>
      </c>
      <c r="N156" s="315">
        <v>159784</v>
      </c>
      <c r="O156" s="315"/>
      <c r="P156" s="315"/>
      <c r="Q156" s="315">
        <v>26340</v>
      </c>
      <c r="R156" s="315">
        <v>440053</v>
      </c>
      <c r="S156" s="315">
        <v>-2290013</v>
      </c>
      <c r="T156" s="315">
        <v>-2284125</v>
      </c>
      <c r="U156" s="315">
        <v>-57024</v>
      </c>
      <c r="V156" s="315">
        <v>0</v>
      </c>
      <c r="W156" s="315">
        <v>-2204042</v>
      </c>
      <c r="X156" s="315">
        <v>0</v>
      </c>
      <c r="Y156" s="315">
        <v>-23059</v>
      </c>
      <c r="Z156" s="315">
        <v>-1734</v>
      </c>
      <c r="AA156" s="315">
        <v>-4154</v>
      </c>
      <c r="AB156" s="315">
        <v>0</v>
      </c>
      <c r="AC156" s="315">
        <v>-12501</v>
      </c>
      <c r="AD156" s="315">
        <v>1705125</v>
      </c>
      <c r="AE156" s="315">
        <v>26621</v>
      </c>
      <c r="AF156" s="315">
        <v>1678504</v>
      </c>
      <c r="AG156" s="315">
        <v>1624587</v>
      </c>
      <c r="AH156" s="315">
        <v>53917</v>
      </c>
      <c r="AI156" s="315">
        <v>3378500</v>
      </c>
      <c r="AJ156" s="315">
        <v>1058085</v>
      </c>
      <c r="AK156" s="315">
        <v>2255007</v>
      </c>
      <c r="AL156" s="315">
        <v>37590</v>
      </c>
      <c r="AM156" s="315">
        <v>327071</v>
      </c>
      <c r="AN156" s="315">
        <v>46664</v>
      </c>
      <c r="AO156" s="315">
        <v>51389</v>
      </c>
      <c r="AP156" s="315"/>
      <c r="AQ156" s="315">
        <v>13729</v>
      </c>
      <c r="AR156" s="315">
        <v>-2124341</v>
      </c>
      <c r="AS156" s="315">
        <v>24606</v>
      </c>
      <c r="AT156" s="315">
        <v>8</v>
      </c>
      <c r="AU156" s="315">
        <v>-12501</v>
      </c>
      <c r="AV156" s="315">
        <v>405081</v>
      </c>
      <c r="AW156" s="315">
        <v>47793</v>
      </c>
      <c r="AX156" s="315">
        <v>111936</v>
      </c>
      <c r="AY156" s="315"/>
      <c r="AZ156" s="315"/>
      <c r="BA156" s="315"/>
      <c r="BB156" s="315"/>
      <c r="BC156" s="315">
        <v>65349</v>
      </c>
      <c r="BD156" s="315">
        <v>180003</v>
      </c>
      <c r="BE156" s="315">
        <v>-50471</v>
      </c>
      <c r="BF156" s="315">
        <v>-46645</v>
      </c>
      <c r="BG156" s="315">
        <v>-41529</v>
      </c>
      <c r="BH156" s="315">
        <v>-5116</v>
      </c>
      <c r="BI156" s="315">
        <v>0</v>
      </c>
      <c r="BJ156" s="315">
        <v>-28750</v>
      </c>
      <c r="BK156" s="315">
        <v>-17895</v>
      </c>
      <c r="BL156" s="315">
        <v>-1555</v>
      </c>
      <c r="BM156" s="315">
        <v>-2271</v>
      </c>
      <c r="BN156" s="315">
        <v>354610</v>
      </c>
      <c r="BO156" s="315">
        <v>136604</v>
      </c>
      <c r="BP156" s="315">
        <v>18766</v>
      </c>
      <c r="BQ156" s="315">
        <v>21875</v>
      </c>
      <c r="BR156" s="315"/>
      <c r="BS156" s="315">
        <v>46536</v>
      </c>
      <c r="BT156" s="315"/>
      <c r="BU156" s="315"/>
      <c r="BV156" s="315"/>
      <c r="BW156" s="315"/>
      <c r="BX156" s="315">
        <v>70407</v>
      </c>
      <c r="BY156" s="315">
        <v>60233</v>
      </c>
      <c r="BZ156" s="315">
        <v>189</v>
      </c>
      <c r="CA156" s="315">
        <v>130182</v>
      </c>
      <c r="CB156" s="315">
        <v>-32422</v>
      </c>
      <c r="CC156" s="315">
        <v>-11983</v>
      </c>
      <c r="CD156" s="315">
        <v>-20439</v>
      </c>
      <c r="CE156" s="315">
        <v>97760</v>
      </c>
      <c r="CF156" s="315">
        <v>91524</v>
      </c>
      <c r="CG156" s="315">
        <v>81</v>
      </c>
      <c r="CH156" s="315">
        <v>6155</v>
      </c>
      <c r="CI156" s="315">
        <v>4445079</v>
      </c>
      <c r="CJ156" s="315">
        <v>689304</v>
      </c>
      <c r="CK156" s="315">
        <v>3755775</v>
      </c>
      <c r="CL156" s="315">
        <v>3500021</v>
      </c>
      <c r="CM156" s="315">
        <v>66128</v>
      </c>
      <c r="CN156" s="315">
        <v>189626</v>
      </c>
      <c r="CO156" s="315">
        <v>0</v>
      </c>
      <c r="CP156" s="315">
        <v>0</v>
      </c>
      <c r="CQ156" s="315">
        <v>189626</v>
      </c>
      <c r="CR156" s="315">
        <v>-2657939</v>
      </c>
      <c r="CS156" s="315">
        <v>-834004</v>
      </c>
      <c r="CT156" s="315">
        <v>-684642</v>
      </c>
      <c r="CU156" s="315">
        <v>-69949</v>
      </c>
      <c r="CV156" s="315">
        <v>-748</v>
      </c>
      <c r="CW156" s="315">
        <v>-78665</v>
      </c>
      <c r="CX156" s="315">
        <v>-1823935</v>
      </c>
      <c r="CY156" s="315">
        <v>-943607</v>
      </c>
      <c r="CZ156" s="315">
        <v>-873370</v>
      </c>
      <c r="DA156" s="315">
        <v>-6958</v>
      </c>
      <c r="DB156" s="315">
        <v>0</v>
      </c>
      <c r="DC156" s="315">
        <v>0</v>
      </c>
      <c r="DD156" s="315">
        <v>1787140</v>
      </c>
      <c r="DE156" s="315">
        <v>82529</v>
      </c>
      <c r="DF156" s="315">
        <v>1704611</v>
      </c>
      <c r="DG156" s="315">
        <v>1655261</v>
      </c>
      <c r="DH156" s="315">
        <v>49350</v>
      </c>
      <c r="DI156" s="315">
        <v>1553763</v>
      </c>
      <c r="DJ156" s="315">
        <v>77738</v>
      </c>
      <c r="DK156" s="315">
        <v>18553</v>
      </c>
      <c r="DL156" s="315">
        <v>2397</v>
      </c>
      <c r="DM156" s="315">
        <v>837819</v>
      </c>
      <c r="DN156" s="315">
        <v>530024</v>
      </c>
      <c r="DO156" s="315">
        <v>87053</v>
      </c>
      <c r="DP156" s="315"/>
      <c r="DQ156" s="315"/>
      <c r="DR156" s="315">
        <v>179</v>
      </c>
      <c r="DS156" s="315">
        <v>-19514</v>
      </c>
      <c r="DT156" s="315">
        <v>-3343</v>
      </c>
      <c r="DU156" s="315">
        <v>-76</v>
      </c>
      <c r="DV156" s="315">
        <v>-15</v>
      </c>
      <c r="DW156" s="315">
        <v>-15482</v>
      </c>
      <c r="DX156" s="315">
        <v>-12015</v>
      </c>
      <c r="DY156" s="315">
        <v>-3065</v>
      </c>
      <c r="DZ156" s="315">
        <v>-402</v>
      </c>
      <c r="EA156" s="315">
        <v>-7</v>
      </c>
      <c r="EB156" s="315">
        <v>-13</v>
      </c>
      <c r="EC156" s="315"/>
      <c r="ED156" s="315"/>
      <c r="EE156" s="315">
        <v>-578</v>
      </c>
      <c r="EF156" s="315">
        <v>1534249</v>
      </c>
      <c r="EG156" s="315">
        <v>850377</v>
      </c>
      <c r="EH156" s="315">
        <v>683872</v>
      </c>
      <c r="EI156" s="315">
        <v>669566</v>
      </c>
      <c r="EJ156" s="315">
        <v>14306</v>
      </c>
      <c r="EK156" s="315">
        <v>74395</v>
      </c>
      <c r="EL156" s="315">
        <v>40250</v>
      </c>
      <c r="EM156" s="315">
        <v>34145</v>
      </c>
      <c r="EN156" s="315">
        <v>33222</v>
      </c>
      <c r="EO156" s="315">
        <v>923</v>
      </c>
      <c r="EP156" s="315">
        <v>18477</v>
      </c>
      <c r="EQ156" s="315">
        <v>9277</v>
      </c>
      <c r="ER156" s="315">
        <v>9200</v>
      </c>
      <c r="ES156" s="315">
        <v>8950</v>
      </c>
      <c r="ET156" s="315">
        <v>250</v>
      </c>
      <c r="EU156" s="315">
        <v>2382</v>
      </c>
      <c r="EV156" s="315">
        <v>1676</v>
      </c>
      <c r="EW156" s="315">
        <v>706</v>
      </c>
      <c r="EX156" s="315">
        <v>686</v>
      </c>
      <c r="EY156" s="315">
        <v>20</v>
      </c>
      <c r="EZ156" s="315">
        <v>822337</v>
      </c>
      <c r="FA156" s="315">
        <v>466372</v>
      </c>
      <c r="FB156" s="315">
        <v>355965</v>
      </c>
      <c r="FC156" s="315">
        <v>345972</v>
      </c>
      <c r="FD156" s="315">
        <v>9993</v>
      </c>
      <c r="FE156" s="315">
        <v>530017</v>
      </c>
      <c r="FF156" s="315">
        <v>326651</v>
      </c>
      <c r="FG156" s="315">
        <v>203366</v>
      </c>
      <c r="FH156" s="315">
        <v>200246</v>
      </c>
      <c r="FI156" s="315">
        <v>3120</v>
      </c>
      <c r="FJ156" s="315">
        <v>87040</v>
      </c>
      <c r="FK156" s="315">
        <v>6550</v>
      </c>
      <c r="FL156" s="315">
        <v>80490</v>
      </c>
      <c r="FM156" s="315">
        <v>80490</v>
      </c>
      <c r="FN156" s="315"/>
      <c r="FO156" s="315"/>
      <c r="FP156" s="315"/>
      <c r="FQ156" s="315">
        <v>-399</v>
      </c>
      <c r="FR156" s="315">
        <v>373463</v>
      </c>
      <c r="FS156" s="315">
        <v>-17335</v>
      </c>
      <c r="FT156" s="315">
        <v>356128</v>
      </c>
      <c r="FU156" s="315"/>
      <c r="FV156" s="315"/>
      <c r="FW156" s="315"/>
      <c r="FX156" s="315">
        <v>118151</v>
      </c>
      <c r="FY156" s="315">
        <v>123944</v>
      </c>
      <c r="FZ156" s="315"/>
      <c r="GA156" s="315"/>
      <c r="GB156" s="315"/>
      <c r="GC156" s="315">
        <v>50178</v>
      </c>
      <c r="GD156" s="315">
        <v>3134</v>
      </c>
      <c r="GE156" s="315"/>
      <c r="GF156" s="315">
        <v>47044</v>
      </c>
      <c r="GG156" s="315">
        <v>63855</v>
      </c>
      <c r="GH156" s="315">
        <v>5292</v>
      </c>
      <c r="GI156" s="315">
        <v>1357</v>
      </c>
      <c r="GJ156" s="315">
        <v>57206</v>
      </c>
      <c r="GL156"/>
      <c r="GM156"/>
      <c r="GN156"/>
      <c r="GO156"/>
    </row>
    <row r="157" spans="1:197">
      <c r="A157" s="98" t="s">
        <v>25</v>
      </c>
      <c r="B157" s="98">
        <v>6</v>
      </c>
      <c r="C157" s="98" t="s">
        <v>222</v>
      </c>
      <c r="D157" s="315">
        <v>13334601</v>
      </c>
      <c r="E157" s="315">
        <v>-6652803</v>
      </c>
      <c r="F157" s="315">
        <v>-12503</v>
      </c>
      <c r="G157" s="315">
        <v>6669295</v>
      </c>
      <c r="H157" s="315">
        <v>2602275</v>
      </c>
      <c r="I157" s="315">
        <v>4067020</v>
      </c>
      <c r="J157" s="315">
        <v>3949418</v>
      </c>
      <c r="K157" s="315">
        <v>117602</v>
      </c>
      <c r="L157" s="315">
        <v>5394812</v>
      </c>
      <c r="M157" s="315">
        <v>3523518</v>
      </c>
      <c r="N157" s="315">
        <v>1262034</v>
      </c>
      <c r="O157" s="315"/>
      <c r="P157" s="315"/>
      <c r="Q157" s="315">
        <v>31951</v>
      </c>
      <c r="R157" s="315">
        <v>577309</v>
      </c>
      <c r="S157" s="315">
        <v>-3402436</v>
      </c>
      <c r="T157" s="315">
        <v>-3389665</v>
      </c>
      <c r="U157" s="315">
        <v>-57308</v>
      </c>
      <c r="V157" s="315">
        <v>0</v>
      </c>
      <c r="W157" s="315">
        <v>-3312760</v>
      </c>
      <c r="X157" s="315">
        <v>0</v>
      </c>
      <c r="Y157" s="315">
        <v>-19597</v>
      </c>
      <c r="Z157" s="315">
        <v>-1826</v>
      </c>
      <c r="AA157" s="315">
        <v>-10945</v>
      </c>
      <c r="AB157" s="315">
        <v>0</v>
      </c>
      <c r="AC157" s="315">
        <v>-12503</v>
      </c>
      <c r="AD157" s="315">
        <v>1979873</v>
      </c>
      <c r="AE157" s="315">
        <v>301345</v>
      </c>
      <c r="AF157" s="315">
        <v>1678528</v>
      </c>
      <c r="AG157" s="315">
        <v>1624587</v>
      </c>
      <c r="AH157" s="315">
        <v>53941</v>
      </c>
      <c r="AI157" s="315">
        <v>3514841</v>
      </c>
      <c r="AJ157" s="315">
        <v>1233848</v>
      </c>
      <c r="AK157" s="315">
        <v>2223465</v>
      </c>
      <c r="AL157" s="315">
        <v>16653</v>
      </c>
      <c r="AM157" s="315">
        <v>459784</v>
      </c>
      <c r="AN157" s="315">
        <v>43136</v>
      </c>
      <c r="AO157" s="315">
        <v>63393</v>
      </c>
      <c r="AP157" s="315"/>
      <c r="AQ157" s="315">
        <v>8727</v>
      </c>
      <c r="AR157" s="315">
        <v>-2127631</v>
      </c>
      <c r="AS157" s="315">
        <v>30125</v>
      </c>
      <c r="AT157" s="315">
        <v>1</v>
      </c>
      <c r="AU157" s="315">
        <v>-12503</v>
      </c>
      <c r="AV157" s="315">
        <v>583335</v>
      </c>
      <c r="AW157" s="315">
        <v>124242</v>
      </c>
      <c r="AX157" s="315">
        <v>137546</v>
      </c>
      <c r="AY157" s="315"/>
      <c r="AZ157" s="315"/>
      <c r="BA157" s="315"/>
      <c r="BB157" s="315"/>
      <c r="BC157" s="315">
        <v>82691</v>
      </c>
      <c r="BD157" s="315">
        <v>238856</v>
      </c>
      <c r="BE157" s="315">
        <v>-54635</v>
      </c>
      <c r="BF157" s="315">
        <v>-51924</v>
      </c>
      <c r="BG157" s="315">
        <v>-36918</v>
      </c>
      <c r="BH157" s="315">
        <v>-15006</v>
      </c>
      <c r="BI157" s="315">
        <v>0</v>
      </c>
      <c r="BJ157" s="315">
        <v>-40178</v>
      </c>
      <c r="BK157" s="315">
        <v>-11746</v>
      </c>
      <c r="BL157" s="315">
        <v>-2706</v>
      </c>
      <c r="BM157" s="315">
        <v>-5</v>
      </c>
      <c r="BN157" s="315">
        <v>528700</v>
      </c>
      <c r="BO157" s="315">
        <v>193858</v>
      </c>
      <c r="BP157" s="315">
        <v>17076</v>
      </c>
      <c r="BQ157" s="315">
        <v>26990</v>
      </c>
      <c r="BR157" s="315"/>
      <c r="BS157" s="315">
        <v>122453</v>
      </c>
      <c r="BT157" s="315"/>
      <c r="BU157" s="315"/>
      <c r="BV157" s="315"/>
      <c r="BW157" s="315"/>
      <c r="BX157" s="315">
        <v>100628</v>
      </c>
      <c r="BY157" s="315">
        <v>67685</v>
      </c>
      <c r="BZ157" s="315">
        <v>10</v>
      </c>
      <c r="CA157" s="315">
        <v>277395</v>
      </c>
      <c r="CB157" s="315">
        <v>-12569</v>
      </c>
      <c r="CC157" s="315">
        <v>-12523</v>
      </c>
      <c r="CD157" s="315">
        <v>-46</v>
      </c>
      <c r="CE157" s="315">
        <v>264826</v>
      </c>
      <c r="CF157" s="315">
        <v>255945</v>
      </c>
      <c r="CG157" s="315">
        <v>332</v>
      </c>
      <c r="CH157" s="315">
        <v>8549</v>
      </c>
      <c r="CI157" s="315">
        <v>4947263</v>
      </c>
      <c r="CJ157" s="315">
        <v>828864</v>
      </c>
      <c r="CK157" s="315">
        <v>4118399</v>
      </c>
      <c r="CL157" s="315">
        <v>3822769</v>
      </c>
      <c r="CM157" s="315">
        <v>26651</v>
      </c>
      <c r="CN157" s="315">
        <v>268979</v>
      </c>
      <c r="CO157" s="315">
        <v>0</v>
      </c>
      <c r="CP157" s="315">
        <v>37050</v>
      </c>
      <c r="CQ157" s="315">
        <v>231929</v>
      </c>
      <c r="CR157" s="315">
        <v>-3126926</v>
      </c>
      <c r="CS157" s="315">
        <v>-1814801</v>
      </c>
      <c r="CT157" s="315">
        <v>-1602218</v>
      </c>
      <c r="CU157" s="315">
        <v>-12436</v>
      </c>
      <c r="CV157" s="315">
        <v>-582</v>
      </c>
      <c r="CW157" s="315">
        <v>-199565</v>
      </c>
      <c r="CX157" s="315">
        <v>-1236417</v>
      </c>
      <c r="CY157" s="315">
        <v>-622356</v>
      </c>
      <c r="CZ157" s="315">
        <v>-609523</v>
      </c>
      <c r="DA157" s="315">
        <v>-4538</v>
      </c>
      <c r="DB157" s="315">
        <v>0</v>
      </c>
      <c r="DC157" s="315">
        <v>-75708</v>
      </c>
      <c r="DD157" s="315">
        <v>1820337</v>
      </c>
      <c r="DE157" s="315">
        <v>115726</v>
      </c>
      <c r="DF157" s="315">
        <v>1704611</v>
      </c>
      <c r="DG157" s="315">
        <v>1655261</v>
      </c>
      <c r="DH157" s="315">
        <v>49350</v>
      </c>
      <c r="DI157" s="315">
        <v>1743074</v>
      </c>
      <c r="DJ157" s="315">
        <v>81238</v>
      </c>
      <c r="DK157" s="315">
        <v>25269</v>
      </c>
      <c r="DL157" s="315">
        <v>1428</v>
      </c>
      <c r="DM157" s="315">
        <v>913351</v>
      </c>
      <c r="DN157" s="315">
        <v>634591</v>
      </c>
      <c r="DO157" s="315">
        <v>86742</v>
      </c>
      <c r="DP157" s="315"/>
      <c r="DQ157" s="315"/>
      <c r="DR157" s="315">
        <v>455</v>
      </c>
      <c r="DS157" s="315">
        <v>-43629</v>
      </c>
      <c r="DT157" s="315">
        <v>-2728</v>
      </c>
      <c r="DU157" s="315">
        <v>-155</v>
      </c>
      <c r="DV157" s="315">
        <v>-94</v>
      </c>
      <c r="DW157" s="315">
        <v>-40610</v>
      </c>
      <c r="DX157" s="315">
        <v>-6901</v>
      </c>
      <c r="DY157" s="315">
        <v>-878</v>
      </c>
      <c r="DZ157" s="315">
        <v>-32831</v>
      </c>
      <c r="EA157" s="315">
        <v>0</v>
      </c>
      <c r="EB157" s="315">
        <v>0</v>
      </c>
      <c r="EC157" s="315"/>
      <c r="ED157" s="315"/>
      <c r="EE157" s="315">
        <v>-42</v>
      </c>
      <c r="EF157" s="315">
        <v>1699445</v>
      </c>
      <c r="EG157" s="315">
        <v>1015564</v>
      </c>
      <c r="EH157" s="315">
        <v>683881</v>
      </c>
      <c r="EI157" s="315">
        <v>669570</v>
      </c>
      <c r="EJ157" s="315">
        <v>14311</v>
      </c>
      <c r="EK157" s="315">
        <v>78510</v>
      </c>
      <c r="EL157" s="315">
        <v>44363</v>
      </c>
      <c r="EM157" s="315">
        <v>34147</v>
      </c>
      <c r="EN157" s="315">
        <v>33222</v>
      </c>
      <c r="EO157" s="315">
        <v>925</v>
      </c>
      <c r="EP157" s="315">
        <v>25114</v>
      </c>
      <c r="EQ157" s="315">
        <v>15911</v>
      </c>
      <c r="ER157" s="315">
        <v>9203</v>
      </c>
      <c r="ES157" s="315">
        <v>8951</v>
      </c>
      <c r="ET157" s="315">
        <v>252</v>
      </c>
      <c r="EU157" s="315">
        <v>1334</v>
      </c>
      <c r="EV157" s="315">
        <v>627</v>
      </c>
      <c r="EW157" s="315">
        <v>707</v>
      </c>
      <c r="EX157" s="315">
        <v>686</v>
      </c>
      <c r="EY157" s="315">
        <v>21</v>
      </c>
      <c r="EZ157" s="315">
        <v>872741</v>
      </c>
      <c r="FA157" s="315">
        <v>516774</v>
      </c>
      <c r="FB157" s="315">
        <v>355967</v>
      </c>
      <c r="FC157" s="315">
        <v>345973</v>
      </c>
      <c r="FD157" s="315">
        <v>9994</v>
      </c>
      <c r="FE157" s="315">
        <v>634591</v>
      </c>
      <c r="FF157" s="315">
        <v>431225</v>
      </c>
      <c r="FG157" s="315">
        <v>203366</v>
      </c>
      <c r="FH157" s="315">
        <v>200247</v>
      </c>
      <c r="FI157" s="315">
        <v>3119</v>
      </c>
      <c r="FJ157" s="315">
        <v>86742</v>
      </c>
      <c r="FK157" s="315">
        <v>6251</v>
      </c>
      <c r="FL157" s="315">
        <v>80491</v>
      </c>
      <c r="FM157" s="315">
        <v>80491</v>
      </c>
      <c r="FN157" s="315"/>
      <c r="FO157" s="315"/>
      <c r="FP157" s="315"/>
      <c r="FQ157" s="315">
        <v>413</v>
      </c>
      <c r="FR157" s="315">
        <v>388722</v>
      </c>
      <c r="FS157" s="315">
        <v>-12608</v>
      </c>
      <c r="FT157" s="315">
        <v>376114</v>
      </c>
      <c r="FU157" s="315"/>
      <c r="FV157" s="315"/>
      <c r="FW157" s="315"/>
      <c r="FX157" s="315">
        <v>135724</v>
      </c>
      <c r="FY157" s="315">
        <v>126363</v>
      </c>
      <c r="FZ157" s="315"/>
      <c r="GA157" s="315"/>
      <c r="GB157" s="315"/>
      <c r="GC157" s="315">
        <v>59830</v>
      </c>
      <c r="GD157" s="315">
        <v>7498</v>
      </c>
      <c r="GE157" s="315"/>
      <c r="GF157" s="315">
        <v>52332</v>
      </c>
      <c r="GG157" s="315">
        <v>54197</v>
      </c>
      <c r="GH157" s="315">
        <v>5699</v>
      </c>
      <c r="GI157" s="315">
        <v>1087</v>
      </c>
      <c r="GJ157" s="315">
        <v>47411</v>
      </c>
      <c r="GL157"/>
      <c r="GM157"/>
      <c r="GN157"/>
      <c r="GO157"/>
    </row>
    <row r="158" spans="1:197">
      <c r="A158" s="98" t="s">
        <v>25</v>
      </c>
      <c r="B158" s="98">
        <v>7</v>
      </c>
      <c r="C158" s="98" t="s">
        <v>223</v>
      </c>
      <c r="D158" s="315">
        <v>33536802</v>
      </c>
      <c r="E158" s="315">
        <v>-9608575</v>
      </c>
      <c r="F158" s="315">
        <v>-12501</v>
      </c>
      <c r="G158" s="315">
        <v>23915726</v>
      </c>
      <c r="H158" s="315">
        <v>15468653</v>
      </c>
      <c r="I158" s="315">
        <v>8447073</v>
      </c>
      <c r="J158" s="315">
        <v>8264299</v>
      </c>
      <c r="K158" s="315">
        <v>182774</v>
      </c>
      <c r="L158" s="315">
        <v>16362354</v>
      </c>
      <c r="M158" s="315">
        <v>8879148</v>
      </c>
      <c r="N158" s="315">
        <v>5657942</v>
      </c>
      <c r="O158" s="315"/>
      <c r="P158" s="315"/>
      <c r="Q158" s="315">
        <v>39667</v>
      </c>
      <c r="R158" s="315">
        <v>1785597</v>
      </c>
      <c r="S158" s="315">
        <v>-1972000</v>
      </c>
      <c r="T158" s="315">
        <v>-1964488</v>
      </c>
      <c r="U158" s="315">
        <v>-56757</v>
      </c>
      <c r="V158" s="315">
        <v>0</v>
      </c>
      <c r="W158" s="315">
        <v>-1881203</v>
      </c>
      <c r="X158" s="315">
        <v>0</v>
      </c>
      <c r="Y158" s="315">
        <v>-26528</v>
      </c>
      <c r="Z158" s="315">
        <v>-2536</v>
      </c>
      <c r="AA158" s="315">
        <v>-4976</v>
      </c>
      <c r="AB158" s="315">
        <v>0</v>
      </c>
      <c r="AC158" s="315">
        <v>-12501</v>
      </c>
      <c r="AD158" s="315">
        <v>14377853</v>
      </c>
      <c r="AE158" s="315">
        <v>9363307</v>
      </c>
      <c r="AF158" s="315">
        <v>5014546</v>
      </c>
      <c r="AG158" s="315">
        <v>4929662</v>
      </c>
      <c r="AH158" s="315">
        <v>84884</v>
      </c>
      <c r="AI158" s="315">
        <v>8875825</v>
      </c>
      <c r="AJ158" s="315">
        <v>1639151</v>
      </c>
      <c r="AK158" s="315">
        <v>2905657</v>
      </c>
      <c r="AL158" s="315">
        <v>4274867</v>
      </c>
      <c r="AM158" s="315">
        <v>516145</v>
      </c>
      <c r="AN158" s="315">
        <v>386959</v>
      </c>
      <c r="AO158" s="315">
        <v>77018</v>
      </c>
      <c r="AP158" s="315"/>
      <c r="AQ158" s="315">
        <v>803817</v>
      </c>
      <c r="AR158" s="315">
        <v>3693454</v>
      </c>
      <c r="AS158" s="315">
        <v>37131</v>
      </c>
      <c r="AT158" s="315">
        <v>5</v>
      </c>
      <c r="AU158" s="315">
        <v>-12501</v>
      </c>
      <c r="AV158" s="315">
        <v>2383887</v>
      </c>
      <c r="AW158" s="315">
        <v>35046</v>
      </c>
      <c r="AX158" s="315">
        <v>1333153</v>
      </c>
      <c r="AY158" s="315"/>
      <c r="AZ158" s="315"/>
      <c r="BA158" s="315"/>
      <c r="BB158" s="315"/>
      <c r="BC158" s="315">
        <v>94195</v>
      </c>
      <c r="BD158" s="315">
        <v>921493</v>
      </c>
      <c r="BE158" s="315">
        <v>-73155</v>
      </c>
      <c r="BF158" s="315">
        <v>-69041</v>
      </c>
      <c r="BG158" s="315">
        <v>-62605</v>
      </c>
      <c r="BH158" s="315">
        <v>-6436</v>
      </c>
      <c r="BI158" s="315">
        <v>0</v>
      </c>
      <c r="BJ158" s="315">
        <v>-38374</v>
      </c>
      <c r="BK158" s="315">
        <v>-30667</v>
      </c>
      <c r="BL158" s="315">
        <v>-4104</v>
      </c>
      <c r="BM158" s="315">
        <v>-10</v>
      </c>
      <c r="BN158" s="315">
        <v>2310732</v>
      </c>
      <c r="BO158" s="315">
        <v>724962</v>
      </c>
      <c r="BP158" s="315">
        <v>163026</v>
      </c>
      <c r="BQ158" s="315">
        <v>32781</v>
      </c>
      <c r="BR158" s="315"/>
      <c r="BS158" s="315">
        <v>32246</v>
      </c>
      <c r="BT158" s="315"/>
      <c r="BU158" s="315"/>
      <c r="BV158" s="315"/>
      <c r="BW158" s="315"/>
      <c r="BX158" s="315">
        <v>1270548</v>
      </c>
      <c r="BY158" s="315">
        <v>87759</v>
      </c>
      <c r="BZ158" s="315">
        <v>-590</v>
      </c>
      <c r="CA158" s="315">
        <v>629996</v>
      </c>
      <c r="CB158" s="315">
        <v>-11708</v>
      </c>
      <c r="CC158" s="315">
        <v>-11616</v>
      </c>
      <c r="CD158" s="315">
        <v>-92</v>
      </c>
      <c r="CE158" s="315">
        <v>618288</v>
      </c>
      <c r="CF158" s="315">
        <v>167172</v>
      </c>
      <c r="CG158" s="315">
        <v>8</v>
      </c>
      <c r="CH158" s="315">
        <v>451108</v>
      </c>
      <c r="CI158" s="315">
        <v>11768388</v>
      </c>
      <c r="CJ158" s="315">
        <v>824446</v>
      </c>
      <c r="CK158" s="315">
        <v>10943942</v>
      </c>
      <c r="CL158" s="315">
        <v>3959030</v>
      </c>
      <c r="CM158" s="315">
        <v>6743247</v>
      </c>
      <c r="CN158" s="315">
        <v>241665</v>
      </c>
      <c r="CO158" s="315">
        <v>0</v>
      </c>
      <c r="CP158" s="315">
        <v>0</v>
      </c>
      <c r="CQ158" s="315">
        <v>241665</v>
      </c>
      <c r="CR158" s="315">
        <v>-7516795</v>
      </c>
      <c r="CS158" s="315">
        <v>-5338990</v>
      </c>
      <c r="CT158" s="315">
        <v>-5256645</v>
      </c>
      <c r="CU158" s="315">
        <v>-20696</v>
      </c>
      <c r="CV158" s="315">
        <v>-461</v>
      </c>
      <c r="CW158" s="315">
        <v>-61188</v>
      </c>
      <c r="CX158" s="315">
        <v>-1920774</v>
      </c>
      <c r="CY158" s="315">
        <v>-1323782</v>
      </c>
      <c r="CZ158" s="315">
        <v>-584195</v>
      </c>
      <c r="DA158" s="315">
        <v>-12797</v>
      </c>
      <c r="DB158" s="315">
        <v>-256865</v>
      </c>
      <c r="DC158" s="315">
        <v>-166</v>
      </c>
      <c r="DD158" s="315">
        <v>4251593</v>
      </c>
      <c r="DE158" s="315">
        <v>1434419</v>
      </c>
      <c r="DF158" s="315">
        <v>2817174</v>
      </c>
      <c r="DG158" s="315">
        <v>2740957</v>
      </c>
      <c r="DH158" s="315">
        <v>76217</v>
      </c>
      <c r="DI158" s="315">
        <v>1728241</v>
      </c>
      <c r="DJ158" s="315">
        <v>45833</v>
      </c>
      <c r="DK158" s="315">
        <v>23324</v>
      </c>
      <c r="DL158" s="315">
        <v>1142</v>
      </c>
      <c r="DM158" s="315">
        <v>939430</v>
      </c>
      <c r="DN158" s="315">
        <v>630733</v>
      </c>
      <c r="DO158" s="315">
        <v>87470</v>
      </c>
      <c r="DP158" s="315"/>
      <c r="DQ158" s="315"/>
      <c r="DR158" s="315">
        <v>309</v>
      </c>
      <c r="DS158" s="315">
        <v>-24912</v>
      </c>
      <c r="DT158" s="315">
        <v>-14537</v>
      </c>
      <c r="DU158" s="315">
        <v>-2788</v>
      </c>
      <c r="DV158" s="315">
        <v>-61</v>
      </c>
      <c r="DW158" s="315">
        <v>-6795</v>
      </c>
      <c r="DX158" s="315">
        <v>-5668</v>
      </c>
      <c r="DY158" s="315">
        <v>-610</v>
      </c>
      <c r="DZ158" s="315">
        <v>-517</v>
      </c>
      <c r="EA158" s="315">
        <v>-500</v>
      </c>
      <c r="EB158" s="315">
        <v>-8</v>
      </c>
      <c r="EC158" s="315"/>
      <c r="ED158" s="315"/>
      <c r="EE158" s="315">
        <v>-223</v>
      </c>
      <c r="EF158" s="315">
        <v>1703329</v>
      </c>
      <c r="EG158" s="315">
        <v>1087976</v>
      </c>
      <c r="EH158" s="315">
        <v>615353</v>
      </c>
      <c r="EI158" s="315">
        <v>593680</v>
      </c>
      <c r="EJ158" s="315">
        <v>21673</v>
      </c>
      <c r="EK158" s="315">
        <v>31296</v>
      </c>
      <c r="EL158" s="315">
        <v>-18358</v>
      </c>
      <c r="EM158" s="315">
        <v>49654</v>
      </c>
      <c r="EN158" s="315">
        <v>48490</v>
      </c>
      <c r="EO158" s="315">
        <v>1164</v>
      </c>
      <c r="EP158" s="315">
        <v>20536</v>
      </c>
      <c r="EQ158" s="315">
        <v>8897</v>
      </c>
      <c r="ER158" s="315">
        <v>11639</v>
      </c>
      <c r="ES158" s="315">
        <v>11366</v>
      </c>
      <c r="ET158" s="315">
        <v>273</v>
      </c>
      <c r="EU158" s="315">
        <v>1081</v>
      </c>
      <c r="EV158" s="315">
        <v>998</v>
      </c>
      <c r="EW158" s="315">
        <v>83</v>
      </c>
      <c r="EX158" s="315">
        <v>62</v>
      </c>
      <c r="EY158" s="315">
        <v>21</v>
      </c>
      <c r="EZ158" s="315">
        <v>932635</v>
      </c>
      <c r="FA158" s="315">
        <v>618812</v>
      </c>
      <c r="FB158" s="315">
        <v>313823</v>
      </c>
      <c r="FC158" s="315">
        <v>300066</v>
      </c>
      <c r="FD158" s="315">
        <v>13757</v>
      </c>
      <c r="FE158" s="315">
        <v>630233</v>
      </c>
      <c r="FF158" s="315">
        <v>466185</v>
      </c>
      <c r="FG158" s="315">
        <v>164048</v>
      </c>
      <c r="FH158" s="315">
        <v>157590</v>
      </c>
      <c r="FI158" s="315">
        <v>6458</v>
      </c>
      <c r="FJ158" s="315">
        <v>87462</v>
      </c>
      <c r="FK158" s="315">
        <v>11356</v>
      </c>
      <c r="FL158" s="315">
        <v>76106</v>
      </c>
      <c r="FM158" s="315">
        <v>76106</v>
      </c>
      <c r="FN158" s="315"/>
      <c r="FO158" s="315"/>
      <c r="FP158" s="315"/>
      <c r="FQ158" s="315">
        <v>86</v>
      </c>
      <c r="FR158" s="315">
        <v>663936</v>
      </c>
      <c r="FS158" s="315">
        <v>-10005</v>
      </c>
      <c r="FT158" s="315">
        <v>653931</v>
      </c>
      <c r="FU158" s="315"/>
      <c r="FV158" s="315"/>
      <c r="FW158" s="315"/>
      <c r="FX158" s="315">
        <v>156189</v>
      </c>
      <c r="FY158" s="315">
        <v>129217</v>
      </c>
      <c r="FZ158" s="315"/>
      <c r="GA158" s="315"/>
      <c r="GB158" s="315"/>
      <c r="GC158" s="315">
        <v>241681</v>
      </c>
      <c r="GD158" s="315">
        <v>185406</v>
      </c>
      <c r="GE158" s="315"/>
      <c r="GF158" s="315">
        <v>56275</v>
      </c>
      <c r="GG158" s="315">
        <v>126844</v>
      </c>
      <c r="GH158" s="315">
        <v>8747</v>
      </c>
      <c r="GI158" s="315">
        <v>2219</v>
      </c>
      <c r="GJ158" s="315">
        <v>115878</v>
      </c>
      <c r="GL158"/>
      <c r="GM158"/>
      <c r="GN158"/>
      <c r="GO158"/>
    </row>
    <row r="159" spans="1:197">
      <c r="A159" s="98" t="s">
        <v>25</v>
      </c>
      <c r="B159" s="98">
        <v>8</v>
      </c>
      <c r="C159" s="98" t="s">
        <v>224</v>
      </c>
      <c r="D159" s="315">
        <v>22156307</v>
      </c>
      <c r="E159" s="315">
        <v>-4477549</v>
      </c>
      <c r="F159" s="315">
        <v>-12501</v>
      </c>
      <c r="G159" s="315">
        <v>17666257</v>
      </c>
      <c r="H159" s="315">
        <v>13387910</v>
      </c>
      <c r="I159" s="315">
        <v>4278347</v>
      </c>
      <c r="J159" s="315">
        <v>4160748</v>
      </c>
      <c r="K159" s="315">
        <v>117599</v>
      </c>
      <c r="L159" s="315">
        <v>720322</v>
      </c>
      <c r="M159" s="315">
        <v>535379</v>
      </c>
      <c r="N159" s="315">
        <v>60452</v>
      </c>
      <c r="O159" s="315"/>
      <c r="P159" s="315"/>
      <c r="Q159" s="315">
        <v>82353</v>
      </c>
      <c r="R159" s="315">
        <v>42138</v>
      </c>
      <c r="S159" s="315">
        <v>-692906</v>
      </c>
      <c r="T159" s="315">
        <v>-690120</v>
      </c>
      <c r="U159" s="315">
        <v>-55114</v>
      </c>
      <c r="V159" s="315">
        <v>0</v>
      </c>
      <c r="W159" s="315">
        <v>-627068</v>
      </c>
      <c r="X159" s="315">
        <v>0</v>
      </c>
      <c r="Y159" s="315">
        <v>-7938</v>
      </c>
      <c r="Z159" s="315">
        <v>-482</v>
      </c>
      <c r="AA159" s="315">
        <v>-2304</v>
      </c>
      <c r="AB159" s="315">
        <v>0</v>
      </c>
      <c r="AC159" s="315">
        <v>-12501</v>
      </c>
      <c r="AD159" s="315">
        <v>14915</v>
      </c>
      <c r="AE159" s="315">
        <v>-1743208</v>
      </c>
      <c r="AF159" s="315">
        <v>1758123</v>
      </c>
      <c r="AG159" s="315">
        <v>1704183</v>
      </c>
      <c r="AH159" s="315">
        <v>53940</v>
      </c>
      <c r="AI159" s="315">
        <v>533764</v>
      </c>
      <c r="AJ159" s="315">
        <v>262912</v>
      </c>
      <c r="AK159" s="315">
        <v>188912</v>
      </c>
      <c r="AL159" s="315">
        <v>27721</v>
      </c>
      <c r="AM159" s="315">
        <v>16930</v>
      </c>
      <c r="AN159" s="315">
        <v>9072</v>
      </c>
      <c r="AO159" s="315">
        <v>2999</v>
      </c>
      <c r="AP159" s="315"/>
      <c r="AQ159" s="315">
        <v>12442</v>
      </c>
      <c r="AR159" s="315">
        <v>-629668</v>
      </c>
      <c r="AS159" s="315">
        <v>81871</v>
      </c>
      <c r="AT159" s="315">
        <v>6</v>
      </c>
      <c r="AU159" s="315">
        <v>-12501</v>
      </c>
      <c r="AV159" s="315">
        <v>17981375</v>
      </c>
      <c r="AW159" s="315">
        <v>16634</v>
      </c>
      <c r="AX159" s="315">
        <v>17884866</v>
      </c>
      <c r="AY159" s="315"/>
      <c r="AZ159" s="315"/>
      <c r="BA159" s="315"/>
      <c r="BB159" s="315"/>
      <c r="BC159" s="315">
        <v>68871</v>
      </c>
      <c r="BD159" s="315">
        <v>11004</v>
      </c>
      <c r="BE159" s="315">
        <v>-483919</v>
      </c>
      <c r="BF159" s="315">
        <v>-10080</v>
      </c>
      <c r="BG159" s="315">
        <v>-7106</v>
      </c>
      <c r="BH159" s="315">
        <v>-2974</v>
      </c>
      <c r="BI159" s="315">
        <v>0</v>
      </c>
      <c r="BJ159" s="315">
        <v>-7438</v>
      </c>
      <c r="BK159" s="315">
        <v>-2642</v>
      </c>
      <c r="BL159" s="315">
        <v>-1686</v>
      </c>
      <c r="BM159" s="315">
        <v>-472153</v>
      </c>
      <c r="BN159" s="315">
        <v>17497456</v>
      </c>
      <c r="BO159" s="315">
        <v>-465471</v>
      </c>
      <c r="BP159" s="315">
        <v>2779</v>
      </c>
      <c r="BQ159" s="315">
        <v>1260</v>
      </c>
      <c r="BR159" s="315"/>
      <c r="BS159" s="315">
        <v>16363</v>
      </c>
      <c r="BT159" s="315"/>
      <c r="BU159" s="315"/>
      <c r="BV159" s="315"/>
      <c r="BW159" s="315"/>
      <c r="BX159" s="315">
        <v>17877760</v>
      </c>
      <c r="BY159" s="315">
        <v>65897</v>
      </c>
      <c r="BZ159" s="315">
        <v>-1132</v>
      </c>
      <c r="CA159" s="315">
        <v>195309</v>
      </c>
      <c r="CB159" s="315">
        <v>-394988</v>
      </c>
      <c r="CC159" s="315">
        <v>-8681</v>
      </c>
      <c r="CD159" s="315">
        <v>-386307</v>
      </c>
      <c r="CE159" s="315">
        <v>-199679</v>
      </c>
      <c r="CF159" s="315">
        <v>21819</v>
      </c>
      <c r="CG159" s="315">
        <v>2</v>
      </c>
      <c r="CH159" s="315">
        <v>-221500</v>
      </c>
      <c r="CI159" s="315">
        <v>1094329</v>
      </c>
      <c r="CJ159" s="315">
        <v>808166</v>
      </c>
      <c r="CK159" s="315">
        <v>286163</v>
      </c>
      <c r="CL159" s="315">
        <v>87512</v>
      </c>
      <c r="CM159" s="315">
        <v>45543</v>
      </c>
      <c r="CN159" s="315">
        <v>153108</v>
      </c>
      <c r="CO159" s="315">
        <v>0</v>
      </c>
      <c r="CP159" s="315">
        <v>0</v>
      </c>
      <c r="CQ159" s="315">
        <v>153108</v>
      </c>
      <c r="CR159" s="315">
        <v>-2893217</v>
      </c>
      <c r="CS159" s="315">
        <v>-2280890</v>
      </c>
      <c r="CT159" s="315">
        <v>-2248383</v>
      </c>
      <c r="CU159" s="315">
        <v>-3340</v>
      </c>
      <c r="CV159" s="315">
        <v>-119</v>
      </c>
      <c r="CW159" s="315">
        <v>-29048</v>
      </c>
      <c r="CX159" s="315">
        <v>-612327</v>
      </c>
      <c r="CY159" s="315">
        <v>-565140</v>
      </c>
      <c r="CZ159" s="315">
        <v>-46350</v>
      </c>
      <c r="DA159" s="315">
        <v>-837</v>
      </c>
      <c r="DB159" s="315">
        <v>0</v>
      </c>
      <c r="DC159" s="315">
        <v>0</v>
      </c>
      <c r="DD159" s="315">
        <v>-1798888</v>
      </c>
      <c r="DE159" s="315">
        <v>-3594668</v>
      </c>
      <c r="DF159" s="315">
        <v>1795780</v>
      </c>
      <c r="DG159" s="315">
        <v>1746430</v>
      </c>
      <c r="DH159" s="315">
        <v>49350</v>
      </c>
      <c r="DI159" s="315">
        <v>1828016</v>
      </c>
      <c r="DJ159" s="315">
        <v>116521</v>
      </c>
      <c r="DK159" s="315">
        <v>30764</v>
      </c>
      <c r="DL159" s="315">
        <v>2419</v>
      </c>
      <c r="DM159" s="315">
        <v>946047</v>
      </c>
      <c r="DN159" s="315">
        <v>645526</v>
      </c>
      <c r="DO159" s="315">
        <v>86457</v>
      </c>
      <c r="DP159" s="315"/>
      <c r="DQ159" s="315"/>
      <c r="DR159" s="315">
        <v>282</v>
      </c>
      <c r="DS159" s="315">
        <v>-5038</v>
      </c>
      <c r="DT159" s="315">
        <v>-1061</v>
      </c>
      <c r="DU159" s="315">
        <v>0</v>
      </c>
      <c r="DV159" s="315">
        <v>0</v>
      </c>
      <c r="DW159" s="315">
        <v>-3033</v>
      </c>
      <c r="DX159" s="315">
        <v>-1894</v>
      </c>
      <c r="DY159" s="315">
        <v>-752</v>
      </c>
      <c r="DZ159" s="315">
        <v>-387</v>
      </c>
      <c r="EA159" s="315">
        <v>0</v>
      </c>
      <c r="EB159" s="315">
        <v>-13</v>
      </c>
      <c r="EC159" s="315"/>
      <c r="ED159" s="315"/>
      <c r="EE159" s="315">
        <v>-931</v>
      </c>
      <c r="EF159" s="315">
        <v>1822978</v>
      </c>
      <c r="EG159" s="315">
        <v>1098534</v>
      </c>
      <c r="EH159" s="315">
        <v>724444</v>
      </c>
      <c r="EI159" s="315">
        <v>710135</v>
      </c>
      <c r="EJ159" s="315">
        <v>14309</v>
      </c>
      <c r="EK159" s="315">
        <v>115460</v>
      </c>
      <c r="EL159" s="315">
        <v>79506</v>
      </c>
      <c r="EM159" s="315">
        <v>35954</v>
      </c>
      <c r="EN159" s="315">
        <v>35030</v>
      </c>
      <c r="EO159" s="315">
        <v>924</v>
      </c>
      <c r="EP159" s="315">
        <v>30764</v>
      </c>
      <c r="EQ159" s="315">
        <v>21075</v>
      </c>
      <c r="ER159" s="315">
        <v>9689</v>
      </c>
      <c r="ES159" s="315">
        <v>9438</v>
      </c>
      <c r="ET159" s="315">
        <v>251</v>
      </c>
      <c r="EU159" s="315">
        <v>2419</v>
      </c>
      <c r="EV159" s="315">
        <v>1677</v>
      </c>
      <c r="EW159" s="315">
        <v>742</v>
      </c>
      <c r="EX159" s="315">
        <v>722</v>
      </c>
      <c r="EY159" s="315">
        <v>20</v>
      </c>
      <c r="EZ159" s="315">
        <v>943014</v>
      </c>
      <c r="FA159" s="315">
        <v>566894</v>
      </c>
      <c r="FB159" s="315">
        <v>376120</v>
      </c>
      <c r="FC159" s="315">
        <v>366127</v>
      </c>
      <c r="FD159" s="315">
        <v>9993</v>
      </c>
      <c r="FE159" s="315">
        <v>645526</v>
      </c>
      <c r="FF159" s="315">
        <v>428544</v>
      </c>
      <c r="FG159" s="315">
        <v>216982</v>
      </c>
      <c r="FH159" s="315">
        <v>213861</v>
      </c>
      <c r="FI159" s="315">
        <v>3121</v>
      </c>
      <c r="FJ159" s="315">
        <v>86444</v>
      </c>
      <c r="FK159" s="315">
        <v>1487</v>
      </c>
      <c r="FL159" s="315">
        <v>84957</v>
      </c>
      <c r="FM159" s="315">
        <v>84957</v>
      </c>
      <c r="FN159" s="315"/>
      <c r="FO159" s="315"/>
      <c r="FP159" s="315"/>
      <c r="FQ159" s="315">
        <v>-649</v>
      </c>
      <c r="FR159" s="315">
        <v>336956</v>
      </c>
      <c r="FS159" s="315">
        <v>-7481</v>
      </c>
      <c r="FT159" s="315">
        <v>329475</v>
      </c>
      <c r="FU159" s="315"/>
      <c r="FV159" s="315"/>
      <c r="FW159" s="315"/>
      <c r="FX159" s="315">
        <v>160952</v>
      </c>
      <c r="FY159" s="315">
        <v>2931</v>
      </c>
      <c r="FZ159" s="315"/>
      <c r="GA159" s="315"/>
      <c r="GB159" s="315"/>
      <c r="GC159" s="315">
        <v>51498</v>
      </c>
      <c r="GD159" s="315">
        <v>4987</v>
      </c>
      <c r="GE159" s="315"/>
      <c r="GF159" s="315">
        <v>46511</v>
      </c>
      <c r="GG159" s="315">
        <v>114094</v>
      </c>
      <c r="GH159" s="315">
        <v>5001</v>
      </c>
      <c r="GI159" s="315">
        <v>1120</v>
      </c>
      <c r="GJ159" s="315">
        <v>107973</v>
      </c>
      <c r="GL159"/>
      <c r="GM159"/>
      <c r="GN159"/>
      <c r="GO159"/>
    </row>
    <row r="160" spans="1:197">
      <c r="A160" s="98" t="s">
        <v>25</v>
      </c>
      <c r="B160" s="98">
        <v>9</v>
      </c>
      <c r="C160" s="98" t="s">
        <v>225</v>
      </c>
      <c r="D160" s="315">
        <v>19134965</v>
      </c>
      <c r="E160" s="315">
        <v>-3860103</v>
      </c>
      <c r="F160" s="315">
        <v>-15274</v>
      </c>
      <c r="G160" s="315">
        <v>15259588</v>
      </c>
      <c r="H160" s="315">
        <v>10890363</v>
      </c>
      <c r="I160" s="315">
        <v>4369225</v>
      </c>
      <c r="J160" s="315">
        <v>4264197</v>
      </c>
      <c r="K160" s="315">
        <v>105028</v>
      </c>
      <c r="L160" s="315">
        <v>7506043</v>
      </c>
      <c r="M160" s="315">
        <v>6436755</v>
      </c>
      <c r="N160" s="315">
        <v>55783</v>
      </c>
      <c r="O160" s="315"/>
      <c r="P160" s="315"/>
      <c r="Q160" s="315">
        <v>28037</v>
      </c>
      <c r="R160" s="315">
        <v>985468</v>
      </c>
      <c r="S160" s="315">
        <v>-795796</v>
      </c>
      <c r="T160" s="315">
        <v>-785213</v>
      </c>
      <c r="U160" s="315">
        <v>-57199</v>
      </c>
      <c r="V160" s="315">
        <v>0</v>
      </c>
      <c r="W160" s="315">
        <v>-709779</v>
      </c>
      <c r="X160" s="315">
        <v>0</v>
      </c>
      <c r="Y160" s="315">
        <v>-18235</v>
      </c>
      <c r="Z160" s="315">
        <v>-4244</v>
      </c>
      <c r="AA160" s="315">
        <v>-6339</v>
      </c>
      <c r="AB160" s="315">
        <v>0</v>
      </c>
      <c r="AC160" s="315">
        <v>-15274</v>
      </c>
      <c r="AD160" s="315">
        <v>6694973</v>
      </c>
      <c r="AE160" s="315">
        <v>4907536</v>
      </c>
      <c r="AF160" s="315">
        <v>1787437</v>
      </c>
      <c r="AG160" s="315">
        <v>1736193</v>
      </c>
      <c r="AH160" s="315">
        <v>51244</v>
      </c>
      <c r="AI160" s="315">
        <v>6433424</v>
      </c>
      <c r="AJ160" s="315">
        <v>1890721</v>
      </c>
      <c r="AK160" s="315">
        <v>4504443</v>
      </c>
      <c r="AL160" s="315">
        <v>10302</v>
      </c>
      <c r="AM160" s="315">
        <v>798807</v>
      </c>
      <c r="AN160" s="315">
        <v>80211</v>
      </c>
      <c r="AO160" s="315">
        <v>96873</v>
      </c>
      <c r="AP160" s="315"/>
      <c r="AQ160" s="315">
        <v>6569</v>
      </c>
      <c r="AR160" s="315">
        <v>-729430</v>
      </c>
      <c r="AS160" s="315">
        <v>23793</v>
      </c>
      <c r="AT160" s="315">
        <v>0</v>
      </c>
      <c r="AU160" s="315">
        <v>-15274</v>
      </c>
      <c r="AV160" s="315">
        <v>722337</v>
      </c>
      <c r="AW160" s="315">
        <v>8172</v>
      </c>
      <c r="AX160" s="315">
        <v>203431</v>
      </c>
      <c r="AY160" s="315"/>
      <c r="AZ160" s="315"/>
      <c r="BA160" s="315"/>
      <c r="BB160" s="315"/>
      <c r="BC160" s="315">
        <v>95192</v>
      </c>
      <c r="BD160" s="315">
        <v>415542</v>
      </c>
      <c r="BE160" s="315">
        <v>-93173</v>
      </c>
      <c r="BF160" s="315">
        <v>-49052</v>
      </c>
      <c r="BG160" s="315">
        <v>-42390</v>
      </c>
      <c r="BH160" s="315">
        <v>-6662</v>
      </c>
      <c r="BI160" s="315">
        <v>0</v>
      </c>
      <c r="BJ160" s="315">
        <v>-5450</v>
      </c>
      <c r="BK160" s="315">
        <v>-43602</v>
      </c>
      <c r="BL160" s="315">
        <v>-2733</v>
      </c>
      <c r="BM160" s="315">
        <v>-41388</v>
      </c>
      <c r="BN160" s="315">
        <v>629164</v>
      </c>
      <c r="BO160" s="315">
        <v>298679</v>
      </c>
      <c r="BP160" s="315">
        <v>32790</v>
      </c>
      <c r="BQ160" s="315">
        <v>41240</v>
      </c>
      <c r="BR160" s="315"/>
      <c r="BS160" s="315">
        <v>6669</v>
      </c>
      <c r="BT160" s="315"/>
      <c r="BU160" s="315"/>
      <c r="BV160" s="315"/>
      <c r="BW160" s="315"/>
      <c r="BX160" s="315">
        <v>161041</v>
      </c>
      <c r="BY160" s="315">
        <v>88530</v>
      </c>
      <c r="BZ160" s="315">
        <v>215</v>
      </c>
      <c r="CA160" s="315">
        <v>364490</v>
      </c>
      <c r="CB160" s="315">
        <v>-46444</v>
      </c>
      <c r="CC160" s="315">
        <v>-9061</v>
      </c>
      <c r="CD160" s="315">
        <v>-37383</v>
      </c>
      <c r="CE160" s="315">
        <v>318046</v>
      </c>
      <c r="CF160" s="315">
        <v>355941</v>
      </c>
      <c r="CG160" s="315">
        <v>-5</v>
      </c>
      <c r="CH160" s="315">
        <v>-37890</v>
      </c>
      <c r="CI160" s="315">
        <v>8265187</v>
      </c>
      <c r="CJ160" s="315">
        <v>812525</v>
      </c>
      <c r="CK160" s="315">
        <v>7452662</v>
      </c>
      <c r="CL160" s="315">
        <v>7269307</v>
      </c>
      <c r="CM160" s="315">
        <v>15105</v>
      </c>
      <c r="CN160" s="315">
        <v>168250</v>
      </c>
      <c r="CO160" s="315">
        <v>0</v>
      </c>
      <c r="CP160" s="315">
        <v>0</v>
      </c>
      <c r="CQ160" s="315">
        <v>168250</v>
      </c>
      <c r="CR160" s="315">
        <v>-2877442</v>
      </c>
      <c r="CS160" s="315">
        <v>-1691102</v>
      </c>
      <c r="CT160" s="315">
        <v>-1574412</v>
      </c>
      <c r="CU160" s="315">
        <v>-9381</v>
      </c>
      <c r="CV160" s="315">
        <v>-329</v>
      </c>
      <c r="CW160" s="315">
        <v>-106980</v>
      </c>
      <c r="CX160" s="315">
        <v>-1128781</v>
      </c>
      <c r="CY160" s="315">
        <v>-1078949</v>
      </c>
      <c r="CZ160" s="315">
        <v>-49312</v>
      </c>
      <c r="DA160" s="315">
        <v>-520</v>
      </c>
      <c r="DB160" s="315">
        <v>0</v>
      </c>
      <c r="DC160" s="315">
        <v>-57559</v>
      </c>
      <c r="DD160" s="315">
        <v>5387745</v>
      </c>
      <c r="DE160" s="315">
        <v>3543310</v>
      </c>
      <c r="DF160" s="315">
        <v>1844435</v>
      </c>
      <c r="DG160" s="315">
        <v>1796570</v>
      </c>
      <c r="DH160" s="315">
        <v>47865</v>
      </c>
      <c r="DI160" s="315">
        <v>1781654</v>
      </c>
      <c r="DJ160" s="315">
        <v>90234</v>
      </c>
      <c r="DK160" s="315">
        <v>28731</v>
      </c>
      <c r="DL160" s="315">
        <v>1530</v>
      </c>
      <c r="DM160" s="315">
        <v>918554</v>
      </c>
      <c r="DN160" s="315">
        <v>649952</v>
      </c>
      <c r="DO160" s="315">
        <v>92514</v>
      </c>
      <c r="DP160" s="315"/>
      <c r="DQ160" s="315"/>
      <c r="DR160" s="315">
        <v>139</v>
      </c>
      <c r="DS160" s="315">
        <v>-29130</v>
      </c>
      <c r="DT160" s="315">
        <v>-2761</v>
      </c>
      <c r="DU160" s="315">
        <v>-62</v>
      </c>
      <c r="DV160" s="315">
        <v>-48</v>
      </c>
      <c r="DW160" s="315">
        <v>-10458</v>
      </c>
      <c r="DX160" s="315">
        <v>-6811</v>
      </c>
      <c r="DY160" s="315">
        <v>-3229</v>
      </c>
      <c r="DZ160" s="315">
        <v>-418</v>
      </c>
      <c r="EA160" s="315">
        <v>-15681</v>
      </c>
      <c r="EB160" s="315">
        <v>-1</v>
      </c>
      <c r="EC160" s="315"/>
      <c r="ED160" s="315"/>
      <c r="EE160" s="315">
        <v>-119</v>
      </c>
      <c r="EF160" s="315">
        <v>1752524</v>
      </c>
      <c r="EG160" s="315">
        <v>1015171</v>
      </c>
      <c r="EH160" s="315">
        <v>737353</v>
      </c>
      <c r="EI160" s="315">
        <v>731434</v>
      </c>
      <c r="EJ160" s="315">
        <v>5919</v>
      </c>
      <c r="EK160" s="315">
        <v>87473</v>
      </c>
      <c r="EL160" s="315">
        <v>50553</v>
      </c>
      <c r="EM160" s="315">
        <v>36920</v>
      </c>
      <c r="EN160" s="315">
        <v>36037</v>
      </c>
      <c r="EO160" s="315">
        <v>883</v>
      </c>
      <c r="EP160" s="315">
        <v>28669</v>
      </c>
      <c r="EQ160" s="315">
        <v>18752</v>
      </c>
      <c r="ER160" s="315">
        <v>9917</v>
      </c>
      <c r="ES160" s="315">
        <v>9714</v>
      </c>
      <c r="ET160" s="315">
        <v>203</v>
      </c>
      <c r="EU160" s="315">
        <v>1482</v>
      </c>
      <c r="EV160" s="315">
        <v>737</v>
      </c>
      <c r="EW160" s="315">
        <v>745</v>
      </c>
      <c r="EX160" s="315">
        <v>745</v>
      </c>
      <c r="EY160" s="315">
        <v>0</v>
      </c>
      <c r="EZ160" s="315">
        <v>908096</v>
      </c>
      <c r="FA160" s="315">
        <v>524036</v>
      </c>
      <c r="FB160" s="315">
        <v>384060</v>
      </c>
      <c r="FC160" s="315">
        <v>380219</v>
      </c>
      <c r="FD160" s="315">
        <v>3841</v>
      </c>
      <c r="FE160" s="315">
        <v>634271</v>
      </c>
      <c r="FF160" s="315">
        <v>416053</v>
      </c>
      <c r="FG160" s="315">
        <v>218218</v>
      </c>
      <c r="FH160" s="315">
        <v>217226</v>
      </c>
      <c r="FI160" s="315">
        <v>992</v>
      </c>
      <c r="FJ160" s="315">
        <v>92513</v>
      </c>
      <c r="FK160" s="315">
        <v>5020</v>
      </c>
      <c r="FL160" s="315">
        <v>87493</v>
      </c>
      <c r="FM160" s="315">
        <v>87493</v>
      </c>
      <c r="FN160" s="315"/>
      <c r="FO160" s="315"/>
      <c r="FP160" s="315"/>
      <c r="FQ160" s="315">
        <v>20</v>
      </c>
      <c r="FR160" s="315">
        <v>495254</v>
      </c>
      <c r="FS160" s="315">
        <v>-18118</v>
      </c>
      <c r="FT160" s="315">
        <v>477136</v>
      </c>
      <c r="FU160" s="315"/>
      <c r="FV160" s="315"/>
      <c r="FW160" s="315"/>
      <c r="FX160" s="315">
        <v>154615</v>
      </c>
      <c r="FY160" s="315">
        <v>252408</v>
      </c>
      <c r="FZ160" s="315"/>
      <c r="GA160" s="315"/>
      <c r="GB160" s="315"/>
      <c r="GC160" s="315">
        <v>41283</v>
      </c>
      <c r="GD160" s="315">
        <v>2728</v>
      </c>
      <c r="GE160" s="315"/>
      <c r="GF160" s="315">
        <v>38555</v>
      </c>
      <c r="GG160" s="315">
        <v>28830</v>
      </c>
      <c r="GH160" s="315">
        <v>3840</v>
      </c>
      <c r="GI160" s="315">
        <v>1149</v>
      </c>
      <c r="GJ160" s="315">
        <v>23841</v>
      </c>
      <c r="GL160"/>
      <c r="GM160"/>
      <c r="GN160"/>
      <c r="GO160"/>
    </row>
    <row r="161" spans="1:197">
      <c r="A161" s="98" t="s">
        <v>25</v>
      </c>
      <c r="B161" s="98">
        <v>10</v>
      </c>
      <c r="C161" s="98" t="s">
        <v>226</v>
      </c>
      <c r="D161" s="315">
        <v>34006729</v>
      </c>
      <c r="E161" s="315">
        <v>-3391322</v>
      </c>
      <c r="F161" s="315">
        <v>-12501</v>
      </c>
      <c r="G161" s="315">
        <v>30602906</v>
      </c>
      <c r="H161" s="315">
        <v>26152415</v>
      </c>
      <c r="I161" s="315">
        <v>4450491</v>
      </c>
      <c r="J161" s="315">
        <v>4337694</v>
      </c>
      <c r="K161" s="315">
        <v>112797</v>
      </c>
      <c r="L161" s="315">
        <v>9172656</v>
      </c>
      <c r="M161" s="315">
        <v>7394986</v>
      </c>
      <c r="N161" s="315">
        <v>67053</v>
      </c>
      <c r="O161" s="315"/>
      <c r="P161" s="315"/>
      <c r="Q161" s="315">
        <v>44027</v>
      </c>
      <c r="R161" s="315">
        <v>1666590</v>
      </c>
      <c r="S161" s="315">
        <v>-419642</v>
      </c>
      <c r="T161" s="315">
        <v>-408348</v>
      </c>
      <c r="U161" s="315">
        <v>-59546</v>
      </c>
      <c r="V161" s="315">
        <v>0</v>
      </c>
      <c r="W161" s="315">
        <v>-330952</v>
      </c>
      <c r="X161" s="315">
        <v>0</v>
      </c>
      <c r="Y161" s="315">
        <v>-17850</v>
      </c>
      <c r="Z161" s="315">
        <v>-7036</v>
      </c>
      <c r="AA161" s="315">
        <v>-4258</v>
      </c>
      <c r="AB161" s="315">
        <v>0</v>
      </c>
      <c r="AC161" s="315">
        <v>-12501</v>
      </c>
      <c r="AD161" s="315">
        <v>8740513</v>
      </c>
      <c r="AE161" s="315">
        <v>6865042</v>
      </c>
      <c r="AF161" s="315">
        <v>1875471</v>
      </c>
      <c r="AG161" s="315">
        <v>1821692</v>
      </c>
      <c r="AH161" s="315">
        <v>53779</v>
      </c>
      <c r="AI161" s="315">
        <v>7391957</v>
      </c>
      <c r="AJ161" s="315">
        <v>1076924</v>
      </c>
      <c r="AK161" s="315">
        <v>2210982</v>
      </c>
      <c r="AL161" s="315">
        <v>4051243</v>
      </c>
      <c r="AM161" s="315">
        <v>400967</v>
      </c>
      <c r="AN161" s="315">
        <v>398412</v>
      </c>
      <c r="AO161" s="315">
        <v>87174</v>
      </c>
      <c r="AP161" s="315"/>
      <c r="AQ161" s="315">
        <v>778806</v>
      </c>
      <c r="AR161" s="315">
        <v>-341295</v>
      </c>
      <c r="AS161" s="315">
        <v>36991</v>
      </c>
      <c r="AT161" s="315">
        <v>2</v>
      </c>
      <c r="AU161" s="315">
        <v>-12501</v>
      </c>
      <c r="AV161" s="315">
        <v>11341168</v>
      </c>
      <c r="AW161" s="315">
        <v>10395913</v>
      </c>
      <c r="AX161" s="315">
        <v>261248</v>
      </c>
      <c r="AY161" s="315"/>
      <c r="AZ161" s="315"/>
      <c r="BA161" s="315"/>
      <c r="BB161" s="315"/>
      <c r="BC161" s="315">
        <v>131048</v>
      </c>
      <c r="BD161" s="315">
        <v>552959</v>
      </c>
      <c r="BE161" s="315">
        <v>-343887</v>
      </c>
      <c r="BF161" s="315">
        <v>-339813</v>
      </c>
      <c r="BG161" s="315">
        <v>-325429</v>
      </c>
      <c r="BH161" s="315">
        <v>-14384</v>
      </c>
      <c r="BI161" s="315">
        <v>-317171</v>
      </c>
      <c r="BJ161" s="315">
        <v>0</v>
      </c>
      <c r="BK161" s="315">
        <v>-22642</v>
      </c>
      <c r="BL161" s="315">
        <v>-4074</v>
      </c>
      <c r="BM161" s="315">
        <v>0</v>
      </c>
      <c r="BN161" s="315">
        <v>10997281</v>
      </c>
      <c r="BO161" s="315">
        <v>347469</v>
      </c>
      <c r="BP161" s="315">
        <v>168031</v>
      </c>
      <c r="BQ161" s="315">
        <v>37021</v>
      </c>
      <c r="BR161" s="315"/>
      <c r="BS161" s="315">
        <v>10392272</v>
      </c>
      <c r="BT161" s="315"/>
      <c r="BU161" s="315"/>
      <c r="BV161" s="315"/>
      <c r="BW161" s="315"/>
      <c r="BX161" s="315">
        <v>-64181</v>
      </c>
      <c r="BY161" s="315">
        <v>116664</v>
      </c>
      <c r="BZ161" s="315">
        <v>5</v>
      </c>
      <c r="CA161" s="315">
        <v>302495</v>
      </c>
      <c r="CB161" s="315">
        <v>-16932</v>
      </c>
      <c r="CC161" s="315">
        <v>-16932</v>
      </c>
      <c r="CD161" s="315">
        <v>0</v>
      </c>
      <c r="CE161" s="315">
        <v>285563</v>
      </c>
      <c r="CF161" s="315">
        <v>106468</v>
      </c>
      <c r="CG161" s="315">
        <v>35465</v>
      </c>
      <c r="CH161" s="315">
        <v>143630</v>
      </c>
      <c r="CI161" s="315">
        <v>11147741</v>
      </c>
      <c r="CJ161" s="315">
        <v>819838</v>
      </c>
      <c r="CK161" s="315">
        <v>10327903</v>
      </c>
      <c r="CL161" s="315">
        <v>3607199</v>
      </c>
      <c r="CM161" s="315">
        <v>6531766</v>
      </c>
      <c r="CN161" s="315">
        <v>188938</v>
      </c>
      <c r="CO161" s="315">
        <v>0</v>
      </c>
      <c r="CP161" s="315">
        <v>0</v>
      </c>
      <c r="CQ161" s="315">
        <v>188938</v>
      </c>
      <c r="CR161" s="315">
        <v>-2539017</v>
      </c>
      <c r="CS161" s="315">
        <v>-1068392</v>
      </c>
      <c r="CT161" s="315">
        <v>-948143</v>
      </c>
      <c r="CU161" s="315">
        <v>-3859</v>
      </c>
      <c r="CV161" s="315">
        <v>-456</v>
      </c>
      <c r="CW161" s="315">
        <v>-115934</v>
      </c>
      <c r="CX161" s="315">
        <v>-1268157</v>
      </c>
      <c r="CY161" s="315">
        <v>-1224166</v>
      </c>
      <c r="CZ161" s="315">
        <v>-38883</v>
      </c>
      <c r="DA161" s="315">
        <v>-5108</v>
      </c>
      <c r="DB161" s="315">
        <v>-202468</v>
      </c>
      <c r="DC161" s="315">
        <v>0</v>
      </c>
      <c r="DD161" s="315">
        <v>8608724</v>
      </c>
      <c r="DE161" s="315">
        <v>6754947</v>
      </c>
      <c r="DF161" s="315">
        <v>1853777</v>
      </c>
      <c r="DG161" s="315">
        <v>1804426</v>
      </c>
      <c r="DH161" s="315">
        <v>49351</v>
      </c>
      <c r="DI161" s="315">
        <v>1637827</v>
      </c>
      <c r="DJ161" s="315">
        <v>65061</v>
      </c>
      <c r="DK161" s="315">
        <v>31422</v>
      </c>
      <c r="DL161" s="315">
        <v>1541</v>
      </c>
      <c r="DM161" s="315">
        <v>882047</v>
      </c>
      <c r="DN161" s="315">
        <v>568800</v>
      </c>
      <c r="DO161" s="315">
        <v>88692</v>
      </c>
      <c r="DP161" s="315"/>
      <c r="DQ161" s="315"/>
      <c r="DR161" s="315">
        <v>264</v>
      </c>
      <c r="DS161" s="315">
        <v>-32025</v>
      </c>
      <c r="DT161" s="315">
        <v>-12781</v>
      </c>
      <c r="DU161" s="315">
        <v>-4537</v>
      </c>
      <c r="DV161" s="315">
        <v>-16</v>
      </c>
      <c r="DW161" s="315">
        <v>-3254</v>
      </c>
      <c r="DX161" s="315">
        <v>-1868</v>
      </c>
      <c r="DY161" s="315">
        <v>-884</v>
      </c>
      <c r="DZ161" s="315">
        <v>-502</v>
      </c>
      <c r="EA161" s="315">
        <v>-10640</v>
      </c>
      <c r="EB161" s="315">
        <v>-31</v>
      </c>
      <c r="EC161" s="315"/>
      <c r="ED161" s="315"/>
      <c r="EE161" s="315">
        <v>-766</v>
      </c>
      <c r="EF161" s="315">
        <v>1605802</v>
      </c>
      <c r="EG161" s="315">
        <v>884559</v>
      </c>
      <c r="EH161" s="315">
        <v>721243</v>
      </c>
      <c r="EI161" s="315">
        <v>711576</v>
      </c>
      <c r="EJ161" s="315">
        <v>9667</v>
      </c>
      <c r="EK161" s="315">
        <v>52280</v>
      </c>
      <c r="EL161" s="315">
        <v>15437</v>
      </c>
      <c r="EM161" s="315">
        <v>36843</v>
      </c>
      <c r="EN161" s="315">
        <v>35919</v>
      </c>
      <c r="EO161" s="315">
        <v>924</v>
      </c>
      <c r="EP161" s="315">
        <v>26885</v>
      </c>
      <c r="EQ161" s="315">
        <v>16940</v>
      </c>
      <c r="ER161" s="315">
        <v>9945</v>
      </c>
      <c r="ES161" s="315">
        <v>9697</v>
      </c>
      <c r="ET161" s="315">
        <v>248</v>
      </c>
      <c r="EU161" s="315">
        <v>1525</v>
      </c>
      <c r="EV161" s="315">
        <v>778</v>
      </c>
      <c r="EW161" s="315">
        <v>747</v>
      </c>
      <c r="EX161" s="315">
        <v>744</v>
      </c>
      <c r="EY161" s="315">
        <v>3</v>
      </c>
      <c r="EZ161" s="315">
        <v>878793</v>
      </c>
      <c r="FA161" s="315">
        <v>505784</v>
      </c>
      <c r="FB161" s="315">
        <v>373009</v>
      </c>
      <c r="FC161" s="315">
        <v>366058</v>
      </c>
      <c r="FD161" s="315">
        <v>6951</v>
      </c>
      <c r="FE161" s="315">
        <v>558160</v>
      </c>
      <c r="FF161" s="315">
        <v>343239</v>
      </c>
      <c r="FG161" s="315">
        <v>214921</v>
      </c>
      <c r="FH161" s="315">
        <v>213380</v>
      </c>
      <c r="FI161" s="315">
        <v>1541</v>
      </c>
      <c r="FJ161" s="315">
        <v>88661</v>
      </c>
      <c r="FK161" s="315">
        <v>2883</v>
      </c>
      <c r="FL161" s="315">
        <v>85778</v>
      </c>
      <c r="FM161" s="315">
        <v>85778</v>
      </c>
      <c r="FN161" s="315"/>
      <c r="FO161" s="315"/>
      <c r="FP161" s="315"/>
      <c r="FQ161" s="315">
        <v>-502</v>
      </c>
      <c r="FR161" s="315">
        <v>404842</v>
      </c>
      <c r="FS161" s="315">
        <v>-39819</v>
      </c>
      <c r="FT161" s="315">
        <v>365023</v>
      </c>
      <c r="FU161" s="315"/>
      <c r="FV161" s="315"/>
      <c r="FW161" s="315"/>
      <c r="FX161" s="315">
        <v>154196</v>
      </c>
      <c r="FY161" s="315">
        <v>106913</v>
      </c>
      <c r="FZ161" s="315"/>
      <c r="GA161" s="315"/>
      <c r="GB161" s="315"/>
      <c r="GC161" s="315">
        <v>47174</v>
      </c>
      <c r="GD161" s="315">
        <v>11856</v>
      </c>
      <c r="GE161" s="315"/>
      <c r="GF161" s="315">
        <v>35318</v>
      </c>
      <c r="GG161" s="315">
        <v>56740</v>
      </c>
      <c r="GH161" s="315">
        <v>5437</v>
      </c>
      <c r="GI161" s="315">
        <v>843</v>
      </c>
      <c r="GJ161" s="315">
        <v>50460</v>
      </c>
      <c r="GL161"/>
      <c r="GM161"/>
      <c r="GN161"/>
      <c r="GO161"/>
    </row>
    <row r="162" spans="1:197">
      <c r="A162" s="98" t="s">
        <v>25</v>
      </c>
      <c r="B162" s="98">
        <v>11</v>
      </c>
      <c r="C162" s="98" t="s">
        <v>227</v>
      </c>
      <c r="D162" s="315">
        <v>15590774</v>
      </c>
      <c r="E162" s="315">
        <v>-3076638</v>
      </c>
      <c r="F162" s="315">
        <v>-12500</v>
      </c>
      <c r="G162" s="315">
        <v>12501636</v>
      </c>
      <c r="H162" s="315">
        <v>8202565</v>
      </c>
      <c r="I162" s="315">
        <v>4299071</v>
      </c>
      <c r="J162" s="315">
        <v>4085700</v>
      </c>
      <c r="K162" s="315">
        <v>213371</v>
      </c>
      <c r="L162" s="315">
        <v>7792613</v>
      </c>
      <c r="M162" s="315">
        <v>3443459</v>
      </c>
      <c r="N162" s="315">
        <v>3793027</v>
      </c>
      <c r="O162" s="315"/>
      <c r="P162" s="315"/>
      <c r="Q162" s="315">
        <v>28741</v>
      </c>
      <c r="R162" s="315">
        <v>527386</v>
      </c>
      <c r="S162" s="315">
        <v>-612638</v>
      </c>
      <c r="T162" s="315">
        <v>-605780</v>
      </c>
      <c r="U162" s="315">
        <v>-267312</v>
      </c>
      <c r="V162" s="315">
        <v>0</v>
      </c>
      <c r="W162" s="315">
        <v>-320915</v>
      </c>
      <c r="X162" s="315">
        <v>0</v>
      </c>
      <c r="Y162" s="315">
        <v>-17553</v>
      </c>
      <c r="Z162" s="315">
        <v>-1652</v>
      </c>
      <c r="AA162" s="315">
        <v>-5206</v>
      </c>
      <c r="AB162" s="315">
        <v>0</v>
      </c>
      <c r="AC162" s="315">
        <v>-12500</v>
      </c>
      <c r="AD162" s="315">
        <v>7167475</v>
      </c>
      <c r="AE162" s="315">
        <v>5397687</v>
      </c>
      <c r="AF162" s="315">
        <v>1769788</v>
      </c>
      <c r="AG162" s="315">
        <v>1671056</v>
      </c>
      <c r="AH162" s="315">
        <v>98732</v>
      </c>
      <c r="AI162" s="315">
        <v>3439596</v>
      </c>
      <c r="AJ162" s="315">
        <v>1156539</v>
      </c>
      <c r="AK162" s="315">
        <v>2211356</v>
      </c>
      <c r="AL162" s="315">
        <v>29064</v>
      </c>
      <c r="AM162" s="315">
        <v>376209</v>
      </c>
      <c r="AN162" s="315">
        <v>50134</v>
      </c>
      <c r="AO162" s="315">
        <v>88157</v>
      </c>
      <c r="AP162" s="315"/>
      <c r="AQ162" s="315">
        <v>11533</v>
      </c>
      <c r="AR162" s="315">
        <v>3187247</v>
      </c>
      <c r="AS162" s="315">
        <v>27089</v>
      </c>
      <c r="AT162" s="315">
        <v>10</v>
      </c>
      <c r="AU162" s="315">
        <v>-12500</v>
      </c>
      <c r="AV162" s="315">
        <v>521634</v>
      </c>
      <c r="AW162" s="315">
        <v>67397</v>
      </c>
      <c r="AX162" s="315">
        <v>187094</v>
      </c>
      <c r="AY162" s="315"/>
      <c r="AZ162" s="315"/>
      <c r="BA162" s="315"/>
      <c r="BB162" s="315"/>
      <c r="BC162" s="315">
        <v>49099</v>
      </c>
      <c r="BD162" s="315">
        <v>218044</v>
      </c>
      <c r="BE162" s="315">
        <v>-367159</v>
      </c>
      <c r="BF162" s="315">
        <v>-205285</v>
      </c>
      <c r="BG162" s="315">
        <v>-187308</v>
      </c>
      <c r="BH162" s="315">
        <v>-17977</v>
      </c>
      <c r="BI162" s="315">
        <v>-181869</v>
      </c>
      <c r="BJ162" s="315">
        <v>0</v>
      </c>
      <c r="BK162" s="315">
        <v>-23416</v>
      </c>
      <c r="BL162" s="315">
        <v>-2407</v>
      </c>
      <c r="BM162" s="315">
        <v>-159467</v>
      </c>
      <c r="BN162" s="315">
        <v>154475</v>
      </c>
      <c r="BO162" s="315">
        <v>379</v>
      </c>
      <c r="BP162" s="315">
        <v>20097</v>
      </c>
      <c r="BQ162" s="315">
        <v>37531</v>
      </c>
      <c r="BR162" s="315"/>
      <c r="BS162" s="315">
        <v>65573</v>
      </c>
      <c r="BT162" s="315"/>
      <c r="BU162" s="315"/>
      <c r="BV162" s="315"/>
      <c r="BW162" s="315"/>
      <c r="BX162" s="315">
        <v>-214</v>
      </c>
      <c r="BY162" s="315">
        <v>31122</v>
      </c>
      <c r="BZ162" s="315">
        <v>-13</v>
      </c>
      <c r="CA162" s="315">
        <v>115285</v>
      </c>
      <c r="CB162" s="315">
        <v>-142999</v>
      </c>
      <c r="CC162" s="315">
        <v>-9944</v>
      </c>
      <c r="CD162" s="315">
        <v>-133055</v>
      </c>
      <c r="CE162" s="315">
        <v>-27714</v>
      </c>
      <c r="CF162" s="315">
        <v>96437</v>
      </c>
      <c r="CG162" s="315">
        <v>133</v>
      </c>
      <c r="CH162" s="315">
        <v>-124284</v>
      </c>
      <c r="CI162" s="315">
        <v>4936201</v>
      </c>
      <c r="CJ162" s="315">
        <v>750484</v>
      </c>
      <c r="CK162" s="315">
        <v>4185717</v>
      </c>
      <c r="CL162" s="315">
        <v>3943830</v>
      </c>
      <c r="CM162" s="315">
        <v>36986</v>
      </c>
      <c r="CN162" s="315">
        <v>204901</v>
      </c>
      <c r="CO162" s="315">
        <v>2053</v>
      </c>
      <c r="CP162" s="315">
        <v>0</v>
      </c>
      <c r="CQ162" s="315">
        <v>202848</v>
      </c>
      <c r="CR162" s="315">
        <v>-1918679</v>
      </c>
      <c r="CS162" s="315">
        <v>-873090</v>
      </c>
      <c r="CT162" s="315">
        <v>-818165</v>
      </c>
      <c r="CU162" s="315">
        <v>-6756</v>
      </c>
      <c r="CV162" s="315">
        <v>-646</v>
      </c>
      <c r="CW162" s="315">
        <v>-47523</v>
      </c>
      <c r="CX162" s="315">
        <v>-1043063</v>
      </c>
      <c r="CY162" s="315">
        <v>-1015576</v>
      </c>
      <c r="CZ162" s="315">
        <v>-18799</v>
      </c>
      <c r="DA162" s="315">
        <v>-8688</v>
      </c>
      <c r="DB162" s="315">
        <v>-2526</v>
      </c>
      <c r="DC162" s="315">
        <v>0</v>
      </c>
      <c r="DD162" s="315">
        <v>3017522</v>
      </c>
      <c r="DE162" s="315">
        <v>1208775</v>
      </c>
      <c r="DF162" s="315">
        <v>1808747</v>
      </c>
      <c r="DG162" s="315">
        <v>1721241</v>
      </c>
      <c r="DH162" s="315">
        <v>87506</v>
      </c>
      <c r="DI162" s="315">
        <v>1778259</v>
      </c>
      <c r="DJ162" s="315">
        <v>107306</v>
      </c>
      <c r="DK162" s="315">
        <v>33707</v>
      </c>
      <c r="DL162" s="315">
        <v>2386</v>
      </c>
      <c r="DM162" s="315">
        <v>930115</v>
      </c>
      <c r="DN162" s="315">
        <v>613303</v>
      </c>
      <c r="DO162" s="315">
        <v>91259</v>
      </c>
      <c r="DP162" s="315"/>
      <c r="DQ162" s="315"/>
      <c r="DR162" s="315">
        <v>183</v>
      </c>
      <c r="DS162" s="315">
        <v>-12581</v>
      </c>
      <c r="DT162" s="315">
        <v>-6745</v>
      </c>
      <c r="DU162" s="315">
        <v>-74</v>
      </c>
      <c r="DV162" s="315">
        <v>-17</v>
      </c>
      <c r="DW162" s="315">
        <v>-5699</v>
      </c>
      <c r="DX162" s="315">
        <v>-1287</v>
      </c>
      <c r="DY162" s="315">
        <v>-3651</v>
      </c>
      <c r="DZ162" s="315">
        <v>-761</v>
      </c>
      <c r="EA162" s="315">
        <v>0</v>
      </c>
      <c r="EB162" s="315">
        <v>-17</v>
      </c>
      <c r="EC162" s="315"/>
      <c r="ED162" s="315"/>
      <c r="EE162" s="315">
        <v>-29</v>
      </c>
      <c r="EF162" s="315">
        <v>1765678</v>
      </c>
      <c r="EG162" s="315">
        <v>1045142</v>
      </c>
      <c r="EH162" s="315">
        <v>720536</v>
      </c>
      <c r="EI162" s="315">
        <v>693403</v>
      </c>
      <c r="EJ162" s="315">
        <v>27133</v>
      </c>
      <c r="EK162" s="315">
        <v>100561</v>
      </c>
      <c r="EL162" s="315">
        <v>64431</v>
      </c>
      <c r="EM162" s="315">
        <v>36130</v>
      </c>
      <c r="EN162" s="315">
        <v>34390</v>
      </c>
      <c r="EO162" s="315">
        <v>1740</v>
      </c>
      <c r="EP162" s="315">
        <v>33633</v>
      </c>
      <c r="EQ162" s="315">
        <v>23921</v>
      </c>
      <c r="ER162" s="315">
        <v>9712</v>
      </c>
      <c r="ES162" s="315">
        <v>9239</v>
      </c>
      <c r="ET162" s="315">
        <v>473</v>
      </c>
      <c r="EU162" s="315">
        <v>2369</v>
      </c>
      <c r="EV162" s="315">
        <v>1624</v>
      </c>
      <c r="EW162" s="315">
        <v>745</v>
      </c>
      <c r="EX162" s="315">
        <v>709</v>
      </c>
      <c r="EY162" s="315">
        <v>36</v>
      </c>
      <c r="EZ162" s="315">
        <v>924416</v>
      </c>
      <c r="FA162" s="315">
        <v>549080</v>
      </c>
      <c r="FB162" s="315">
        <v>375336</v>
      </c>
      <c r="FC162" s="315">
        <v>357908</v>
      </c>
      <c r="FD162" s="315">
        <v>17428</v>
      </c>
      <c r="FE162" s="315">
        <v>613303</v>
      </c>
      <c r="FF162" s="315">
        <v>397707</v>
      </c>
      <c r="FG162" s="315">
        <v>215596</v>
      </c>
      <c r="FH162" s="315">
        <v>208140</v>
      </c>
      <c r="FI162" s="315">
        <v>7456</v>
      </c>
      <c r="FJ162" s="315">
        <v>91242</v>
      </c>
      <c r="FK162" s="315">
        <v>8225</v>
      </c>
      <c r="FL162" s="315">
        <v>83017</v>
      </c>
      <c r="FM162" s="315">
        <v>83017</v>
      </c>
      <c r="FN162" s="315"/>
      <c r="FO162" s="315"/>
      <c r="FP162" s="315"/>
      <c r="FQ162" s="315">
        <v>154</v>
      </c>
      <c r="FR162" s="315">
        <v>446782</v>
      </c>
      <c r="FS162" s="315">
        <v>-22582</v>
      </c>
      <c r="FT162" s="315">
        <v>424200</v>
      </c>
      <c r="FU162" s="315"/>
      <c r="FV162" s="315"/>
      <c r="FW162" s="315"/>
      <c r="FX162" s="315">
        <v>135664</v>
      </c>
      <c r="FY162" s="315">
        <v>133930</v>
      </c>
      <c r="FZ162" s="315"/>
      <c r="GA162" s="315"/>
      <c r="GB162" s="315"/>
      <c r="GC162" s="315">
        <v>106610</v>
      </c>
      <c r="GD162" s="315">
        <v>23826</v>
      </c>
      <c r="GE162" s="315"/>
      <c r="GF162" s="315">
        <v>82784</v>
      </c>
      <c r="GG162" s="315">
        <v>47996</v>
      </c>
      <c r="GH162" s="315">
        <v>6322</v>
      </c>
      <c r="GI162" s="315">
        <v>1213</v>
      </c>
      <c r="GJ162" s="315">
        <v>40461</v>
      </c>
      <c r="GL162"/>
      <c r="GM162"/>
      <c r="GN162"/>
      <c r="GO162"/>
    </row>
    <row r="163" spans="1:197">
      <c r="A163" s="98" t="s">
        <v>25</v>
      </c>
      <c r="B163" s="98">
        <v>12</v>
      </c>
      <c r="C163" s="98" t="s">
        <v>228</v>
      </c>
      <c r="D163" s="315">
        <v>18893622</v>
      </c>
      <c r="E163" s="315">
        <v>-5400136</v>
      </c>
      <c r="F163" s="315">
        <v>-12501</v>
      </c>
      <c r="G163" s="315">
        <v>13480985</v>
      </c>
      <c r="H163" s="315">
        <v>9316271</v>
      </c>
      <c r="I163" s="315">
        <v>4164714</v>
      </c>
      <c r="J163" s="315">
        <v>4048486</v>
      </c>
      <c r="K163" s="315">
        <v>116228</v>
      </c>
      <c r="L163" s="315">
        <v>4585419</v>
      </c>
      <c r="M163" s="315">
        <v>3861149</v>
      </c>
      <c r="N163" s="315">
        <v>73511</v>
      </c>
      <c r="O163" s="315"/>
      <c r="P163" s="315"/>
      <c r="Q163" s="315">
        <v>148503</v>
      </c>
      <c r="R163" s="315">
        <v>502256</v>
      </c>
      <c r="S163" s="315">
        <v>-456037</v>
      </c>
      <c r="T163" s="315">
        <v>-436730</v>
      </c>
      <c r="U163" s="315">
        <v>-215151</v>
      </c>
      <c r="V163" s="315">
        <v>0</v>
      </c>
      <c r="W163" s="315">
        <v>-208435</v>
      </c>
      <c r="X163" s="315">
        <v>0</v>
      </c>
      <c r="Y163" s="315">
        <v>-13144</v>
      </c>
      <c r="Z163" s="315">
        <v>-14495</v>
      </c>
      <c r="AA163" s="315">
        <v>-4812</v>
      </c>
      <c r="AB163" s="315">
        <v>0</v>
      </c>
      <c r="AC163" s="315">
        <v>-12501</v>
      </c>
      <c r="AD163" s="315">
        <v>4116881</v>
      </c>
      <c r="AE163" s="315">
        <v>2403748</v>
      </c>
      <c r="AF163" s="315">
        <v>1713133</v>
      </c>
      <c r="AG163" s="315">
        <v>1659252</v>
      </c>
      <c r="AH163" s="315">
        <v>53881</v>
      </c>
      <c r="AI163" s="315">
        <v>3857151</v>
      </c>
      <c r="AJ163" s="315">
        <v>1451092</v>
      </c>
      <c r="AK163" s="315">
        <v>2331126</v>
      </c>
      <c r="AL163" s="315">
        <v>13251</v>
      </c>
      <c r="AM163" s="315">
        <v>371970</v>
      </c>
      <c r="AN163" s="315">
        <v>46139</v>
      </c>
      <c r="AO163" s="315">
        <v>75082</v>
      </c>
      <c r="AP163" s="315"/>
      <c r="AQ163" s="315">
        <v>7663</v>
      </c>
      <c r="AR163" s="315">
        <v>-363219</v>
      </c>
      <c r="AS163" s="315">
        <v>134008</v>
      </c>
      <c r="AT163" s="315">
        <v>588</v>
      </c>
      <c r="AU163" s="315">
        <v>-12501</v>
      </c>
      <c r="AV163" s="315">
        <v>6488841</v>
      </c>
      <c r="AW163" s="315">
        <v>6051487</v>
      </c>
      <c r="AX163" s="315">
        <v>130648</v>
      </c>
      <c r="AY163" s="315"/>
      <c r="AZ163" s="315"/>
      <c r="BA163" s="315"/>
      <c r="BB163" s="315"/>
      <c r="BC163" s="315">
        <v>74538</v>
      </c>
      <c r="BD163" s="315">
        <v>232168</v>
      </c>
      <c r="BE163" s="315">
        <v>-2190245</v>
      </c>
      <c r="BF163" s="315">
        <v>-2167918</v>
      </c>
      <c r="BG163" s="315">
        <v>-2160391</v>
      </c>
      <c r="BH163" s="315">
        <v>-7527</v>
      </c>
      <c r="BI163" s="315">
        <v>-2146308</v>
      </c>
      <c r="BJ163" s="315">
        <v>0</v>
      </c>
      <c r="BK163" s="315">
        <v>-21610</v>
      </c>
      <c r="BL163" s="315">
        <v>-7131</v>
      </c>
      <c r="BM163" s="315">
        <v>-15196</v>
      </c>
      <c r="BN163" s="315">
        <v>4298596</v>
      </c>
      <c r="BO163" s="315">
        <v>167345</v>
      </c>
      <c r="BP163" s="315">
        <v>17578</v>
      </c>
      <c r="BQ163" s="315">
        <v>31937</v>
      </c>
      <c r="BR163" s="315"/>
      <c r="BS163" s="315">
        <v>6044642</v>
      </c>
      <c r="BT163" s="315"/>
      <c r="BU163" s="315"/>
      <c r="BV163" s="315"/>
      <c r="BW163" s="315"/>
      <c r="BX163" s="315">
        <v>-2029743</v>
      </c>
      <c r="BY163" s="315">
        <v>67011</v>
      </c>
      <c r="BZ163" s="315">
        <v>-174</v>
      </c>
      <c r="CA163" s="315">
        <v>419344</v>
      </c>
      <c r="CB163" s="315">
        <v>-28766</v>
      </c>
      <c r="CC163" s="315">
        <v>-16332</v>
      </c>
      <c r="CD163" s="315">
        <v>-12434</v>
      </c>
      <c r="CE163" s="315">
        <v>390578</v>
      </c>
      <c r="CF163" s="315">
        <v>239936</v>
      </c>
      <c r="CG163" s="315">
        <v>20416</v>
      </c>
      <c r="CH163" s="315">
        <v>130226</v>
      </c>
      <c r="CI163" s="315">
        <v>5216103</v>
      </c>
      <c r="CJ163" s="315">
        <v>829046</v>
      </c>
      <c r="CK163" s="315">
        <v>4387057</v>
      </c>
      <c r="CL163" s="315">
        <v>4218942</v>
      </c>
      <c r="CM163" s="315">
        <v>22402</v>
      </c>
      <c r="CN163" s="315">
        <v>145713</v>
      </c>
      <c r="CO163" s="315">
        <v>0</v>
      </c>
      <c r="CP163" s="315">
        <v>0</v>
      </c>
      <c r="CQ163" s="315">
        <v>145713</v>
      </c>
      <c r="CR163" s="315">
        <v>-2643688</v>
      </c>
      <c r="CS163" s="315">
        <v>-471597</v>
      </c>
      <c r="CT163" s="315">
        <v>-348277</v>
      </c>
      <c r="CU163" s="315">
        <v>-5025</v>
      </c>
      <c r="CV163" s="315">
        <v>-677</v>
      </c>
      <c r="CW163" s="315">
        <v>-117618</v>
      </c>
      <c r="CX163" s="315">
        <v>-1681991</v>
      </c>
      <c r="CY163" s="315">
        <v>-1636526</v>
      </c>
      <c r="CZ163" s="315">
        <v>-21646</v>
      </c>
      <c r="DA163" s="315">
        <v>-23819</v>
      </c>
      <c r="DB163" s="315">
        <v>-401161</v>
      </c>
      <c r="DC163" s="315">
        <v>-88939</v>
      </c>
      <c r="DD163" s="315">
        <v>2572415</v>
      </c>
      <c r="DE163" s="315">
        <v>821665</v>
      </c>
      <c r="DF163" s="315">
        <v>1750750</v>
      </c>
      <c r="DG163" s="315">
        <v>1701399</v>
      </c>
      <c r="DH163" s="315">
        <v>49351</v>
      </c>
      <c r="DI163" s="315">
        <v>1712253</v>
      </c>
      <c r="DJ163" s="315">
        <v>81270</v>
      </c>
      <c r="DK163" s="315">
        <v>23480</v>
      </c>
      <c r="DL163" s="315">
        <v>1176</v>
      </c>
      <c r="DM163" s="315">
        <v>954076</v>
      </c>
      <c r="DN163" s="315">
        <v>563266</v>
      </c>
      <c r="DO163" s="315">
        <v>88663</v>
      </c>
      <c r="DP163" s="315"/>
      <c r="DQ163" s="315"/>
      <c r="DR163" s="315">
        <v>322</v>
      </c>
      <c r="DS163" s="315">
        <v>-60648</v>
      </c>
      <c r="DT163" s="315">
        <v>-10007</v>
      </c>
      <c r="DU163" s="315">
        <v>-2069</v>
      </c>
      <c r="DV163" s="315">
        <v>-25</v>
      </c>
      <c r="DW163" s="315">
        <v>-3269</v>
      </c>
      <c r="DX163" s="315">
        <v>-630</v>
      </c>
      <c r="DY163" s="315">
        <v>-1588</v>
      </c>
      <c r="DZ163" s="315">
        <v>-1051</v>
      </c>
      <c r="EA163" s="315">
        <v>-44403</v>
      </c>
      <c r="EB163" s="315">
        <v>-562</v>
      </c>
      <c r="EC163" s="315"/>
      <c r="ED163" s="315"/>
      <c r="EE163" s="315">
        <v>-313</v>
      </c>
      <c r="EF163" s="315">
        <v>1651605</v>
      </c>
      <c r="EG163" s="315">
        <v>950774</v>
      </c>
      <c r="EH163" s="315">
        <v>700831</v>
      </c>
      <c r="EI163" s="315">
        <v>687835</v>
      </c>
      <c r="EJ163" s="315">
        <v>12996</v>
      </c>
      <c r="EK163" s="315">
        <v>71263</v>
      </c>
      <c r="EL163" s="315">
        <v>36357</v>
      </c>
      <c r="EM163" s="315">
        <v>34906</v>
      </c>
      <c r="EN163" s="315">
        <v>33982</v>
      </c>
      <c r="EO163" s="315">
        <v>924</v>
      </c>
      <c r="EP163" s="315">
        <v>21411</v>
      </c>
      <c r="EQ163" s="315">
        <v>12025</v>
      </c>
      <c r="ER163" s="315">
        <v>9386</v>
      </c>
      <c r="ES163" s="315">
        <v>9134</v>
      </c>
      <c r="ET163" s="315">
        <v>252</v>
      </c>
      <c r="EU163" s="315">
        <v>1151</v>
      </c>
      <c r="EV163" s="315">
        <v>427</v>
      </c>
      <c r="EW163" s="315">
        <v>724</v>
      </c>
      <c r="EX163" s="315">
        <v>705</v>
      </c>
      <c r="EY163" s="315">
        <v>19</v>
      </c>
      <c r="EZ163" s="315">
        <v>950807</v>
      </c>
      <c r="FA163" s="315">
        <v>585541</v>
      </c>
      <c r="FB163" s="315">
        <v>365266</v>
      </c>
      <c r="FC163" s="315">
        <v>356023</v>
      </c>
      <c r="FD163" s="315">
        <v>9243</v>
      </c>
      <c r="FE163" s="315">
        <v>518863</v>
      </c>
      <c r="FF163" s="315">
        <v>311633</v>
      </c>
      <c r="FG163" s="315">
        <v>207230</v>
      </c>
      <c r="FH163" s="315">
        <v>204672</v>
      </c>
      <c r="FI163" s="315">
        <v>2558</v>
      </c>
      <c r="FJ163" s="315">
        <v>88101</v>
      </c>
      <c r="FK163" s="315">
        <v>4782</v>
      </c>
      <c r="FL163" s="315">
        <v>83319</v>
      </c>
      <c r="FM163" s="315">
        <v>83319</v>
      </c>
      <c r="FN163" s="315"/>
      <c r="FO163" s="315"/>
      <c r="FP163" s="315"/>
      <c r="FQ163" s="315">
        <v>9</v>
      </c>
      <c r="FR163" s="315">
        <v>471662</v>
      </c>
      <c r="FS163" s="315">
        <v>-20752</v>
      </c>
      <c r="FT163" s="315">
        <v>450910</v>
      </c>
      <c r="FU163" s="315"/>
      <c r="FV163" s="315"/>
      <c r="FW163" s="315"/>
      <c r="FX163" s="315">
        <v>141075</v>
      </c>
      <c r="FY163" s="315">
        <v>126914</v>
      </c>
      <c r="FZ163" s="315"/>
      <c r="GA163" s="315"/>
      <c r="GB163" s="315"/>
      <c r="GC163" s="315">
        <v>61983</v>
      </c>
      <c r="GD163" s="315">
        <v>457</v>
      </c>
      <c r="GE163" s="315"/>
      <c r="GF163" s="315">
        <v>61526</v>
      </c>
      <c r="GG163" s="315">
        <v>120938</v>
      </c>
      <c r="GH163" s="315">
        <v>33284</v>
      </c>
      <c r="GI163" s="315">
        <v>650</v>
      </c>
      <c r="GJ163" s="315">
        <v>87004</v>
      </c>
      <c r="GL163"/>
      <c r="GM163"/>
      <c r="GN163"/>
      <c r="GO163"/>
    </row>
    <row r="164" spans="1:197">
      <c r="A164" s="96" t="s">
        <v>26</v>
      </c>
      <c r="B164" s="96">
        <v>1</v>
      </c>
      <c r="C164" s="97" t="s">
        <v>217</v>
      </c>
      <c r="D164" s="314">
        <v>17438813</v>
      </c>
      <c r="E164" s="314">
        <v>-950799</v>
      </c>
      <c r="F164" s="314">
        <v>-12501</v>
      </c>
      <c r="G164" s="314">
        <v>16475513</v>
      </c>
      <c r="H164" s="314">
        <v>11972879</v>
      </c>
      <c r="I164" s="314">
        <v>4502634</v>
      </c>
      <c r="J164" s="314">
        <v>4371630</v>
      </c>
      <c r="K164" s="314">
        <v>131004</v>
      </c>
      <c r="L164" s="314">
        <v>11817575</v>
      </c>
      <c r="M164" s="314">
        <v>10199694</v>
      </c>
      <c r="N164" s="314">
        <v>47284</v>
      </c>
      <c r="O164" s="314"/>
      <c r="P164" s="314"/>
      <c r="Q164" s="314">
        <v>72592</v>
      </c>
      <c r="R164" s="314">
        <v>1498005</v>
      </c>
      <c r="S164" s="314">
        <v>-278827</v>
      </c>
      <c r="T164" s="314">
        <v>-273750</v>
      </c>
      <c r="U164" s="314">
        <v>-8509</v>
      </c>
      <c r="V164" s="314">
        <v>-133427</v>
      </c>
      <c r="W164" s="314">
        <v>0</v>
      </c>
      <c r="X164" s="314">
        <v>-119222</v>
      </c>
      <c r="Y164" s="314">
        <v>-12592</v>
      </c>
      <c r="Z164" s="314">
        <v>-1797</v>
      </c>
      <c r="AA164" s="314">
        <v>-3280</v>
      </c>
      <c r="AB164" s="314">
        <v>0</v>
      </c>
      <c r="AC164" s="314">
        <v>-12501</v>
      </c>
      <c r="AD164" s="314">
        <v>11526247</v>
      </c>
      <c r="AE164" s="314">
        <v>9552671</v>
      </c>
      <c r="AF164" s="314">
        <v>1973576</v>
      </c>
      <c r="AG164" s="314">
        <v>1909539</v>
      </c>
      <c r="AH164" s="314">
        <v>64037</v>
      </c>
      <c r="AI164" s="314">
        <v>10198044</v>
      </c>
      <c r="AJ164" s="314">
        <v>1640577</v>
      </c>
      <c r="AK164" s="314">
        <v>3502569</v>
      </c>
      <c r="AL164" s="314">
        <v>4985239</v>
      </c>
      <c r="AM164" s="314">
        <v>806296</v>
      </c>
      <c r="AN164" s="314">
        <v>435819</v>
      </c>
      <c r="AO164" s="314">
        <v>110152</v>
      </c>
      <c r="AP164" s="314"/>
      <c r="AQ164" s="314">
        <v>144108</v>
      </c>
      <c r="AR164" s="314">
        <v>-226466</v>
      </c>
      <c r="AS164" s="314">
        <v>70795</v>
      </c>
      <c r="AT164" s="314">
        <v>0</v>
      </c>
      <c r="AU164" s="314">
        <v>-12501</v>
      </c>
      <c r="AV164" s="314">
        <v>1433867</v>
      </c>
      <c r="AW164" s="314">
        <v>60123</v>
      </c>
      <c r="AX164" s="314">
        <v>155425</v>
      </c>
      <c r="AY164" s="314"/>
      <c r="AZ164" s="314"/>
      <c r="BA164" s="314"/>
      <c r="BB164" s="314"/>
      <c r="BC164" s="314">
        <v>103076</v>
      </c>
      <c r="BD164" s="314">
        <v>1115243</v>
      </c>
      <c r="BE164" s="314">
        <v>-187064</v>
      </c>
      <c r="BF164" s="314">
        <v>-185840</v>
      </c>
      <c r="BG164" s="314">
        <v>-181097</v>
      </c>
      <c r="BH164" s="314">
        <v>-4743</v>
      </c>
      <c r="BI164" s="314">
        <v>0</v>
      </c>
      <c r="BJ164" s="314">
        <v>-173153</v>
      </c>
      <c r="BK164" s="314">
        <v>-12687</v>
      </c>
      <c r="BL164" s="314">
        <v>-1197</v>
      </c>
      <c r="BM164" s="314">
        <v>-27</v>
      </c>
      <c r="BN164" s="314">
        <v>1246803</v>
      </c>
      <c r="BO164" s="314">
        <v>883581</v>
      </c>
      <c r="BP164" s="314">
        <v>184087</v>
      </c>
      <c r="BQ164" s="314">
        <v>46888</v>
      </c>
      <c r="BR164" s="314"/>
      <c r="BS164" s="314">
        <v>59581</v>
      </c>
      <c r="BT164" s="314"/>
      <c r="BU164" s="314"/>
      <c r="BV164" s="314"/>
      <c r="BW164" s="314"/>
      <c r="BX164" s="314">
        <v>-25672</v>
      </c>
      <c r="BY164" s="314">
        <v>98333</v>
      </c>
      <c r="BZ164" s="314">
        <v>5</v>
      </c>
      <c r="CA164" s="314">
        <v>677066</v>
      </c>
      <c r="CB164" s="314">
        <v>-5566</v>
      </c>
      <c r="CC164" s="314">
        <v>-5148</v>
      </c>
      <c r="CD164" s="314">
        <v>-418</v>
      </c>
      <c r="CE164" s="314">
        <v>671500</v>
      </c>
      <c r="CF164" s="314">
        <v>195104</v>
      </c>
      <c r="CG164" s="314">
        <v>247</v>
      </c>
      <c r="CH164" s="314">
        <v>476149</v>
      </c>
      <c r="CI164" s="314">
        <v>1603398</v>
      </c>
      <c r="CJ164" s="314">
        <v>744758</v>
      </c>
      <c r="CK164" s="314">
        <v>858640</v>
      </c>
      <c r="CL164" s="314">
        <v>239526</v>
      </c>
      <c r="CM164" s="314">
        <v>423583</v>
      </c>
      <c r="CN164" s="314">
        <v>195531</v>
      </c>
      <c r="CO164" s="314">
        <v>0</v>
      </c>
      <c r="CP164" s="314">
        <v>0</v>
      </c>
      <c r="CQ164" s="314">
        <v>195531</v>
      </c>
      <c r="CR164" s="314">
        <v>-461485</v>
      </c>
      <c r="CS164" s="314">
        <v>-237387</v>
      </c>
      <c r="CT164" s="314">
        <v>0</v>
      </c>
      <c r="CU164" s="314">
        <v>-114129</v>
      </c>
      <c r="CV164" s="314">
        <v>-689</v>
      </c>
      <c r="CW164" s="314">
        <v>-122569</v>
      </c>
      <c r="CX164" s="314">
        <v>-224098</v>
      </c>
      <c r="CY164" s="314">
        <v>0</v>
      </c>
      <c r="CZ164" s="314">
        <v>-192278</v>
      </c>
      <c r="DA164" s="314">
        <v>-31820</v>
      </c>
      <c r="DB164" s="314">
        <v>0</v>
      </c>
      <c r="DC164" s="314">
        <v>0</v>
      </c>
      <c r="DD164" s="314">
        <v>1141913</v>
      </c>
      <c r="DE164" s="314">
        <v>-661206</v>
      </c>
      <c r="DF164" s="314">
        <v>1803119</v>
      </c>
      <c r="DG164" s="314">
        <v>1751530</v>
      </c>
      <c r="DH164" s="314">
        <v>51589</v>
      </c>
      <c r="DI164" s="314">
        <v>1550379</v>
      </c>
      <c r="DJ164" s="314">
        <v>67167</v>
      </c>
      <c r="DK164" s="314">
        <v>23783</v>
      </c>
      <c r="DL164" s="314">
        <v>1082</v>
      </c>
      <c r="DM164" s="314">
        <v>855439</v>
      </c>
      <c r="DN164" s="314">
        <v>509821</v>
      </c>
      <c r="DO164" s="314">
        <v>92962</v>
      </c>
      <c r="DP164" s="314"/>
      <c r="DQ164" s="314"/>
      <c r="DR164" s="314">
        <v>125</v>
      </c>
      <c r="DS164" s="314">
        <v>-5584</v>
      </c>
      <c r="DT164" s="314">
        <v>-2586</v>
      </c>
      <c r="DU164" s="314">
        <v>-193</v>
      </c>
      <c r="DV164" s="314">
        <v>-49</v>
      </c>
      <c r="DW164" s="314">
        <v>-2489</v>
      </c>
      <c r="DX164" s="314">
        <v>-285</v>
      </c>
      <c r="DY164" s="314">
        <v>-668</v>
      </c>
      <c r="DZ164" s="314">
        <v>-1536</v>
      </c>
      <c r="EA164" s="314">
        <v>-201</v>
      </c>
      <c r="EB164" s="314">
        <v>-17</v>
      </c>
      <c r="EC164" s="314"/>
      <c r="ED164" s="314"/>
      <c r="EE164" s="314">
        <v>-49</v>
      </c>
      <c r="EF164" s="314">
        <v>1544795</v>
      </c>
      <c r="EG164" s="314">
        <v>818856</v>
      </c>
      <c r="EH164" s="314">
        <v>725939</v>
      </c>
      <c r="EI164" s="314">
        <v>710561</v>
      </c>
      <c r="EJ164" s="314">
        <v>15378</v>
      </c>
      <c r="EK164" s="314">
        <v>64581</v>
      </c>
      <c r="EL164" s="314">
        <v>30007</v>
      </c>
      <c r="EM164" s="314">
        <v>34574</v>
      </c>
      <c r="EN164" s="314">
        <v>33581</v>
      </c>
      <c r="EO164" s="314">
        <v>993</v>
      </c>
      <c r="EP164" s="314">
        <v>23590</v>
      </c>
      <c r="EQ164" s="314">
        <v>13515</v>
      </c>
      <c r="ER164" s="314">
        <v>10075</v>
      </c>
      <c r="ES164" s="314">
        <v>9800</v>
      </c>
      <c r="ET164" s="314">
        <v>275</v>
      </c>
      <c r="EU164" s="314">
        <v>1033</v>
      </c>
      <c r="EV164" s="314">
        <v>260</v>
      </c>
      <c r="EW164" s="314">
        <v>773</v>
      </c>
      <c r="EX164" s="314">
        <v>751</v>
      </c>
      <c r="EY164" s="314">
        <v>22</v>
      </c>
      <c r="EZ164" s="314">
        <v>852950</v>
      </c>
      <c r="FA164" s="314">
        <v>488908</v>
      </c>
      <c r="FB164" s="314">
        <v>364042</v>
      </c>
      <c r="FC164" s="314">
        <v>354368</v>
      </c>
      <c r="FD164" s="314">
        <v>9674</v>
      </c>
      <c r="FE164" s="314">
        <v>509620</v>
      </c>
      <c r="FF164" s="314">
        <v>288234</v>
      </c>
      <c r="FG164" s="314">
        <v>221386</v>
      </c>
      <c r="FH164" s="314">
        <v>216972</v>
      </c>
      <c r="FI164" s="314">
        <v>4414</v>
      </c>
      <c r="FJ164" s="314">
        <v>92945</v>
      </c>
      <c r="FK164" s="314">
        <v>-2144</v>
      </c>
      <c r="FL164" s="314">
        <v>95089</v>
      </c>
      <c r="FM164" s="314">
        <v>95089</v>
      </c>
      <c r="FN164" s="314"/>
      <c r="FO164" s="314"/>
      <c r="FP164" s="314"/>
      <c r="FQ164" s="314">
        <v>76</v>
      </c>
      <c r="FR164" s="314">
        <v>356528</v>
      </c>
      <c r="FS164" s="314">
        <v>-12273</v>
      </c>
      <c r="FT164" s="314">
        <v>344255</v>
      </c>
      <c r="FU164" s="314"/>
      <c r="FV164" s="314"/>
      <c r="FW164" s="314"/>
      <c r="FX164" s="314">
        <v>137165</v>
      </c>
      <c r="FY164" s="314">
        <v>121341</v>
      </c>
      <c r="FZ164" s="314"/>
      <c r="GA164" s="314"/>
      <c r="GB164" s="314"/>
      <c r="GC164" s="314">
        <v>37334</v>
      </c>
      <c r="GD164" s="314">
        <v>1309</v>
      </c>
      <c r="GE164" s="314"/>
      <c r="GF164" s="314">
        <v>36025</v>
      </c>
      <c r="GG164" s="314">
        <v>48415</v>
      </c>
      <c r="GH164" s="314">
        <v>10583</v>
      </c>
      <c r="GI164" s="314">
        <v>683</v>
      </c>
      <c r="GJ164" s="314">
        <v>37149</v>
      </c>
      <c r="GL164"/>
      <c r="GM164"/>
      <c r="GN164"/>
      <c r="GO164"/>
    </row>
    <row r="165" spans="1:197">
      <c r="A165" s="98" t="s">
        <v>26</v>
      </c>
      <c r="B165" s="98">
        <v>2</v>
      </c>
      <c r="C165" s="98" t="s">
        <v>218</v>
      </c>
      <c r="D165" s="315">
        <v>24686166</v>
      </c>
      <c r="E165" s="315">
        <v>-1853806</v>
      </c>
      <c r="F165" s="315">
        <v>-12751</v>
      </c>
      <c r="G165" s="315">
        <v>22819609</v>
      </c>
      <c r="H165" s="315">
        <v>18315366</v>
      </c>
      <c r="I165" s="315">
        <v>4504243</v>
      </c>
      <c r="J165" s="315">
        <v>4371631</v>
      </c>
      <c r="K165" s="315">
        <v>132612</v>
      </c>
      <c r="L165" s="315">
        <v>5250964</v>
      </c>
      <c r="M165" s="315">
        <v>3863493</v>
      </c>
      <c r="N165" s="315">
        <v>60085</v>
      </c>
      <c r="O165" s="315"/>
      <c r="P165" s="315"/>
      <c r="Q165" s="315">
        <v>31987</v>
      </c>
      <c r="R165" s="315">
        <v>1295399</v>
      </c>
      <c r="S165" s="315">
        <v>-271379</v>
      </c>
      <c r="T165" s="315">
        <v>-262151</v>
      </c>
      <c r="U165" s="315">
        <v>-107401</v>
      </c>
      <c r="V165" s="315">
        <v>-54147</v>
      </c>
      <c r="W165" s="315">
        <v>0</v>
      </c>
      <c r="X165" s="315">
        <v>-82877</v>
      </c>
      <c r="Y165" s="315">
        <v>-17726</v>
      </c>
      <c r="Z165" s="315">
        <v>-2529</v>
      </c>
      <c r="AA165" s="315">
        <v>-6699</v>
      </c>
      <c r="AB165" s="315">
        <v>0</v>
      </c>
      <c r="AC165" s="315">
        <v>-12751</v>
      </c>
      <c r="AD165" s="315">
        <v>4966834</v>
      </c>
      <c r="AE165" s="315">
        <v>2993258</v>
      </c>
      <c r="AF165" s="315">
        <v>1973576</v>
      </c>
      <c r="AG165" s="315">
        <v>1909539</v>
      </c>
      <c r="AH165" s="315">
        <v>64037</v>
      </c>
      <c r="AI165" s="315">
        <v>3858317</v>
      </c>
      <c r="AJ165" s="315">
        <v>1205848</v>
      </c>
      <c r="AK165" s="315">
        <v>2549500</v>
      </c>
      <c r="AL165" s="315">
        <v>85825</v>
      </c>
      <c r="AM165" s="315">
        <v>451323</v>
      </c>
      <c r="AN165" s="315">
        <v>54510</v>
      </c>
      <c r="AO165" s="315">
        <v>114713</v>
      </c>
      <c r="AP165" s="315"/>
      <c r="AQ165" s="315">
        <v>673321</v>
      </c>
      <c r="AR165" s="315">
        <v>-202066</v>
      </c>
      <c r="AS165" s="315">
        <v>29458</v>
      </c>
      <c r="AT165" s="315">
        <v>9</v>
      </c>
      <c r="AU165" s="315">
        <v>-12751</v>
      </c>
      <c r="AV165" s="315">
        <v>703559</v>
      </c>
      <c r="AW165" s="315">
        <v>23421</v>
      </c>
      <c r="AX165" s="315">
        <v>203664</v>
      </c>
      <c r="AY165" s="315"/>
      <c r="AZ165" s="315"/>
      <c r="BA165" s="315"/>
      <c r="BB165" s="315"/>
      <c r="BC165" s="315">
        <v>173600</v>
      </c>
      <c r="BD165" s="315">
        <v>302874</v>
      </c>
      <c r="BE165" s="315">
        <v>-702103</v>
      </c>
      <c r="BF165" s="315">
        <v>-196321</v>
      </c>
      <c r="BG165" s="315">
        <v>-187316</v>
      </c>
      <c r="BH165" s="315">
        <v>-9005</v>
      </c>
      <c r="BI165" s="315">
        <v>0</v>
      </c>
      <c r="BJ165" s="315">
        <v>-171375</v>
      </c>
      <c r="BK165" s="315">
        <v>-24946</v>
      </c>
      <c r="BL165" s="315">
        <v>-7431</v>
      </c>
      <c r="BM165" s="315">
        <v>-498351</v>
      </c>
      <c r="BN165" s="315">
        <v>1456</v>
      </c>
      <c r="BO165" s="315">
        <v>-266826</v>
      </c>
      <c r="BP165" s="315">
        <v>21979</v>
      </c>
      <c r="BQ165" s="315">
        <v>48820</v>
      </c>
      <c r="BR165" s="315"/>
      <c r="BS165" s="315">
        <v>16540</v>
      </c>
      <c r="BT165" s="315"/>
      <c r="BU165" s="315"/>
      <c r="BV165" s="315"/>
      <c r="BW165" s="315"/>
      <c r="BX165" s="315">
        <v>16348</v>
      </c>
      <c r="BY165" s="315">
        <v>164595</v>
      </c>
      <c r="BZ165" s="315">
        <v>0</v>
      </c>
      <c r="CA165" s="315">
        <v>289791</v>
      </c>
      <c r="CB165" s="315">
        <v>-415171</v>
      </c>
      <c r="CC165" s="315">
        <v>-7429</v>
      </c>
      <c r="CD165" s="315">
        <v>-407742</v>
      </c>
      <c r="CE165" s="315">
        <v>-125380</v>
      </c>
      <c r="CF165" s="315">
        <v>239248</v>
      </c>
      <c r="CG165" s="315">
        <v>35</v>
      </c>
      <c r="CH165" s="315">
        <v>-364663</v>
      </c>
      <c r="CI165" s="315">
        <v>16189806</v>
      </c>
      <c r="CJ165" s="315">
        <v>764338</v>
      </c>
      <c r="CK165" s="315">
        <v>15425468</v>
      </c>
      <c r="CL165" s="315">
        <v>7979025</v>
      </c>
      <c r="CM165" s="315">
        <v>7165200</v>
      </c>
      <c r="CN165" s="315">
        <v>281243</v>
      </c>
      <c r="CO165" s="315">
        <v>0</v>
      </c>
      <c r="CP165" s="315">
        <v>0</v>
      </c>
      <c r="CQ165" s="315">
        <v>281243</v>
      </c>
      <c r="CR165" s="315">
        <v>-431177</v>
      </c>
      <c r="CS165" s="315">
        <v>-224788</v>
      </c>
      <c r="CT165" s="315">
        <v>-6283</v>
      </c>
      <c r="CU165" s="315">
        <v>-107662</v>
      </c>
      <c r="CV165" s="315">
        <v>-1023</v>
      </c>
      <c r="CW165" s="315">
        <v>-109820</v>
      </c>
      <c r="CX165" s="315">
        <v>-206389</v>
      </c>
      <c r="CY165" s="315">
        <v>0</v>
      </c>
      <c r="CZ165" s="315">
        <v>-197312</v>
      </c>
      <c r="DA165" s="315">
        <v>-9077</v>
      </c>
      <c r="DB165" s="315">
        <v>0</v>
      </c>
      <c r="DC165" s="315">
        <v>0</v>
      </c>
      <c r="DD165" s="315">
        <v>15758629</v>
      </c>
      <c r="DE165" s="315">
        <v>13955509</v>
      </c>
      <c r="DF165" s="315">
        <v>1803120</v>
      </c>
      <c r="DG165" s="315">
        <v>1751529</v>
      </c>
      <c r="DH165" s="315">
        <v>51591</v>
      </c>
      <c r="DI165" s="315">
        <v>1810440</v>
      </c>
      <c r="DJ165" s="315">
        <v>144006</v>
      </c>
      <c r="DK165" s="315">
        <v>24330</v>
      </c>
      <c r="DL165" s="315">
        <v>3131</v>
      </c>
      <c r="DM165" s="315">
        <v>841082</v>
      </c>
      <c r="DN165" s="315">
        <v>698792</v>
      </c>
      <c r="DO165" s="315">
        <v>98914</v>
      </c>
      <c r="DP165" s="315"/>
      <c r="DQ165" s="315"/>
      <c r="DR165" s="315">
        <v>185</v>
      </c>
      <c r="DS165" s="315">
        <v>-10531</v>
      </c>
      <c r="DT165" s="315">
        <v>-4317</v>
      </c>
      <c r="DU165" s="315">
        <v>-56</v>
      </c>
      <c r="DV165" s="315">
        <v>-26</v>
      </c>
      <c r="DW165" s="315">
        <v>-5926</v>
      </c>
      <c r="DX165" s="315">
        <v>-283</v>
      </c>
      <c r="DY165" s="315">
        <v>-4366</v>
      </c>
      <c r="DZ165" s="315">
        <v>-1277</v>
      </c>
      <c r="EA165" s="315">
        <v>-20</v>
      </c>
      <c r="EB165" s="315">
        <v>0</v>
      </c>
      <c r="EC165" s="315"/>
      <c r="ED165" s="315"/>
      <c r="EE165" s="315">
        <v>-186</v>
      </c>
      <c r="EF165" s="315">
        <v>1799909</v>
      </c>
      <c r="EG165" s="315">
        <v>1072362</v>
      </c>
      <c r="EH165" s="315">
        <v>727547</v>
      </c>
      <c r="EI165" s="315">
        <v>710563</v>
      </c>
      <c r="EJ165" s="315">
        <v>16984</v>
      </c>
      <c r="EK165" s="315">
        <v>139689</v>
      </c>
      <c r="EL165" s="315">
        <v>105114</v>
      </c>
      <c r="EM165" s="315">
        <v>34575</v>
      </c>
      <c r="EN165" s="315">
        <v>33582</v>
      </c>
      <c r="EO165" s="315">
        <v>993</v>
      </c>
      <c r="EP165" s="315">
        <v>24274</v>
      </c>
      <c r="EQ165" s="315">
        <v>14198</v>
      </c>
      <c r="ER165" s="315">
        <v>10076</v>
      </c>
      <c r="ES165" s="315">
        <v>9800</v>
      </c>
      <c r="ET165" s="315">
        <v>276</v>
      </c>
      <c r="EU165" s="315">
        <v>3105</v>
      </c>
      <c r="EV165" s="315">
        <v>2333</v>
      </c>
      <c r="EW165" s="315">
        <v>772</v>
      </c>
      <c r="EX165" s="315">
        <v>752</v>
      </c>
      <c r="EY165" s="315">
        <v>20</v>
      </c>
      <c r="EZ165" s="315">
        <v>835156</v>
      </c>
      <c r="FA165" s="315">
        <v>470559</v>
      </c>
      <c r="FB165" s="315">
        <v>364597</v>
      </c>
      <c r="FC165" s="315">
        <v>354368</v>
      </c>
      <c r="FD165" s="315">
        <v>10229</v>
      </c>
      <c r="FE165" s="315">
        <v>698772</v>
      </c>
      <c r="FF165" s="315">
        <v>476334</v>
      </c>
      <c r="FG165" s="315">
        <v>222438</v>
      </c>
      <c r="FH165" s="315">
        <v>216972</v>
      </c>
      <c r="FI165" s="315">
        <v>5466</v>
      </c>
      <c r="FJ165" s="315">
        <v>98914</v>
      </c>
      <c r="FK165" s="315">
        <v>3825</v>
      </c>
      <c r="FL165" s="315">
        <v>95089</v>
      </c>
      <c r="FM165" s="315">
        <v>95089</v>
      </c>
      <c r="FN165" s="315"/>
      <c r="FO165" s="315"/>
      <c r="FP165" s="315"/>
      <c r="FQ165" s="315">
        <v>-1</v>
      </c>
      <c r="FR165" s="315">
        <v>441606</v>
      </c>
      <c r="FS165" s="315">
        <v>-23445</v>
      </c>
      <c r="FT165" s="315">
        <v>418161</v>
      </c>
      <c r="FU165" s="315"/>
      <c r="FV165" s="315"/>
      <c r="FW165" s="315"/>
      <c r="FX165" s="315">
        <v>135678</v>
      </c>
      <c r="FY165" s="315">
        <v>137855</v>
      </c>
      <c r="FZ165" s="315"/>
      <c r="GA165" s="315"/>
      <c r="GB165" s="315"/>
      <c r="GC165" s="315">
        <v>68284</v>
      </c>
      <c r="GD165" s="315">
        <v>1148</v>
      </c>
      <c r="GE165" s="315"/>
      <c r="GF165" s="315">
        <v>67136</v>
      </c>
      <c r="GG165" s="315">
        <v>76344</v>
      </c>
      <c r="GH165" s="315">
        <v>7186</v>
      </c>
      <c r="GI165" s="315">
        <v>979</v>
      </c>
      <c r="GJ165" s="315">
        <v>68179</v>
      </c>
      <c r="GL165"/>
      <c r="GM165"/>
      <c r="GN165"/>
      <c r="GO165"/>
    </row>
    <row r="166" spans="1:197">
      <c r="A166" s="98" t="s">
        <v>26</v>
      </c>
      <c r="B166" s="98">
        <v>3</v>
      </c>
      <c r="C166" s="98" t="s">
        <v>219</v>
      </c>
      <c r="D166" s="315">
        <v>11908187</v>
      </c>
      <c r="E166" s="315">
        <v>-2722758</v>
      </c>
      <c r="F166" s="315">
        <v>-12751</v>
      </c>
      <c r="G166" s="315">
        <v>9172678</v>
      </c>
      <c r="H166" s="315">
        <v>4667987</v>
      </c>
      <c r="I166" s="315">
        <v>4504691</v>
      </c>
      <c r="J166" s="315">
        <v>4371629</v>
      </c>
      <c r="K166" s="315">
        <v>133062</v>
      </c>
      <c r="L166" s="315">
        <v>4757200</v>
      </c>
      <c r="M166" s="315">
        <v>4259273</v>
      </c>
      <c r="N166" s="315">
        <v>54416</v>
      </c>
      <c r="O166" s="315"/>
      <c r="P166" s="315"/>
      <c r="Q166" s="315">
        <v>25280</v>
      </c>
      <c r="R166" s="315">
        <v>418231</v>
      </c>
      <c r="S166" s="315">
        <v>-210143</v>
      </c>
      <c r="T166" s="315">
        <v>-199973</v>
      </c>
      <c r="U166" s="315">
        <v>-119813</v>
      </c>
      <c r="V166" s="315">
        <v>-21308</v>
      </c>
      <c r="W166" s="315">
        <v>0</v>
      </c>
      <c r="X166" s="315">
        <v>-47541</v>
      </c>
      <c r="Y166" s="315">
        <v>-11311</v>
      </c>
      <c r="Z166" s="315">
        <v>-2404</v>
      </c>
      <c r="AA166" s="315">
        <v>-7766</v>
      </c>
      <c r="AB166" s="315">
        <v>0</v>
      </c>
      <c r="AC166" s="315">
        <v>-12751</v>
      </c>
      <c r="AD166" s="315">
        <v>4534306</v>
      </c>
      <c r="AE166" s="315">
        <v>2560731</v>
      </c>
      <c r="AF166" s="315">
        <v>1973575</v>
      </c>
      <c r="AG166" s="315">
        <v>1909538</v>
      </c>
      <c r="AH166" s="315">
        <v>64037</v>
      </c>
      <c r="AI166" s="315">
        <v>4255548</v>
      </c>
      <c r="AJ166" s="315">
        <v>1166973</v>
      </c>
      <c r="AK166" s="315">
        <v>3021549</v>
      </c>
      <c r="AL166" s="315">
        <v>18837</v>
      </c>
      <c r="AM166" s="315">
        <v>293495</v>
      </c>
      <c r="AN166" s="315">
        <v>48882</v>
      </c>
      <c r="AO166" s="315">
        <v>64464</v>
      </c>
      <c r="AP166" s="315"/>
      <c r="AQ166" s="315">
        <v>7349</v>
      </c>
      <c r="AR166" s="315">
        <v>-145557</v>
      </c>
      <c r="AS166" s="315">
        <v>22876</v>
      </c>
      <c r="AT166" s="315">
        <v>0</v>
      </c>
      <c r="AU166" s="315">
        <v>-12751</v>
      </c>
      <c r="AV166" s="315">
        <v>429727</v>
      </c>
      <c r="AW166" s="315">
        <v>35674</v>
      </c>
      <c r="AX166" s="315">
        <v>162577</v>
      </c>
      <c r="AY166" s="315"/>
      <c r="AZ166" s="315"/>
      <c r="BA166" s="315"/>
      <c r="BB166" s="315"/>
      <c r="BC166" s="315">
        <v>59844</v>
      </c>
      <c r="BD166" s="315">
        <v>171632</v>
      </c>
      <c r="BE166" s="315">
        <v>-169341</v>
      </c>
      <c r="BF166" s="315">
        <v>-126275</v>
      </c>
      <c r="BG166" s="315">
        <v>-114278</v>
      </c>
      <c r="BH166" s="315">
        <v>-11997</v>
      </c>
      <c r="BI166" s="315">
        <v>0</v>
      </c>
      <c r="BJ166" s="315">
        <v>-107834</v>
      </c>
      <c r="BK166" s="315">
        <v>-18441</v>
      </c>
      <c r="BL166" s="315">
        <v>-3032</v>
      </c>
      <c r="BM166" s="315">
        <v>-40034</v>
      </c>
      <c r="BN166" s="315">
        <v>260386</v>
      </c>
      <c r="BO166" s="315">
        <v>83200</v>
      </c>
      <c r="BP166" s="315">
        <v>19169</v>
      </c>
      <c r="BQ166" s="315">
        <v>27444</v>
      </c>
      <c r="BR166" s="315"/>
      <c r="BS166" s="315">
        <v>34264</v>
      </c>
      <c r="BT166" s="315"/>
      <c r="BU166" s="315"/>
      <c r="BV166" s="315"/>
      <c r="BW166" s="315"/>
      <c r="BX166" s="315">
        <v>48299</v>
      </c>
      <c r="BY166" s="315">
        <v>47847</v>
      </c>
      <c r="BZ166" s="315">
        <v>163</v>
      </c>
      <c r="CA166" s="315">
        <v>139927</v>
      </c>
      <c r="CB166" s="315">
        <v>-85986</v>
      </c>
      <c r="CC166" s="315">
        <v>-33391</v>
      </c>
      <c r="CD166" s="315">
        <v>-52595</v>
      </c>
      <c r="CE166" s="315">
        <v>53941</v>
      </c>
      <c r="CF166" s="315">
        <v>132455</v>
      </c>
      <c r="CG166" s="315">
        <v>64</v>
      </c>
      <c r="CH166" s="315">
        <v>-78578</v>
      </c>
      <c r="CI166" s="315">
        <v>4606816</v>
      </c>
      <c r="CJ166" s="315">
        <v>881961</v>
      </c>
      <c r="CK166" s="315">
        <v>3724855</v>
      </c>
      <c r="CL166" s="315">
        <v>3406827</v>
      </c>
      <c r="CM166" s="315">
        <v>34166</v>
      </c>
      <c r="CN166" s="315">
        <v>283862</v>
      </c>
      <c r="CO166" s="315">
        <v>0</v>
      </c>
      <c r="CP166" s="315">
        <v>63931</v>
      </c>
      <c r="CQ166" s="315">
        <v>219931</v>
      </c>
      <c r="CR166" s="315">
        <v>-2197997</v>
      </c>
      <c r="CS166" s="315">
        <v>-1099757</v>
      </c>
      <c r="CT166" s="315">
        <v>-759450</v>
      </c>
      <c r="CU166" s="315">
        <v>-68700</v>
      </c>
      <c r="CV166" s="315">
        <v>-290</v>
      </c>
      <c r="CW166" s="315">
        <v>-271317</v>
      </c>
      <c r="CX166" s="315">
        <v>-1011336</v>
      </c>
      <c r="CY166" s="315">
        <v>-734067</v>
      </c>
      <c r="CZ166" s="315">
        <v>-267706</v>
      </c>
      <c r="DA166" s="315">
        <v>-9563</v>
      </c>
      <c r="DB166" s="315">
        <v>0</v>
      </c>
      <c r="DC166" s="315">
        <v>-86904</v>
      </c>
      <c r="DD166" s="315">
        <v>2408819</v>
      </c>
      <c r="DE166" s="315">
        <v>605700</v>
      </c>
      <c r="DF166" s="315">
        <v>1803119</v>
      </c>
      <c r="DG166" s="315">
        <v>1751530</v>
      </c>
      <c r="DH166" s="315">
        <v>51589</v>
      </c>
      <c r="DI166" s="315">
        <v>1522254</v>
      </c>
      <c r="DJ166" s="315">
        <v>102981</v>
      </c>
      <c r="DK166" s="315">
        <v>18692</v>
      </c>
      <c r="DL166" s="315">
        <v>1500</v>
      </c>
      <c r="DM166" s="315">
        <v>855110</v>
      </c>
      <c r="DN166" s="315">
        <v>444815</v>
      </c>
      <c r="DO166" s="315">
        <v>99023</v>
      </c>
      <c r="DP166" s="315"/>
      <c r="DQ166" s="315"/>
      <c r="DR166" s="315">
        <v>133</v>
      </c>
      <c r="DS166" s="315">
        <v>-48799</v>
      </c>
      <c r="DT166" s="315">
        <v>-358</v>
      </c>
      <c r="DU166" s="315">
        <v>-311</v>
      </c>
      <c r="DV166" s="315">
        <v>-14</v>
      </c>
      <c r="DW166" s="315">
        <v>-47909</v>
      </c>
      <c r="DX166" s="315">
        <v>-7239</v>
      </c>
      <c r="DY166" s="315">
        <v>-1163</v>
      </c>
      <c r="DZ166" s="315">
        <v>-39507</v>
      </c>
      <c r="EA166" s="315">
        <v>0</v>
      </c>
      <c r="EB166" s="315">
        <v>0</v>
      </c>
      <c r="EC166" s="315"/>
      <c r="ED166" s="315"/>
      <c r="EE166" s="315">
        <v>-207</v>
      </c>
      <c r="EF166" s="315">
        <v>1473455</v>
      </c>
      <c r="EG166" s="315">
        <v>745458</v>
      </c>
      <c r="EH166" s="315">
        <v>727997</v>
      </c>
      <c r="EI166" s="315">
        <v>710561</v>
      </c>
      <c r="EJ166" s="315">
        <v>17436</v>
      </c>
      <c r="EK166" s="315">
        <v>102623</v>
      </c>
      <c r="EL166" s="315">
        <v>68048</v>
      </c>
      <c r="EM166" s="315">
        <v>34575</v>
      </c>
      <c r="EN166" s="315">
        <v>33581</v>
      </c>
      <c r="EO166" s="315">
        <v>994</v>
      </c>
      <c r="EP166" s="315">
        <v>18381</v>
      </c>
      <c r="EQ166" s="315">
        <v>8306</v>
      </c>
      <c r="ER166" s="315">
        <v>10075</v>
      </c>
      <c r="ES166" s="315">
        <v>9800</v>
      </c>
      <c r="ET166" s="315">
        <v>275</v>
      </c>
      <c r="EU166" s="315">
        <v>1486</v>
      </c>
      <c r="EV166" s="315">
        <v>713</v>
      </c>
      <c r="EW166" s="315">
        <v>773</v>
      </c>
      <c r="EX166" s="315">
        <v>751</v>
      </c>
      <c r="EY166" s="315">
        <v>22</v>
      </c>
      <c r="EZ166" s="315">
        <v>807201</v>
      </c>
      <c r="FA166" s="315">
        <v>442523</v>
      </c>
      <c r="FB166" s="315">
        <v>364678</v>
      </c>
      <c r="FC166" s="315">
        <v>354368</v>
      </c>
      <c r="FD166" s="315">
        <v>10310</v>
      </c>
      <c r="FE166" s="315">
        <v>444815</v>
      </c>
      <c r="FF166" s="315">
        <v>222008</v>
      </c>
      <c r="FG166" s="315">
        <v>222807</v>
      </c>
      <c r="FH166" s="315">
        <v>216972</v>
      </c>
      <c r="FI166" s="315">
        <v>5835</v>
      </c>
      <c r="FJ166" s="315">
        <v>99023</v>
      </c>
      <c r="FK166" s="315">
        <v>3934</v>
      </c>
      <c r="FL166" s="315">
        <v>95089</v>
      </c>
      <c r="FM166" s="315">
        <v>95089</v>
      </c>
      <c r="FN166" s="315"/>
      <c r="FO166" s="315"/>
      <c r="FP166" s="315"/>
      <c r="FQ166" s="315">
        <v>-74</v>
      </c>
      <c r="FR166" s="315">
        <v>452263</v>
      </c>
      <c r="FS166" s="315">
        <v>-10492</v>
      </c>
      <c r="FT166" s="315">
        <v>441771</v>
      </c>
      <c r="FU166" s="315"/>
      <c r="FV166" s="315"/>
      <c r="FW166" s="315"/>
      <c r="FX166" s="315">
        <v>166513</v>
      </c>
      <c r="FY166" s="315">
        <v>121791</v>
      </c>
      <c r="FZ166" s="315"/>
      <c r="GA166" s="315"/>
      <c r="GB166" s="315"/>
      <c r="GC166" s="315">
        <v>69583</v>
      </c>
      <c r="GD166" s="315">
        <v>9969</v>
      </c>
      <c r="GE166" s="315"/>
      <c r="GF166" s="315">
        <v>59614</v>
      </c>
      <c r="GG166" s="315">
        <v>83884</v>
      </c>
      <c r="GH166" s="315">
        <v>4562</v>
      </c>
      <c r="GI166" s="315">
        <v>9182</v>
      </c>
      <c r="GJ166" s="315">
        <v>70140</v>
      </c>
      <c r="GL166"/>
      <c r="GM166"/>
      <c r="GN166"/>
      <c r="GO166"/>
    </row>
    <row r="167" spans="1:197">
      <c r="A167" s="98" t="s">
        <v>26</v>
      </c>
      <c r="B167" s="98">
        <v>4</v>
      </c>
      <c r="C167" s="98" t="s">
        <v>220</v>
      </c>
      <c r="D167" s="315">
        <v>24142327</v>
      </c>
      <c r="E167" s="315">
        <v>-3037024</v>
      </c>
      <c r="F167" s="315">
        <v>-12751</v>
      </c>
      <c r="G167" s="315">
        <v>21092552</v>
      </c>
      <c r="H167" s="315">
        <v>16587688</v>
      </c>
      <c r="I167" s="315">
        <v>4504864</v>
      </c>
      <c r="J167" s="315">
        <v>4371629</v>
      </c>
      <c r="K167" s="315">
        <v>133235</v>
      </c>
      <c r="L167" s="315">
        <v>9895991</v>
      </c>
      <c r="M167" s="315">
        <v>8225403</v>
      </c>
      <c r="N167" s="315">
        <v>49650</v>
      </c>
      <c r="O167" s="315"/>
      <c r="P167" s="315"/>
      <c r="Q167" s="315">
        <v>31873</v>
      </c>
      <c r="R167" s="315">
        <v>1589065</v>
      </c>
      <c r="S167" s="315">
        <v>-544995</v>
      </c>
      <c r="T167" s="315">
        <v>-535373</v>
      </c>
      <c r="U167" s="315">
        <v>-133954</v>
      </c>
      <c r="V167" s="315">
        <v>-8194</v>
      </c>
      <c r="W167" s="315">
        <v>-353818</v>
      </c>
      <c r="X167" s="315">
        <v>0</v>
      </c>
      <c r="Y167" s="315">
        <v>-39407</v>
      </c>
      <c r="Z167" s="315">
        <v>-2837</v>
      </c>
      <c r="AA167" s="315">
        <v>-6785</v>
      </c>
      <c r="AB167" s="315">
        <v>0</v>
      </c>
      <c r="AC167" s="315">
        <v>-12751</v>
      </c>
      <c r="AD167" s="315">
        <v>9338245</v>
      </c>
      <c r="AE167" s="315">
        <v>7364670</v>
      </c>
      <c r="AF167" s="315">
        <v>1973575</v>
      </c>
      <c r="AG167" s="315">
        <v>1909539</v>
      </c>
      <c r="AH167" s="315">
        <v>64036</v>
      </c>
      <c r="AI167" s="315">
        <v>8219993</v>
      </c>
      <c r="AJ167" s="315">
        <v>1168855</v>
      </c>
      <c r="AK167" s="315">
        <v>2893066</v>
      </c>
      <c r="AL167" s="315">
        <v>4117849</v>
      </c>
      <c r="AM167" s="315">
        <v>464259</v>
      </c>
      <c r="AN167" s="315">
        <v>401467</v>
      </c>
      <c r="AO167" s="315">
        <v>75186</v>
      </c>
      <c r="AP167" s="315"/>
      <c r="AQ167" s="315">
        <v>646778</v>
      </c>
      <c r="AR167" s="315">
        <v>-485723</v>
      </c>
      <c r="AS167" s="315">
        <v>29036</v>
      </c>
      <c r="AT167" s="315">
        <v>0</v>
      </c>
      <c r="AU167" s="315">
        <v>-12751</v>
      </c>
      <c r="AV167" s="315">
        <v>1790048</v>
      </c>
      <c r="AW167" s="315">
        <v>1213759</v>
      </c>
      <c r="AX167" s="315">
        <v>67880</v>
      </c>
      <c r="AY167" s="315"/>
      <c r="AZ167" s="315"/>
      <c r="BA167" s="315"/>
      <c r="BB167" s="315"/>
      <c r="BC167" s="315">
        <v>103276</v>
      </c>
      <c r="BD167" s="315">
        <v>405133</v>
      </c>
      <c r="BE167" s="315">
        <v>-88224</v>
      </c>
      <c r="BF167" s="315">
        <v>-81812</v>
      </c>
      <c r="BG167" s="315">
        <v>-72984</v>
      </c>
      <c r="BH167" s="315">
        <v>-8828</v>
      </c>
      <c r="BI167" s="315">
        <v>0</v>
      </c>
      <c r="BJ167" s="315">
        <v>-64771</v>
      </c>
      <c r="BK167" s="315">
        <v>-17041</v>
      </c>
      <c r="BL167" s="315">
        <v>-5817</v>
      </c>
      <c r="BM167" s="315">
        <v>-595</v>
      </c>
      <c r="BN167" s="315">
        <v>1701824</v>
      </c>
      <c r="BO167" s="315">
        <v>202734</v>
      </c>
      <c r="BP167" s="315">
        <v>169261</v>
      </c>
      <c r="BQ167" s="315">
        <v>32008</v>
      </c>
      <c r="BR167" s="315"/>
      <c r="BS167" s="315">
        <v>1208477</v>
      </c>
      <c r="BT167" s="315"/>
      <c r="BU167" s="315"/>
      <c r="BV167" s="315"/>
      <c r="BW167" s="315"/>
      <c r="BX167" s="315">
        <v>-5104</v>
      </c>
      <c r="BY167" s="315">
        <v>94448</v>
      </c>
      <c r="BZ167" s="315">
        <v>0</v>
      </c>
      <c r="CA167" s="315">
        <v>145240</v>
      </c>
      <c r="CB167" s="315">
        <v>-17142</v>
      </c>
      <c r="CC167" s="315">
        <v>-15838</v>
      </c>
      <c r="CD167" s="315">
        <v>-1304</v>
      </c>
      <c r="CE167" s="315">
        <v>128098</v>
      </c>
      <c r="CF167" s="315">
        <v>120587</v>
      </c>
      <c r="CG167" s="315">
        <v>6174</v>
      </c>
      <c r="CH167" s="315">
        <v>1337</v>
      </c>
      <c r="CI167" s="315">
        <v>10069112</v>
      </c>
      <c r="CJ167" s="315">
        <v>652263</v>
      </c>
      <c r="CK167" s="315">
        <v>9416849</v>
      </c>
      <c r="CL167" s="315">
        <v>3597765</v>
      </c>
      <c r="CM167" s="315">
        <v>5563204</v>
      </c>
      <c r="CN167" s="315">
        <v>255880</v>
      </c>
      <c r="CO167" s="315">
        <v>0</v>
      </c>
      <c r="CP167" s="315">
        <v>0</v>
      </c>
      <c r="CQ167" s="315">
        <v>255880</v>
      </c>
      <c r="CR167" s="315">
        <v>-2316066</v>
      </c>
      <c r="CS167" s="315">
        <v>-970367</v>
      </c>
      <c r="CT167" s="315">
        <v>-855968</v>
      </c>
      <c r="CU167" s="315">
        <v>-30928</v>
      </c>
      <c r="CV167" s="315">
        <v>-409</v>
      </c>
      <c r="CW167" s="315">
        <v>-83062</v>
      </c>
      <c r="CX167" s="315">
        <v>-1025824</v>
      </c>
      <c r="CY167" s="315">
        <v>-637878</v>
      </c>
      <c r="CZ167" s="315">
        <v>-380812</v>
      </c>
      <c r="DA167" s="315">
        <v>-7134</v>
      </c>
      <c r="DB167" s="315">
        <v>-319875</v>
      </c>
      <c r="DC167" s="315">
        <v>0</v>
      </c>
      <c r="DD167" s="315">
        <v>7753046</v>
      </c>
      <c r="DE167" s="315">
        <v>5949927</v>
      </c>
      <c r="DF167" s="315">
        <v>1803119</v>
      </c>
      <c r="DG167" s="315">
        <v>1751529</v>
      </c>
      <c r="DH167" s="315">
        <v>51590</v>
      </c>
      <c r="DI167" s="315">
        <v>1598045</v>
      </c>
      <c r="DJ167" s="315">
        <v>38611</v>
      </c>
      <c r="DK167" s="315">
        <v>20123</v>
      </c>
      <c r="DL167" s="315">
        <v>825</v>
      </c>
      <c r="DM167" s="315">
        <v>905523</v>
      </c>
      <c r="DN167" s="315">
        <v>536431</v>
      </c>
      <c r="DO167" s="315">
        <v>96479</v>
      </c>
      <c r="DP167" s="315"/>
      <c r="DQ167" s="315"/>
      <c r="DR167" s="315">
        <v>53</v>
      </c>
      <c r="DS167" s="315">
        <v>-54457</v>
      </c>
      <c r="DT167" s="315">
        <v>-23456</v>
      </c>
      <c r="DU167" s="315">
        <v>-5798</v>
      </c>
      <c r="DV167" s="315">
        <v>-5</v>
      </c>
      <c r="DW167" s="315">
        <v>-17113</v>
      </c>
      <c r="DX167" s="315">
        <v>-15536</v>
      </c>
      <c r="DY167" s="315">
        <v>-395</v>
      </c>
      <c r="DZ167" s="315">
        <v>-1182</v>
      </c>
      <c r="EA167" s="315">
        <v>-7979</v>
      </c>
      <c r="EB167" s="315">
        <v>-5</v>
      </c>
      <c r="EC167" s="315"/>
      <c r="ED167" s="315"/>
      <c r="EE167" s="315">
        <v>-101</v>
      </c>
      <c r="EF167" s="315">
        <v>1543588</v>
      </c>
      <c r="EG167" s="315">
        <v>815418</v>
      </c>
      <c r="EH167" s="315">
        <v>728170</v>
      </c>
      <c r="EI167" s="315">
        <v>710561</v>
      </c>
      <c r="EJ167" s="315">
        <v>17609</v>
      </c>
      <c r="EK167" s="315">
        <v>15155</v>
      </c>
      <c r="EL167" s="315">
        <v>-19418</v>
      </c>
      <c r="EM167" s="315">
        <v>34573</v>
      </c>
      <c r="EN167" s="315">
        <v>33581</v>
      </c>
      <c r="EO167" s="315">
        <v>992</v>
      </c>
      <c r="EP167" s="315">
        <v>14325</v>
      </c>
      <c r="EQ167" s="315">
        <v>4249</v>
      </c>
      <c r="ER167" s="315">
        <v>10076</v>
      </c>
      <c r="ES167" s="315">
        <v>9800</v>
      </c>
      <c r="ET167" s="315">
        <v>276</v>
      </c>
      <c r="EU167" s="315">
        <v>820</v>
      </c>
      <c r="EV167" s="315">
        <v>47</v>
      </c>
      <c r="EW167" s="315">
        <v>773</v>
      </c>
      <c r="EX167" s="315">
        <v>751</v>
      </c>
      <c r="EY167" s="315">
        <v>22</v>
      </c>
      <c r="EZ167" s="315">
        <v>888410</v>
      </c>
      <c r="FA167" s="315">
        <v>523733</v>
      </c>
      <c r="FB167" s="315">
        <v>364677</v>
      </c>
      <c r="FC167" s="315">
        <v>354368</v>
      </c>
      <c r="FD167" s="315">
        <v>10309</v>
      </c>
      <c r="FE167" s="315">
        <v>528452</v>
      </c>
      <c r="FF167" s="315">
        <v>305470</v>
      </c>
      <c r="FG167" s="315">
        <v>222982</v>
      </c>
      <c r="FH167" s="315">
        <v>216972</v>
      </c>
      <c r="FI167" s="315">
        <v>6010</v>
      </c>
      <c r="FJ167" s="315">
        <v>96474</v>
      </c>
      <c r="FK167" s="315">
        <v>1385</v>
      </c>
      <c r="FL167" s="315">
        <v>95089</v>
      </c>
      <c r="FM167" s="315">
        <v>95089</v>
      </c>
      <c r="FN167" s="315"/>
      <c r="FO167" s="315"/>
      <c r="FP167" s="315"/>
      <c r="FQ167" s="315">
        <v>-48</v>
      </c>
      <c r="FR167" s="315">
        <v>643891</v>
      </c>
      <c r="FS167" s="315">
        <v>-16140</v>
      </c>
      <c r="FT167" s="315">
        <v>627751</v>
      </c>
      <c r="FU167" s="315"/>
      <c r="FV167" s="315"/>
      <c r="FW167" s="315"/>
      <c r="FX167" s="315">
        <v>107990</v>
      </c>
      <c r="FY167" s="315">
        <v>128274</v>
      </c>
      <c r="FZ167" s="315"/>
      <c r="GA167" s="315"/>
      <c r="GB167" s="315"/>
      <c r="GC167" s="315">
        <v>333115</v>
      </c>
      <c r="GD167" s="315">
        <v>282740</v>
      </c>
      <c r="GE167" s="315"/>
      <c r="GF167" s="315">
        <v>50375</v>
      </c>
      <c r="GG167" s="315">
        <v>58372</v>
      </c>
      <c r="GH167" s="315">
        <v>4585</v>
      </c>
      <c r="GI167" s="315">
        <v>1327</v>
      </c>
      <c r="GJ167" s="315">
        <v>52460</v>
      </c>
      <c r="GL167"/>
      <c r="GM167"/>
      <c r="GN167"/>
      <c r="GO167"/>
    </row>
    <row r="168" spans="1:197">
      <c r="A168" s="98" t="s">
        <v>26</v>
      </c>
      <c r="B168" s="98">
        <v>5</v>
      </c>
      <c r="C168" s="98" t="s">
        <v>221</v>
      </c>
      <c r="D168" s="315">
        <v>15181699</v>
      </c>
      <c r="E168" s="315">
        <v>-8220668</v>
      </c>
      <c r="F168" s="315">
        <v>-12751</v>
      </c>
      <c r="G168" s="315">
        <v>6948280</v>
      </c>
      <c r="H168" s="315">
        <v>2443307</v>
      </c>
      <c r="I168" s="315">
        <v>4504973</v>
      </c>
      <c r="J168" s="315">
        <v>4371632</v>
      </c>
      <c r="K168" s="315">
        <v>133341</v>
      </c>
      <c r="L168" s="315">
        <v>4629004</v>
      </c>
      <c r="M168" s="315">
        <v>3780136</v>
      </c>
      <c r="N168" s="315">
        <v>147181</v>
      </c>
      <c r="O168" s="315"/>
      <c r="P168" s="315"/>
      <c r="Q168" s="315">
        <v>34960</v>
      </c>
      <c r="R168" s="315">
        <v>666727</v>
      </c>
      <c r="S168" s="315">
        <v>-2542437</v>
      </c>
      <c r="T168" s="315">
        <v>-2533308</v>
      </c>
      <c r="U168" s="315">
        <v>-166013</v>
      </c>
      <c r="V168" s="315">
        <v>-335</v>
      </c>
      <c r="W168" s="315">
        <v>-2323284</v>
      </c>
      <c r="X168" s="315">
        <v>0</v>
      </c>
      <c r="Y168" s="315">
        <v>-43676</v>
      </c>
      <c r="Z168" s="315">
        <v>-2015</v>
      </c>
      <c r="AA168" s="315">
        <v>-7114</v>
      </c>
      <c r="AB168" s="315">
        <v>0</v>
      </c>
      <c r="AC168" s="315">
        <v>-12751</v>
      </c>
      <c r="AD168" s="315">
        <v>2073816</v>
      </c>
      <c r="AE168" s="315">
        <v>100221</v>
      </c>
      <c r="AF168" s="315">
        <v>1973595</v>
      </c>
      <c r="AG168" s="315">
        <v>1909539</v>
      </c>
      <c r="AH168" s="315">
        <v>64056</v>
      </c>
      <c r="AI168" s="315">
        <v>3774412</v>
      </c>
      <c r="AJ168" s="315">
        <v>1188380</v>
      </c>
      <c r="AK168" s="315">
        <v>2509220</v>
      </c>
      <c r="AL168" s="315">
        <v>35835</v>
      </c>
      <c r="AM168" s="315">
        <v>451784</v>
      </c>
      <c r="AN168" s="315">
        <v>55431</v>
      </c>
      <c r="AO168" s="315">
        <v>61800</v>
      </c>
      <c r="AP168" s="315"/>
      <c r="AQ168" s="315">
        <v>96218</v>
      </c>
      <c r="AR168" s="315">
        <v>-2386127</v>
      </c>
      <c r="AS168" s="315">
        <v>32945</v>
      </c>
      <c r="AT168" s="315">
        <v>104</v>
      </c>
      <c r="AU168" s="315">
        <v>-12751</v>
      </c>
      <c r="AV168" s="315">
        <v>3676397</v>
      </c>
      <c r="AW168" s="315">
        <v>3023712</v>
      </c>
      <c r="AX168" s="315">
        <v>319644</v>
      </c>
      <c r="AY168" s="315"/>
      <c r="AZ168" s="315"/>
      <c r="BA168" s="315"/>
      <c r="BB168" s="315"/>
      <c r="BC168" s="315">
        <v>91509</v>
      </c>
      <c r="BD168" s="315">
        <v>241532</v>
      </c>
      <c r="BE168" s="315">
        <v>-132487</v>
      </c>
      <c r="BF168" s="315">
        <v>-123680</v>
      </c>
      <c r="BG168" s="315">
        <v>-107769</v>
      </c>
      <c r="BH168" s="315">
        <v>-15911</v>
      </c>
      <c r="BI168" s="315">
        <v>0</v>
      </c>
      <c r="BJ168" s="315">
        <v>-56536</v>
      </c>
      <c r="BK168" s="315">
        <v>-67144</v>
      </c>
      <c r="BL168" s="315">
        <v>-2678</v>
      </c>
      <c r="BM168" s="315">
        <v>-6129</v>
      </c>
      <c r="BN168" s="315">
        <v>3543910</v>
      </c>
      <c r="BO168" s="315">
        <v>185681</v>
      </c>
      <c r="BP168" s="315">
        <v>22109</v>
      </c>
      <c r="BQ168" s="315">
        <v>26299</v>
      </c>
      <c r="BR168" s="315"/>
      <c r="BS168" s="315">
        <v>3021430</v>
      </c>
      <c r="BT168" s="315"/>
      <c r="BU168" s="315"/>
      <c r="BV168" s="315"/>
      <c r="BW168" s="315"/>
      <c r="BX168" s="315">
        <v>211875</v>
      </c>
      <c r="BY168" s="315">
        <v>75598</v>
      </c>
      <c r="BZ168" s="315">
        <v>918</v>
      </c>
      <c r="CA168" s="315">
        <v>128498</v>
      </c>
      <c r="CB168" s="315">
        <v>-13446</v>
      </c>
      <c r="CC168" s="315">
        <v>-8432</v>
      </c>
      <c r="CD168" s="315">
        <v>-5014</v>
      </c>
      <c r="CE168" s="315">
        <v>115052</v>
      </c>
      <c r="CF168" s="315">
        <v>108374</v>
      </c>
      <c r="CG168" s="315">
        <v>9579</v>
      </c>
      <c r="CH168" s="315">
        <v>-2901</v>
      </c>
      <c r="CI168" s="315">
        <v>4710574</v>
      </c>
      <c r="CJ168" s="315">
        <v>762469</v>
      </c>
      <c r="CK168" s="315">
        <v>3948105</v>
      </c>
      <c r="CL168" s="315">
        <v>3627745</v>
      </c>
      <c r="CM168" s="315">
        <v>51875</v>
      </c>
      <c r="CN168" s="315">
        <v>268485</v>
      </c>
      <c r="CO168" s="315">
        <v>0</v>
      </c>
      <c r="CP168" s="315">
        <v>0</v>
      </c>
      <c r="CQ168" s="315">
        <v>268485</v>
      </c>
      <c r="CR168" s="315">
        <v>-5473353</v>
      </c>
      <c r="CS168" s="315">
        <v>-3255890</v>
      </c>
      <c r="CT168" s="315">
        <v>-3073455</v>
      </c>
      <c r="CU168" s="315">
        <v>-33314</v>
      </c>
      <c r="CV168" s="315">
        <v>-717</v>
      </c>
      <c r="CW168" s="315">
        <v>-148404</v>
      </c>
      <c r="CX168" s="315">
        <v>-2217380</v>
      </c>
      <c r="CY168" s="315">
        <v>-1563023</v>
      </c>
      <c r="CZ168" s="315">
        <v>-619733</v>
      </c>
      <c r="DA168" s="315">
        <v>-34624</v>
      </c>
      <c r="DB168" s="315">
        <v>0</v>
      </c>
      <c r="DC168" s="315">
        <v>-83</v>
      </c>
      <c r="DD168" s="315">
        <v>-762779</v>
      </c>
      <c r="DE168" s="315">
        <v>-2565898</v>
      </c>
      <c r="DF168" s="315">
        <v>1803119</v>
      </c>
      <c r="DG168" s="315">
        <v>1751530</v>
      </c>
      <c r="DH168" s="315">
        <v>51589</v>
      </c>
      <c r="DI168" s="315">
        <v>1664311</v>
      </c>
      <c r="DJ168" s="315">
        <v>82056</v>
      </c>
      <c r="DK168" s="315">
        <v>20415</v>
      </c>
      <c r="DL168" s="315">
        <v>2062</v>
      </c>
      <c r="DM168" s="315">
        <v>862733</v>
      </c>
      <c r="DN168" s="315">
        <v>598468</v>
      </c>
      <c r="DO168" s="315">
        <v>98512</v>
      </c>
      <c r="DP168" s="315"/>
      <c r="DQ168" s="315"/>
      <c r="DR168" s="315">
        <v>65</v>
      </c>
      <c r="DS168" s="315">
        <v>-39748</v>
      </c>
      <c r="DT168" s="315">
        <v>-3855</v>
      </c>
      <c r="DU168" s="315">
        <v>-115</v>
      </c>
      <c r="DV168" s="315">
        <v>-12</v>
      </c>
      <c r="DW168" s="315">
        <v>-35307</v>
      </c>
      <c r="DX168" s="315">
        <v>-28863</v>
      </c>
      <c r="DY168" s="315">
        <v>-4354</v>
      </c>
      <c r="DZ168" s="315">
        <v>-2090</v>
      </c>
      <c r="EA168" s="315">
        <v>0</v>
      </c>
      <c r="EB168" s="315">
        <v>-2</v>
      </c>
      <c r="EC168" s="315"/>
      <c r="ED168" s="315"/>
      <c r="EE168" s="315">
        <v>-457</v>
      </c>
      <c r="EF168" s="315">
        <v>1624563</v>
      </c>
      <c r="EG168" s="315">
        <v>896304</v>
      </c>
      <c r="EH168" s="315">
        <v>728259</v>
      </c>
      <c r="EI168" s="315">
        <v>710563</v>
      </c>
      <c r="EJ168" s="315">
        <v>17696</v>
      </c>
      <c r="EK168" s="315">
        <v>78201</v>
      </c>
      <c r="EL168" s="315">
        <v>43626</v>
      </c>
      <c r="EM168" s="315">
        <v>34575</v>
      </c>
      <c r="EN168" s="315">
        <v>33582</v>
      </c>
      <c r="EO168" s="315">
        <v>993</v>
      </c>
      <c r="EP168" s="315">
        <v>20300</v>
      </c>
      <c r="EQ168" s="315">
        <v>10225</v>
      </c>
      <c r="ER168" s="315">
        <v>10075</v>
      </c>
      <c r="ES168" s="315">
        <v>9800</v>
      </c>
      <c r="ET168" s="315">
        <v>275</v>
      </c>
      <c r="EU168" s="315">
        <v>2050</v>
      </c>
      <c r="EV168" s="315">
        <v>1277</v>
      </c>
      <c r="EW168" s="315">
        <v>773</v>
      </c>
      <c r="EX168" s="315">
        <v>752</v>
      </c>
      <c r="EY168" s="315">
        <v>21</v>
      </c>
      <c r="EZ168" s="315">
        <v>827426</v>
      </c>
      <c r="FA168" s="315">
        <v>462747</v>
      </c>
      <c r="FB168" s="315">
        <v>364679</v>
      </c>
      <c r="FC168" s="315">
        <v>354368</v>
      </c>
      <c r="FD168" s="315">
        <v>10311</v>
      </c>
      <c r="FE168" s="315">
        <v>598468</v>
      </c>
      <c r="FF168" s="315">
        <v>375400</v>
      </c>
      <c r="FG168" s="315">
        <v>223068</v>
      </c>
      <c r="FH168" s="315">
        <v>216972</v>
      </c>
      <c r="FI168" s="315">
        <v>6096</v>
      </c>
      <c r="FJ168" s="315">
        <v>98510</v>
      </c>
      <c r="FK168" s="315">
        <v>3421</v>
      </c>
      <c r="FL168" s="315">
        <v>95089</v>
      </c>
      <c r="FM168" s="315">
        <v>95089</v>
      </c>
      <c r="FN168" s="315"/>
      <c r="FO168" s="315"/>
      <c r="FP168" s="315"/>
      <c r="FQ168" s="315">
        <v>-392</v>
      </c>
      <c r="FR168" s="315">
        <v>372915</v>
      </c>
      <c r="FS168" s="315">
        <v>-19197</v>
      </c>
      <c r="FT168" s="315">
        <v>353718</v>
      </c>
      <c r="FU168" s="315"/>
      <c r="FV168" s="315"/>
      <c r="FW168" s="315"/>
      <c r="FX168" s="315">
        <v>110508</v>
      </c>
      <c r="FY168" s="315">
        <v>138429</v>
      </c>
      <c r="FZ168" s="315"/>
      <c r="GA168" s="315"/>
      <c r="GB168" s="315"/>
      <c r="GC168" s="315">
        <v>61372</v>
      </c>
      <c r="GD168" s="315">
        <v>4349</v>
      </c>
      <c r="GE168" s="315"/>
      <c r="GF168" s="315">
        <v>57023</v>
      </c>
      <c r="GG168" s="315">
        <v>43409</v>
      </c>
      <c r="GH168" s="315">
        <v>5238</v>
      </c>
      <c r="GI168" s="315">
        <v>1102</v>
      </c>
      <c r="GJ168" s="315">
        <v>37069</v>
      </c>
      <c r="GL168"/>
      <c r="GM168"/>
      <c r="GN168"/>
      <c r="GO168"/>
    </row>
    <row r="169" spans="1:197">
      <c r="A169" s="98" t="s">
        <v>26</v>
      </c>
      <c r="B169" s="98">
        <v>6</v>
      </c>
      <c r="C169" s="98" t="s">
        <v>222</v>
      </c>
      <c r="D169" s="315">
        <v>13487796</v>
      </c>
      <c r="E169" s="315">
        <v>-3953467</v>
      </c>
      <c r="F169" s="315">
        <v>-12751</v>
      </c>
      <c r="G169" s="315">
        <v>9521578</v>
      </c>
      <c r="H169" s="315">
        <v>5016567</v>
      </c>
      <c r="I169" s="315">
        <v>4505011</v>
      </c>
      <c r="J169" s="315">
        <v>4371629</v>
      </c>
      <c r="K169" s="315">
        <v>133382</v>
      </c>
      <c r="L169" s="315">
        <v>5885394</v>
      </c>
      <c r="M169" s="315">
        <v>3822226</v>
      </c>
      <c r="N169" s="315">
        <v>1266713</v>
      </c>
      <c r="O169" s="315"/>
      <c r="P169" s="315"/>
      <c r="Q169" s="315">
        <v>30962</v>
      </c>
      <c r="R169" s="315">
        <v>765493</v>
      </c>
      <c r="S169" s="315">
        <v>-1967312</v>
      </c>
      <c r="T169" s="315">
        <v>-1961943</v>
      </c>
      <c r="U169" s="315">
        <v>-139118</v>
      </c>
      <c r="V169" s="315">
        <v>-164</v>
      </c>
      <c r="W169" s="315">
        <v>-1803215</v>
      </c>
      <c r="X169" s="315">
        <v>0</v>
      </c>
      <c r="Y169" s="315">
        <v>-19446</v>
      </c>
      <c r="Z169" s="315">
        <v>-1029</v>
      </c>
      <c r="AA169" s="315">
        <v>-4340</v>
      </c>
      <c r="AB169" s="315">
        <v>0</v>
      </c>
      <c r="AC169" s="315">
        <v>-12751</v>
      </c>
      <c r="AD169" s="315">
        <v>3905331</v>
      </c>
      <c r="AE169" s="315">
        <v>1931734</v>
      </c>
      <c r="AF169" s="315">
        <v>1973597</v>
      </c>
      <c r="AG169" s="315">
        <v>1909539</v>
      </c>
      <c r="AH169" s="315">
        <v>64058</v>
      </c>
      <c r="AI169" s="315">
        <v>3819077</v>
      </c>
      <c r="AJ169" s="315">
        <v>1276863</v>
      </c>
      <c r="AK169" s="315">
        <v>2474519</v>
      </c>
      <c r="AL169" s="315">
        <v>18032</v>
      </c>
      <c r="AM169" s="315">
        <v>640685</v>
      </c>
      <c r="AN169" s="315">
        <v>48725</v>
      </c>
      <c r="AO169" s="315">
        <v>65567</v>
      </c>
      <c r="AP169" s="315"/>
      <c r="AQ169" s="315">
        <v>9324</v>
      </c>
      <c r="AR169" s="315">
        <v>-695230</v>
      </c>
      <c r="AS169" s="315">
        <v>29933</v>
      </c>
      <c r="AT169" s="315">
        <v>1</v>
      </c>
      <c r="AU169" s="315">
        <v>-12751</v>
      </c>
      <c r="AV169" s="315">
        <v>661846</v>
      </c>
      <c r="AW169" s="315">
        <v>67227</v>
      </c>
      <c r="AX169" s="315">
        <v>233022</v>
      </c>
      <c r="AY169" s="315"/>
      <c r="AZ169" s="315"/>
      <c r="BA169" s="315"/>
      <c r="BB169" s="315"/>
      <c r="BC169" s="315">
        <v>43738</v>
      </c>
      <c r="BD169" s="315">
        <v>317859</v>
      </c>
      <c r="BE169" s="315">
        <v>-40953</v>
      </c>
      <c r="BF169" s="315">
        <v>-39006</v>
      </c>
      <c r="BG169" s="315">
        <v>-34528</v>
      </c>
      <c r="BH169" s="315">
        <v>-4478</v>
      </c>
      <c r="BI169" s="315">
        <v>0</v>
      </c>
      <c r="BJ169" s="315">
        <v>-20443</v>
      </c>
      <c r="BK169" s="315">
        <v>-18563</v>
      </c>
      <c r="BL169" s="315">
        <v>-1625</v>
      </c>
      <c r="BM169" s="315">
        <v>-322</v>
      </c>
      <c r="BN169" s="315">
        <v>620893</v>
      </c>
      <c r="BO169" s="315">
        <v>269685</v>
      </c>
      <c r="BP169" s="315">
        <v>19015</v>
      </c>
      <c r="BQ169" s="315">
        <v>27829</v>
      </c>
      <c r="BR169" s="315"/>
      <c r="BS169" s="315">
        <v>66059</v>
      </c>
      <c r="BT169" s="315"/>
      <c r="BU169" s="315"/>
      <c r="BV169" s="315"/>
      <c r="BW169" s="315"/>
      <c r="BX169" s="315">
        <v>198494</v>
      </c>
      <c r="BY169" s="315">
        <v>39260</v>
      </c>
      <c r="BZ169" s="315">
        <v>551</v>
      </c>
      <c r="CA169" s="315">
        <v>268453</v>
      </c>
      <c r="CB169" s="315">
        <v>-7420</v>
      </c>
      <c r="CC169" s="315">
        <v>-7156</v>
      </c>
      <c r="CD169" s="315">
        <v>-264</v>
      </c>
      <c r="CE169" s="315">
        <v>261033</v>
      </c>
      <c r="CF169" s="315">
        <v>253147</v>
      </c>
      <c r="CG169" s="315">
        <v>134</v>
      </c>
      <c r="CH169" s="315">
        <v>7752</v>
      </c>
      <c r="CI169" s="315">
        <v>4605221</v>
      </c>
      <c r="CJ169" s="315">
        <v>829845</v>
      </c>
      <c r="CK169" s="315">
        <v>3775376</v>
      </c>
      <c r="CL169" s="315">
        <v>3550238</v>
      </c>
      <c r="CM169" s="315">
        <v>22655</v>
      </c>
      <c r="CN169" s="315">
        <v>202483</v>
      </c>
      <c r="CO169" s="315">
        <v>0</v>
      </c>
      <c r="CP169" s="315">
        <v>0</v>
      </c>
      <c r="CQ169" s="315">
        <v>202483</v>
      </c>
      <c r="CR169" s="315">
        <v>-1905503</v>
      </c>
      <c r="CS169" s="315">
        <v>-1174887</v>
      </c>
      <c r="CT169" s="315">
        <v>-1072534</v>
      </c>
      <c r="CU169" s="315">
        <v>-13273</v>
      </c>
      <c r="CV169" s="315">
        <v>-924</v>
      </c>
      <c r="CW169" s="315">
        <v>-88156</v>
      </c>
      <c r="CX169" s="315">
        <v>-667918</v>
      </c>
      <c r="CY169" s="315">
        <v>-510573</v>
      </c>
      <c r="CZ169" s="315">
        <v>-141947</v>
      </c>
      <c r="DA169" s="315">
        <v>-15398</v>
      </c>
      <c r="DB169" s="315">
        <v>0</v>
      </c>
      <c r="DC169" s="315">
        <v>-62698</v>
      </c>
      <c r="DD169" s="315">
        <v>2699718</v>
      </c>
      <c r="DE169" s="315">
        <v>896599</v>
      </c>
      <c r="DF169" s="315">
        <v>1803119</v>
      </c>
      <c r="DG169" s="315">
        <v>1751529</v>
      </c>
      <c r="DH169" s="315">
        <v>51590</v>
      </c>
      <c r="DI169" s="315">
        <v>1657492</v>
      </c>
      <c r="DJ169" s="315">
        <v>66779</v>
      </c>
      <c r="DK169" s="315">
        <v>22646</v>
      </c>
      <c r="DL169" s="315">
        <v>1279</v>
      </c>
      <c r="DM169" s="315">
        <v>861504</v>
      </c>
      <c r="DN169" s="315">
        <v>614125</v>
      </c>
      <c r="DO169" s="315">
        <v>90794</v>
      </c>
      <c r="DP169" s="315"/>
      <c r="DQ169" s="315"/>
      <c r="DR169" s="315">
        <v>365</v>
      </c>
      <c r="DS169" s="315">
        <v>-24777</v>
      </c>
      <c r="DT169" s="315">
        <v>-1323</v>
      </c>
      <c r="DU169" s="315">
        <v>-16</v>
      </c>
      <c r="DV169" s="315">
        <v>-9</v>
      </c>
      <c r="DW169" s="315">
        <v>-13238</v>
      </c>
      <c r="DX169" s="315">
        <v>-11382</v>
      </c>
      <c r="DY169" s="315">
        <v>-1141</v>
      </c>
      <c r="DZ169" s="315">
        <v>-715</v>
      </c>
      <c r="EA169" s="315">
        <v>-10175</v>
      </c>
      <c r="EB169" s="315">
        <v>-2</v>
      </c>
      <c r="EC169" s="315"/>
      <c r="ED169" s="315"/>
      <c r="EE169" s="315">
        <v>-14</v>
      </c>
      <c r="EF169" s="315">
        <v>1632715</v>
      </c>
      <c r="EG169" s="315">
        <v>904420</v>
      </c>
      <c r="EH169" s="315">
        <v>728295</v>
      </c>
      <c r="EI169" s="315">
        <v>710561</v>
      </c>
      <c r="EJ169" s="315">
        <v>17734</v>
      </c>
      <c r="EK169" s="315">
        <v>65456</v>
      </c>
      <c r="EL169" s="315">
        <v>30882</v>
      </c>
      <c r="EM169" s="315">
        <v>34574</v>
      </c>
      <c r="EN169" s="315">
        <v>33581</v>
      </c>
      <c r="EO169" s="315">
        <v>993</v>
      </c>
      <c r="EP169" s="315">
        <v>22630</v>
      </c>
      <c r="EQ169" s="315">
        <v>12553</v>
      </c>
      <c r="ER169" s="315">
        <v>10077</v>
      </c>
      <c r="ES169" s="315">
        <v>9800</v>
      </c>
      <c r="ET169" s="315">
        <v>277</v>
      </c>
      <c r="EU169" s="315">
        <v>1270</v>
      </c>
      <c r="EV169" s="315">
        <v>498</v>
      </c>
      <c r="EW169" s="315">
        <v>772</v>
      </c>
      <c r="EX169" s="315">
        <v>751</v>
      </c>
      <c r="EY169" s="315">
        <v>21</v>
      </c>
      <c r="EZ169" s="315">
        <v>848266</v>
      </c>
      <c r="FA169" s="315">
        <v>483589</v>
      </c>
      <c r="FB169" s="315">
        <v>364677</v>
      </c>
      <c r="FC169" s="315">
        <v>354368</v>
      </c>
      <c r="FD169" s="315">
        <v>10309</v>
      </c>
      <c r="FE169" s="315">
        <v>603950</v>
      </c>
      <c r="FF169" s="315">
        <v>380844</v>
      </c>
      <c r="FG169" s="315">
        <v>223106</v>
      </c>
      <c r="FH169" s="315">
        <v>216972</v>
      </c>
      <c r="FI169" s="315">
        <v>6134</v>
      </c>
      <c r="FJ169" s="315">
        <v>90792</v>
      </c>
      <c r="FK169" s="315">
        <v>-4297</v>
      </c>
      <c r="FL169" s="315">
        <v>95089</v>
      </c>
      <c r="FM169" s="315">
        <v>95089</v>
      </c>
      <c r="FN169" s="315"/>
      <c r="FO169" s="315"/>
      <c r="FP169" s="315"/>
      <c r="FQ169" s="315">
        <v>351</v>
      </c>
      <c r="FR169" s="315">
        <v>409390</v>
      </c>
      <c r="FS169" s="315">
        <v>-7502</v>
      </c>
      <c r="FT169" s="315">
        <v>401888</v>
      </c>
      <c r="FU169" s="315"/>
      <c r="FV169" s="315"/>
      <c r="FW169" s="315"/>
      <c r="FX169" s="315">
        <v>118415</v>
      </c>
      <c r="FY169" s="315">
        <v>125431</v>
      </c>
      <c r="FZ169" s="315"/>
      <c r="GA169" s="315"/>
      <c r="GB169" s="315"/>
      <c r="GC169" s="315">
        <v>72550</v>
      </c>
      <c r="GD169" s="315">
        <v>10611</v>
      </c>
      <c r="GE169" s="315"/>
      <c r="GF169" s="315">
        <v>61939</v>
      </c>
      <c r="GG169" s="315">
        <v>85492</v>
      </c>
      <c r="GH169" s="315">
        <v>8142</v>
      </c>
      <c r="GI169" s="315">
        <v>867</v>
      </c>
      <c r="GJ169" s="315">
        <v>76483</v>
      </c>
      <c r="GL169"/>
      <c r="GM169"/>
      <c r="GN169"/>
      <c r="GO169"/>
    </row>
    <row r="170" spans="1:197">
      <c r="A170" s="98" t="s">
        <v>26</v>
      </c>
      <c r="B170" s="98">
        <v>7</v>
      </c>
      <c r="C170" s="98" t="s">
        <v>223</v>
      </c>
      <c r="D170" s="315">
        <v>29001045</v>
      </c>
      <c r="E170" s="315">
        <v>-9155020</v>
      </c>
      <c r="F170" s="315">
        <v>-12751</v>
      </c>
      <c r="G170" s="315">
        <v>19833274</v>
      </c>
      <c r="H170" s="315">
        <v>10060341</v>
      </c>
      <c r="I170" s="315">
        <v>9772933</v>
      </c>
      <c r="J170" s="315">
        <v>9534036</v>
      </c>
      <c r="K170" s="315">
        <v>238897</v>
      </c>
      <c r="L170" s="315">
        <v>13713901</v>
      </c>
      <c r="M170" s="315">
        <v>7348501</v>
      </c>
      <c r="N170" s="315">
        <v>4633580</v>
      </c>
      <c r="O170" s="315"/>
      <c r="P170" s="315"/>
      <c r="Q170" s="315">
        <v>33808</v>
      </c>
      <c r="R170" s="315">
        <v>1698012</v>
      </c>
      <c r="S170" s="315">
        <v>-4397884</v>
      </c>
      <c r="T170" s="315">
        <v>-4382044</v>
      </c>
      <c r="U170" s="315">
        <v>-152638</v>
      </c>
      <c r="V170" s="315">
        <v>-79</v>
      </c>
      <c r="W170" s="315">
        <v>-4199604</v>
      </c>
      <c r="X170" s="315">
        <v>0</v>
      </c>
      <c r="Y170" s="315">
        <v>-29723</v>
      </c>
      <c r="Z170" s="315">
        <v>-8005</v>
      </c>
      <c r="AA170" s="315">
        <v>-7835</v>
      </c>
      <c r="AB170" s="315">
        <v>0</v>
      </c>
      <c r="AC170" s="315">
        <v>-12751</v>
      </c>
      <c r="AD170" s="315">
        <v>9303266</v>
      </c>
      <c r="AE170" s="315">
        <v>3105123</v>
      </c>
      <c r="AF170" s="315">
        <v>6198143</v>
      </c>
      <c r="AG170" s="315">
        <v>6068864</v>
      </c>
      <c r="AH170" s="315">
        <v>129279</v>
      </c>
      <c r="AI170" s="315">
        <v>7343053</v>
      </c>
      <c r="AJ170" s="315">
        <v>1217265</v>
      </c>
      <c r="AK170" s="315">
        <v>2356411</v>
      </c>
      <c r="AL170" s="315">
        <v>3712297</v>
      </c>
      <c r="AM170" s="315">
        <v>629573</v>
      </c>
      <c r="AN170" s="315">
        <v>410097</v>
      </c>
      <c r="AO170" s="315">
        <v>90827</v>
      </c>
      <c r="AP170" s="315"/>
      <c r="AQ170" s="315">
        <v>565128</v>
      </c>
      <c r="AR170" s="315">
        <v>251536</v>
      </c>
      <c r="AS170" s="315">
        <v>25803</v>
      </c>
      <c r="AT170" s="315">
        <v>0</v>
      </c>
      <c r="AU170" s="315">
        <v>-12751</v>
      </c>
      <c r="AV170" s="315">
        <v>1948199</v>
      </c>
      <c r="AW170" s="315">
        <v>33141</v>
      </c>
      <c r="AX170" s="315">
        <v>830845</v>
      </c>
      <c r="AY170" s="315"/>
      <c r="AZ170" s="315"/>
      <c r="BA170" s="315"/>
      <c r="BB170" s="315"/>
      <c r="BC170" s="315">
        <v>79167</v>
      </c>
      <c r="BD170" s="315">
        <v>1005046</v>
      </c>
      <c r="BE170" s="315">
        <v>-79068</v>
      </c>
      <c r="BF170" s="315">
        <v>-72758</v>
      </c>
      <c r="BG170" s="315">
        <v>-55016</v>
      </c>
      <c r="BH170" s="315">
        <v>-17742</v>
      </c>
      <c r="BI170" s="315">
        <v>0</v>
      </c>
      <c r="BJ170" s="315">
        <v>-32184</v>
      </c>
      <c r="BK170" s="315">
        <v>-40574</v>
      </c>
      <c r="BL170" s="315">
        <v>-6300</v>
      </c>
      <c r="BM170" s="315">
        <v>-10</v>
      </c>
      <c r="BN170" s="315">
        <v>1869131</v>
      </c>
      <c r="BO170" s="315">
        <v>793057</v>
      </c>
      <c r="BP170" s="315">
        <v>172389</v>
      </c>
      <c r="BQ170" s="315">
        <v>38645</v>
      </c>
      <c r="BR170" s="315"/>
      <c r="BS170" s="315">
        <v>27780</v>
      </c>
      <c r="BT170" s="315"/>
      <c r="BU170" s="315"/>
      <c r="BV170" s="315"/>
      <c r="BW170" s="315"/>
      <c r="BX170" s="315">
        <v>775829</v>
      </c>
      <c r="BY170" s="315">
        <v>61425</v>
      </c>
      <c r="BZ170" s="315">
        <v>6</v>
      </c>
      <c r="CA170" s="315">
        <v>630391</v>
      </c>
      <c r="CB170" s="315">
        <v>-13966</v>
      </c>
      <c r="CC170" s="315">
        <v>-13874</v>
      </c>
      <c r="CD170" s="315">
        <v>-92</v>
      </c>
      <c r="CE170" s="315">
        <v>616425</v>
      </c>
      <c r="CF170" s="315">
        <v>143821</v>
      </c>
      <c r="CG170" s="315">
        <v>12</v>
      </c>
      <c r="CH170" s="315">
        <v>472592</v>
      </c>
      <c r="CI170" s="315">
        <v>10676970</v>
      </c>
      <c r="CJ170" s="315">
        <v>804716</v>
      </c>
      <c r="CK170" s="315">
        <v>9872254</v>
      </c>
      <c r="CL170" s="315">
        <v>3925475</v>
      </c>
      <c r="CM170" s="315">
        <v>5681685</v>
      </c>
      <c r="CN170" s="315">
        <v>265094</v>
      </c>
      <c r="CO170" s="315">
        <v>16</v>
      </c>
      <c r="CP170" s="315">
        <v>0</v>
      </c>
      <c r="CQ170" s="315">
        <v>265078</v>
      </c>
      <c r="CR170" s="315">
        <v>-4606729</v>
      </c>
      <c r="CS170" s="315">
        <v>-3047639</v>
      </c>
      <c r="CT170" s="315">
        <v>-2945505</v>
      </c>
      <c r="CU170" s="315">
        <v>-6852</v>
      </c>
      <c r="CV170" s="315">
        <v>-1526</v>
      </c>
      <c r="CW170" s="315">
        <v>-93756</v>
      </c>
      <c r="CX170" s="315">
        <v>-1308790</v>
      </c>
      <c r="CY170" s="315">
        <v>-1007451</v>
      </c>
      <c r="CZ170" s="315">
        <v>-297503</v>
      </c>
      <c r="DA170" s="315">
        <v>-3836</v>
      </c>
      <c r="DB170" s="315">
        <v>-250300</v>
      </c>
      <c r="DC170" s="315">
        <v>0</v>
      </c>
      <c r="DD170" s="315">
        <v>6070241</v>
      </c>
      <c r="DE170" s="315">
        <v>2830906</v>
      </c>
      <c r="DF170" s="315">
        <v>3239335</v>
      </c>
      <c r="DG170" s="315">
        <v>3125930</v>
      </c>
      <c r="DH170" s="315">
        <v>113405</v>
      </c>
      <c r="DI170" s="315">
        <v>1621637</v>
      </c>
      <c r="DJ170" s="315">
        <v>42372</v>
      </c>
      <c r="DK170" s="315">
        <v>25505</v>
      </c>
      <c r="DL170" s="315">
        <v>1222</v>
      </c>
      <c r="DM170" s="315">
        <v>843926</v>
      </c>
      <c r="DN170" s="315">
        <v>617718</v>
      </c>
      <c r="DO170" s="315">
        <v>90783</v>
      </c>
      <c r="DP170" s="315"/>
      <c r="DQ170" s="315"/>
      <c r="DR170" s="315">
        <v>111</v>
      </c>
      <c r="DS170" s="315">
        <v>-43299</v>
      </c>
      <c r="DT170" s="315">
        <v>-13674</v>
      </c>
      <c r="DU170" s="315">
        <v>-3325</v>
      </c>
      <c r="DV170" s="315">
        <v>-42</v>
      </c>
      <c r="DW170" s="315">
        <v>-20737</v>
      </c>
      <c r="DX170" s="315">
        <v>-19115</v>
      </c>
      <c r="DY170" s="315">
        <v>-886</v>
      </c>
      <c r="DZ170" s="315">
        <v>-736</v>
      </c>
      <c r="EA170" s="315">
        <v>-5048</v>
      </c>
      <c r="EB170" s="315">
        <v>-118</v>
      </c>
      <c r="EC170" s="315"/>
      <c r="ED170" s="315"/>
      <c r="EE170" s="315">
        <v>-355</v>
      </c>
      <c r="EF170" s="315">
        <v>1578338</v>
      </c>
      <c r="EG170" s="315">
        <v>1242883</v>
      </c>
      <c r="EH170" s="315">
        <v>335455</v>
      </c>
      <c r="EI170" s="315">
        <v>339242</v>
      </c>
      <c r="EJ170" s="315">
        <v>-3787</v>
      </c>
      <c r="EK170" s="315">
        <v>28698</v>
      </c>
      <c r="EL170" s="315">
        <v>24896</v>
      </c>
      <c r="EM170" s="315">
        <v>3802</v>
      </c>
      <c r="EN170" s="315">
        <v>4326</v>
      </c>
      <c r="EO170" s="315">
        <v>-524</v>
      </c>
      <c r="EP170" s="315">
        <v>22180</v>
      </c>
      <c r="EQ170" s="315">
        <v>11687</v>
      </c>
      <c r="ER170" s="315">
        <v>10493</v>
      </c>
      <c r="ES170" s="315">
        <v>10232</v>
      </c>
      <c r="ET170" s="315">
        <v>261</v>
      </c>
      <c r="EU170" s="315">
        <v>1180</v>
      </c>
      <c r="EV170" s="315">
        <v>552</v>
      </c>
      <c r="EW170" s="315">
        <v>628</v>
      </c>
      <c r="EX170" s="315">
        <v>615</v>
      </c>
      <c r="EY170" s="315">
        <v>13</v>
      </c>
      <c r="EZ170" s="315">
        <v>823189</v>
      </c>
      <c r="FA170" s="315">
        <v>642347</v>
      </c>
      <c r="FB170" s="315">
        <v>180842</v>
      </c>
      <c r="FC170" s="315">
        <v>179288</v>
      </c>
      <c r="FD170" s="315">
        <v>1554</v>
      </c>
      <c r="FE170" s="315">
        <v>612670</v>
      </c>
      <c r="FF170" s="315">
        <v>580082</v>
      </c>
      <c r="FG170" s="315">
        <v>32588</v>
      </c>
      <c r="FH170" s="315">
        <v>37679</v>
      </c>
      <c r="FI170" s="315">
        <v>-5091</v>
      </c>
      <c r="FJ170" s="315">
        <v>90665</v>
      </c>
      <c r="FK170" s="315">
        <v>-16437</v>
      </c>
      <c r="FL170" s="315">
        <v>107102</v>
      </c>
      <c r="FM170" s="315">
        <v>107102</v>
      </c>
      <c r="FN170" s="315"/>
      <c r="FO170" s="315"/>
      <c r="FP170" s="315"/>
      <c r="FQ170" s="315">
        <v>-244</v>
      </c>
      <c r="FR170" s="315">
        <v>409947</v>
      </c>
      <c r="FS170" s="315">
        <v>-14074</v>
      </c>
      <c r="FT170" s="315">
        <v>395873</v>
      </c>
      <c r="FU170" s="315"/>
      <c r="FV170" s="315"/>
      <c r="FW170" s="315"/>
      <c r="FX170" s="315">
        <v>131628</v>
      </c>
      <c r="FY170" s="315">
        <v>128448</v>
      </c>
      <c r="FZ170" s="315"/>
      <c r="GA170" s="315"/>
      <c r="GB170" s="315"/>
      <c r="GC170" s="315">
        <v>56768</v>
      </c>
      <c r="GD170" s="315">
        <v>7169</v>
      </c>
      <c r="GE170" s="315"/>
      <c r="GF170" s="315">
        <v>49599</v>
      </c>
      <c r="GG170" s="315">
        <v>79029</v>
      </c>
      <c r="GH170" s="315">
        <v>10517</v>
      </c>
      <c r="GI170" s="315">
        <v>943</v>
      </c>
      <c r="GJ170" s="315">
        <v>67569</v>
      </c>
      <c r="GL170"/>
      <c r="GM170"/>
      <c r="GN170"/>
      <c r="GO170"/>
    </row>
    <row r="171" spans="1:197">
      <c r="A171" s="98" t="s">
        <v>26</v>
      </c>
      <c r="B171" s="98">
        <v>8</v>
      </c>
      <c r="C171" s="98" t="s">
        <v>224</v>
      </c>
      <c r="D171" s="315">
        <v>15768739</v>
      </c>
      <c r="E171" s="315">
        <v>-7411128</v>
      </c>
      <c r="F171" s="315">
        <v>-12752</v>
      </c>
      <c r="G171" s="315">
        <v>8344859</v>
      </c>
      <c r="H171" s="315">
        <v>3839760</v>
      </c>
      <c r="I171" s="315">
        <v>4505099</v>
      </c>
      <c r="J171" s="315">
        <v>4371629</v>
      </c>
      <c r="K171" s="315">
        <v>133470</v>
      </c>
      <c r="L171" s="315">
        <v>756780</v>
      </c>
      <c r="M171" s="315">
        <v>620926</v>
      </c>
      <c r="N171" s="315">
        <v>61895</v>
      </c>
      <c r="O171" s="315"/>
      <c r="P171" s="315"/>
      <c r="Q171" s="315">
        <v>34358</v>
      </c>
      <c r="R171" s="315">
        <v>39601</v>
      </c>
      <c r="S171" s="315">
        <v>-695218</v>
      </c>
      <c r="T171" s="315">
        <v>-689250</v>
      </c>
      <c r="U171" s="315">
        <v>-128231</v>
      </c>
      <c r="V171" s="315">
        <v>-26</v>
      </c>
      <c r="W171" s="315">
        <v>-545914</v>
      </c>
      <c r="X171" s="315">
        <v>0</v>
      </c>
      <c r="Y171" s="315">
        <v>-15079</v>
      </c>
      <c r="Z171" s="315">
        <v>-1460</v>
      </c>
      <c r="AA171" s="315">
        <v>-4508</v>
      </c>
      <c r="AB171" s="315">
        <v>0</v>
      </c>
      <c r="AC171" s="315">
        <v>-12752</v>
      </c>
      <c r="AD171" s="315">
        <v>48810</v>
      </c>
      <c r="AE171" s="315">
        <v>-1924788</v>
      </c>
      <c r="AF171" s="315">
        <v>1973598</v>
      </c>
      <c r="AG171" s="315">
        <v>1909538</v>
      </c>
      <c r="AH171" s="315">
        <v>64060</v>
      </c>
      <c r="AI171" s="315">
        <v>616902</v>
      </c>
      <c r="AJ171" s="315">
        <v>379816</v>
      </c>
      <c r="AK171" s="315">
        <v>164040</v>
      </c>
      <c r="AL171" s="315">
        <v>32880</v>
      </c>
      <c r="AM171" s="315">
        <v>15013</v>
      </c>
      <c r="AN171" s="315">
        <v>10439</v>
      </c>
      <c r="AO171" s="315">
        <v>2671</v>
      </c>
      <c r="AP171" s="315"/>
      <c r="AQ171" s="315">
        <v>10994</v>
      </c>
      <c r="AR171" s="315">
        <v>-627355</v>
      </c>
      <c r="AS171" s="315">
        <v>32898</v>
      </c>
      <c r="AT171" s="315">
        <v>0</v>
      </c>
      <c r="AU171" s="315">
        <v>-12752</v>
      </c>
      <c r="AV171" s="315">
        <v>11527529</v>
      </c>
      <c r="AW171" s="315">
        <v>13711</v>
      </c>
      <c r="AX171" s="315">
        <v>11342072</v>
      </c>
      <c r="AY171" s="315"/>
      <c r="AZ171" s="315"/>
      <c r="BA171" s="315"/>
      <c r="BB171" s="315"/>
      <c r="BC171" s="315">
        <v>159512</v>
      </c>
      <c r="BD171" s="315">
        <v>12234</v>
      </c>
      <c r="BE171" s="315">
        <v>-541562</v>
      </c>
      <c r="BF171" s="315">
        <v>-58930</v>
      </c>
      <c r="BG171" s="315">
        <v>-28360</v>
      </c>
      <c r="BH171" s="315">
        <v>-30570</v>
      </c>
      <c r="BI171" s="315">
        <v>0</v>
      </c>
      <c r="BJ171" s="315">
        <v>-14894</v>
      </c>
      <c r="BK171" s="315">
        <v>-44036</v>
      </c>
      <c r="BL171" s="315">
        <v>-1256</v>
      </c>
      <c r="BM171" s="315">
        <v>-481376</v>
      </c>
      <c r="BN171" s="315">
        <v>10985967</v>
      </c>
      <c r="BO171" s="315">
        <v>-473475</v>
      </c>
      <c r="BP171" s="315">
        <v>3083</v>
      </c>
      <c r="BQ171" s="315">
        <v>1074</v>
      </c>
      <c r="BR171" s="315"/>
      <c r="BS171" s="315">
        <v>12610</v>
      </c>
      <c r="BT171" s="315"/>
      <c r="BU171" s="315"/>
      <c r="BV171" s="315"/>
      <c r="BW171" s="315"/>
      <c r="BX171" s="315">
        <v>11313712</v>
      </c>
      <c r="BY171" s="315">
        <v>128942</v>
      </c>
      <c r="BZ171" s="315">
        <v>21</v>
      </c>
      <c r="CA171" s="315">
        <v>155334</v>
      </c>
      <c r="CB171" s="315">
        <v>-398342</v>
      </c>
      <c r="CC171" s="315">
        <v>-4490</v>
      </c>
      <c r="CD171" s="315">
        <v>-393852</v>
      </c>
      <c r="CE171" s="315">
        <v>-243008</v>
      </c>
      <c r="CF171" s="315">
        <v>14024</v>
      </c>
      <c r="CG171" s="315">
        <v>6</v>
      </c>
      <c r="CH171" s="315">
        <v>-257038</v>
      </c>
      <c r="CI171" s="315">
        <v>1209614</v>
      </c>
      <c r="CJ171" s="315">
        <v>847058</v>
      </c>
      <c r="CK171" s="315">
        <v>362556</v>
      </c>
      <c r="CL171" s="315">
        <v>97664</v>
      </c>
      <c r="CM171" s="315">
        <v>53337</v>
      </c>
      <c r="CN171" s="315">
        <v>211555</v>
      </c>
      <c r="CO171" s="315">
        <v>0</v>
      </c>
      <c r="CP171" s="315">
        <v>0</v>
      </c>
      <c r="CQ171" s="315">
        <v>211555</v>
      </c>
      <c r="CR171" s="315">
        <v>-5750008</v>
      </c>
      <c r="CS171" s="315">
        <v>-4945691</v>
      </c>
      <c r="CT171" s="315">
        <v>-4878713</v>
      </c>
      <c r="CU171" s="315">
        <v>-15424</v>
      </c>
      <c r="CV171" s="315">
        <v>-676</v>
      </c>
      <c r="CW171" s="315">
        <v>-50878</v>
      </c>
      <c r="CX171" s="315">
        <v>-804317</v>
      </c>
      <c r="CY171" s="315">
        <v>-720778</v>
      </c>
      <c r="CZ171" s="315">
        <v>-82504</v>
      </c>
      <c r="DA171" s="315">
        <v>-1035</v>
      </c>
      <c r="DB171" s="315">
        <v>0</v>
      </c>
      <c r="DC171" s="315">
        <v>0</v>
      </c>
      <c r="DD171" s="315">
        <v>-4540394</v>
      </c>
      <c r="DE171" s="315">
        <v>-6343512</v>
      </c>
      <c r="DF171" s="315">
        <v>1803118</v>
      </c>
      <c r="DG171" s="315">
        <v>1751529</v>
      </c>
      <c r="DH171" s="315">
        <v>51589</v>
      </c>
      <c r="DI171" s="315">
        <v>1834717</v>
      </c>
      <c r="DJ171" s="315">
        <v>98885</v>
      </c>
      <c r="DK171" s="315">
        <v>29067</v>
      </c>
      <c r="DL171" s="315">
        <v>2621</v>
      </c>
      <c r="DM171" s="315">
        <v>918564</v>
      </c>
      <c r="DN171" s="315">
        <v>690522</v>
      </c>
      <c r="DO171" s="315">
        <v>94918</v>
      </c>
      <c r="DP171" s="315"/>
      <c r="DQ171" s="315"/>
      <c r="DR171" s="315">
        <v>140</v>
      </c>
      <c r="DS171" s="315">
        <v>-11042</v>
      </c>
      <c r="DT171" s="315">
        <v>-2514</v>
      </c>
      <c r="DU171" s="315">
        <v>-55</v>
      </c>
      <c r="DV171" s="315">
        <v>-9</v>
      </c>
      <c r="DW171" s="315">
        <v>-8456</v>
      </c>
      <c r="DX171" s="315">
        <v>-4439</v>
      </c>
      <c r="DY171" s="315">
        <v>-3436</v>
      </c>
      <c r="DZ171" s="315">
        <v>-581</v>
      </c>
      <c r="EA171" s="315">
        <v>0</v>
      </c>
      <c r="EB171" s="315">
        <v>0</v>
      </c>
      <c r="EC171" s="315"/>
      <c r="ED171" s="315"/>
      <c r="EE171" s="315">
        <v>-8</v>
      </c>
      <c r="EF171" s="315">
        <v>1823675</v>
      </c>
      <c r="EG171" s="315">
        <v>1095292</v>
      </c>
      <c r="EH171" s="315">
        <v>728383</v>
      </c>
      <c r="EI171" s="315">
        <v>710562</v>
      </c>
      <c r="EJ171" s="315">
        <v>17821</v>
      </c>
      <c r="EK171" s="315">
        <v>96371</v>
      </c>
      <c r="EL171" s="315">
        <v>61795</v>
      </c>
      <c r="EM171" s="315">
        <v>34576</v>
      </c>
      <c r="EN171" s="315">
        <v>33582</v>
      </c>
      <c r="EO171" s="315">
        <v>994</v>
      </c>
      <c r="EP171" s="315">
        <v>29012</v>
      </c>
      <c r="EQ171" s="315">
        <v>18936</v>
      </c>
      <c r="ER171" s="315">
        <v>10076</v>
      </c>
      <c r="ES171" s="315">
        <v>9800</v>
      </c>
      <c r="ET171" s="315">
        <v>276</v>
      </c>
      <c r="EU171" s="315">
        <v>2612</v>
      </c>
      <c r="EV171" s="315">
        <v>1840</v>
      </c>
      <c r="EW171" s="315">
        <v>772</v>
      </c>
      <c r="EX171" s="315">
        <v>751</v>
      </c>
      <c r="EY171" s="315">
        <v>21</v>
      </c>
      <c r="EZ171" s="315">
        <v>910108</v>
      </c>
      <c r="FA171" s="315">
        <v>545430</v>
      </c>
      <c r="FB171" s="315">
        <v>364678</v>
      </c>
      <c r="FC171" s="315">
        <v>354368</v>
      </c>
      <c r="FD171" s="315">
        <v>10310</v>
      </c>
      <c r="FE171" s="315">
        <v>690522</v>
      </c>
      <c r="FF171" s="315">
        <v>467330</v>
      </c>
      <c r="FG171" s="315">
        <v>223192</v>
      </c>
      <c r="FH171" s="315">
        <v>216972</v>
      </c>
      <c r="FI171" s="315">
        <v>6220</v>
      </c>
      <c r="FJ171" s="315">
        <v>94918</v>
      </c>
      <c r="FK171" s="315">
        <v>-171</v>
      </c>
      <c r="FL171" s="315">
        <v>95089</v>
      </c>
      <c r="FM171" s="315">
        <v>95089</v>
      </c>
      <c r="FN171" s="315"/>
      <c r="FO171" s="315"/>
      <c r="FP171" s="315"/>
      <c r="FQ171" s="315">
        <v>132</v>
      </c>
      <c r="FR171" s="315">
        <v>284765</v>
      </c>
      <c r="FS171" s="315">
        <v>-14956</v>
      </c>
      <c r="FT171" s="315">
        <v>269809</v>
      </c>
      <c r="FU171" s="315"/>
      <c r="FV171" s="315"/>
      <c r="FW171" s="315"/>
      <c r="FX171" s="315">
        <v>144460</v>
      </c>
      <c r="FY171" s="315">
        <v>3538</v>
      </c>
      <c r="FZ171" s="315"/>
      <c r="GA171" s="315"/>
      <c r="GB171" s="315"/>
      <c r="GC171" s="315">
        <v>52749</v>
      </c>
      <c r="GD171" s="315">
        <v>402</v>
      </c>
      <c r="GE171" s="315"/>
      <c r="GF171" s="315">
        <v>52347</v>
      </c>
      <c r="GG171" s="315">
        <v>69062</v>
      </c>
      <c r="GH171" s="315">
        <v>4353</v>
      </c>
      <c r="GI171" s="315">
        <v>453</v>
      </c>
      <c r="GJ171" s="315">
        <v>64256</v>
      </c>
      <c r="GL171"/>
      <c r="GM171"/>
      <c r="GN171"/>
      <c r="GO171"/>
    </row>
    <row r="172" spans="1:197">
      <c r="A172" s="98" t="s">
        <v>26</v>
      </c>
      <c r="B172" s="98">
        <v>9</v>
      </c>
      <c r="C172" s="98" t="s">
        <v>225</v>
      </c>
      <c r="D172" s="315">
        <v>19138490</v>
      </c>
      <c r="E172" s="315">
        <v>-3778023</v>
      </c>
      <c r="F172" s="315">
        <v>-12751</v>
      </c>
      <c r="G172" s="315">
        <v>15347716</v>
      </c>
      <c r="H172" s="315">
        <v>10842618</v>
      </c>
      <c r="I172" s="315">
        <v>4505098</v>
      </c>
      <c r="J172" s="315">
        <v>4371630</v>
      </c>
      <c r="K172" s="315">
        <v>133468</v>
      </c>
      <c r="L172" s="315">
        <v>7691139</v>
      </c>
      <c r="M172" s="315">
        <v>6527464</v>
      </c>
      <c r="N172" s="315">
        <v>60801</v>
      </c>
      <c r="O172" s="315"/>
      <c r="P172" s="315"/>
      <c r="Q172" s="315">
        <v>28736</v>
      </c>
      <c r="R172" s="315">
        <v>1074138</v>
      </c>
      <c r="S172" s="315">
        <v>-810623</v>
      </c>
      <c r="T172" s="315">
        <v>-804704</v>
      </c>
      <c r="U172" s="315">
        <v>-170014</v>
      </c>
      <c r="V172" s="315">
        <v>-24</v>
      </c>
      <c r="W172" s="315">
        <v>-618316</v>
      </c>
      <c r="X172" s="315">
        <v>0</v>
      </c>
      <c r="Y172" s="315">
        <v>-16350</v>
      </c>
      <c r="Z172" s="315">
        <v>-2138</v>
      </c>
      <c r="AA172" s="315">
        <v>-3781</v>
      </c>
      <c r="AB172" s="315">
        <v>0</v>
      </c>
      <c r="AC172" s="315">
        <v>-12751</v>
      </c>
      <c r="AD172" s="315">
        <v>6867765</v>
      </c>
      <c r="AE172" s="315">
        <v>4894168</v>
      </c>
      <c r="AF172" s="315">
        <v>1973597</v>
      </c>
      <c r="AG172" s="315">
        <v>1909539</v>
      </c>
      <c r="AH172" s="315">
        <v>64058</v>
      </c>
      <c r="AI172" s="315">
        <v>6524599</v>
      </c>
      <c r="AJ172" s="315">
        <v>1943218</v>
      </c>
      <c r="AK172" s="315">
        <v>4517139</v>
      </c>
      <c r="AL172" s="315">
        <v>12312</v>
      </c>
      <c r="AM172" s="315">
        <v>875842</v>
      </c>
      <c r="AN172" s="315">
        <v>90603</v>
      </c>
      <c r="AO172" s="315">
        <v>100936</v>
      </c>
      <c r="AP172" s="315"/>
      <c r="AQ172" s="315">
        <v>5841</v>
      </c>
      <c r="AR172" s="315">
        <v>-743903</v>
      </c>
      <c r="AS172" s="315">
        <v>26598</v>
      </c>
      <c r="AT172" s="315">
        <v>0</v>
      </c>
      <c r="AU172" s="315">
        <v>-12751</v>
      </c>
      <c r="AV172" s="315">
        <v>924437</v>
      </c>
      <c r="AW172" s="315">
        <v>9113</v>
      </c>
      <c r="AX172" s="315">
        <v>348867</v>
      </c>
      <c r="AY172" s="315"/>
      <c r="AZ172" s="315"/>
      <c r="BA172" s="315"/>
      <c r="BB172" s="315"/>
      <c r="BC172" s="315">
        <v>114034</v>
      </c>
      <c r="BD172" s="315">
        <v>452423</v>
      </c>
      <c r="BE172" s="315">
        <v>-459206</v>
      </c>
      <c r="BF172" s="315">
        <v>-402538</v>
      </c>
      <c r="BG172" s="315">
        <v>-365965</v>
      </c>
      <c r="BH172" s="315">
        <v>-36573</v>
      </c>
      <c r="BI172" s="315">
        <v>-326070</v>
      </c>
      <c r="BJ172" s="315">
        <v>0</v>
      </c>
      <c r="BK172" s="315">
        <v>-76468</v>
      </c>
      <c r="BL172" s="315">
        <v>-1737</v>
      </c>
      <c r="BM172" s="315">
        <v>-54931</v>
      </c>
      <c r="BN172" s="315">
        <v>465231</v>
      </c>
      <c r="BO172" s="315">
        <v>317585</v>
      </c>
      <c r="BP172" s="315">
        <v>36615</v>
      </c>
      <c r="BQ172" s="315">
        <v>42947</v>
      </c>
      <c r="BR172" s="315"/>
      <c r="BS172" s="315">
        <v>7684</v>
      </c>
      <c r="BT172" s="315"/>
      <c r="BU172" s="315"/>
      <c r="BV172" s="315"/>
      <c r="BW172" s="315"/>
      <c r="BX172" s="315">
        <v>-17098</v>
      </c>
      <c r="BY172" s="315">
        <v>77461</v>
      </c>
      <c r="BZ172" s="315">
        <v>37</v>
      </c>
      <c r="CA172" s="315">
        <v>377948</v>
      </c>
      <c r="CB172" s="315">
        <v>-52514</v>
      </c>
      <c r="CC172" s="315">
        <v>-4041</v>
      </c>
      <c r="CD172" s="315">
        <v>-48473</v>
      </c>
      <c r="CE172" s="315">
        <v>325434</v>
      </c>
      <c r="CF172" s="315">
        <v>369641</v>
      </c>
      <c r="CG172" s="315">
        <v>-5</v>
      </c>
      <c r="CH172" s="315">
        <v>-44202</v>
      </c>
      <c r="CI172" s="315">
        <v>7931326</v>
      </c>
      <c r="CJ172" s="315">
        <v>789862</v>
      </c>
      <c r="CK172" s="315">
        <v>7141464</v>
      </c>
      <c r="CL172" s="315">
        <v>6978776</v>
      </c>
      <c r="CM172" s="315">
        <v>14702</v>
      </c>
      <c r="CN172" s="315">
        <v>147986</v>
      </c>
      <c r="CO172" s="315">
        <v>0</v>
      </c>
      <c r="CP172" s="315">
        <v>0</v>
      </c>
      <c r="CQ172" s="315">
        <v>147986</v>
      </c>
      <c r="CR172" s="315">
        <v>-2429289</v>
      </c>
      <c r="CS172" s="315">
        <v>-1400222</v>
      </c>
      <c r="CT172" s="315">
        <v>-1300315</v>
      </c>
      <c r="CU172" s="315">
        <v>-5066</v>
      </c>
      <c r="CV172" s="315">
        <v>-1155</v>
      </c>
      <c r="CW172" s="315">
        <v>-93686</v>
      </c>
      <c r="CX172" s="315">
        <v>-972851</v>
      </c>
      <c r="CY172" s="315">
        <v>-928585</v>
      </c>
      <c r="CZ172" s="315">
        <v>-43374</v>
      </c>
      <c r="DA172" s="315">
        <v>-892</v>
      </c>
      <c r="DB172" s="315">
        <v>0</v>
      </c>
      <c r="DC172" s="315">
        <v>-56216</v>
      </c>
      <c r="DD172" s="315">
        <v>5502037</v>
      </c>
      <c r="DE172" s="315">
        <v>3698916</v>
      </c>
      <c r="DF172" s="315">
        <v>1803121</v>
      </c>
      <c r="DG172" s="315">
        <v>1751530</v>
      </c>
      <c r="DH172" s="315">
        <v>51591</v>
      </c>
      <c r="DI172" s="315">
        <v>1678591</v>
      </c>
      <c r="DJ172" s="315">
        <v>89436</v>
      </c>
      <c r="DK172" s="315">
        <v>26933</v>
      </c>
      <c r="DL172" s="315">
        <v>1417</v>
      </c>
      <c r="DM172" s="315">
        <v>831882</v>
      </c>
      <c r="DN172" s="315">
        <v>627359</v>
      </c>
      <c r="DO172" s="315">
        <v>101489</v>
      </c>
      <c r="DP172" s="315"/>
      <c r="DQ172" s="315"/>
      <c r="DR172" s="315">
        <v>75</v>
      </c>
      <c r="DS172" s="315">
        <v>-11158</v>
      </c>
      <c r="DT172" s="315">
        <v>-994</v>
      </c>
      <c r="DU172" s="315">
        <v>-19</v>
      </c>
      <c r="DV172" s="315">
        <v>-36</v>
      </c>
      <c r="DW172" s="315">
        <v>-8054</v>
      </c>
      <c r="DX172" s="315">
        <v>-4534</v>
      </c>
      <c r="DY172" s="315">
        <v>-2363</v>
      </c>
      <c r="DZ172" s="315">
        <v>-1157</v>
      </c>
      <c r="EA172" s="315">
        <v>-1824</v>
      </c>
      <c r="EB172" s="315">
        <v>-31</v>
      </c>
      <c r="EC172" s="315"/>
      <c r="ED172" s="315"/>
      <c r="EE172" s="315">
        <v>-200</v>
      </c>
      <c r="EF172" s="315">
        <v>1667433</v>
      </c>
      <c r="EG172" s="315">
        <v>939053</v>
      </c>
      <c r="EH172" s="315">
        <v>728380</v>
      </c>
      <c r="EI172" s="315">
        <v>710561</v>
      </c>
      <c r="EJ172" s="315">
        <v>17819</v>
      </c>
      <c r="EK172" s="315">
        <v>88442</v>
      </c>
      <c r="EL172" s="315">
        <v>53869</v>
      </c>
      <c r="EM172" s="315">
        <v>34573</v>
      </c>
      <c r="EN172" s="315">
        <v>33581</v>
      </c>
      <c r="EO172" s="315">
        <v>992</v>
      </c>
      <c r="EP172" s="315">
        <v>26914</v>
      </c>
      <c r="EQ172" s="315">
        <v>16839</v>
      </c>
      <c r="ER172" s="315">
        <v>10075</v>
      </c>
      <c r="ES172" s="315">
        <v>9800</v>
      </c>
      <c r="ET172" s="315">
        <v>275</v>
      </c>
      <c r="EU172" s="315">
        <v>1381</v>
      </c>
      <c r="EV172" s="315">
        <v>608</v>
      </c>
      <c r="EW172" s="315">
        <v>773</v>
      </c>
      <c r="EX172" s="315">
        <v>751</v>
      </c>
      <c r="EY172" s="315">
        <v>22</v>
      </c>
      <c r="EZ172" s="315">
        <v>823828</v>
      </c>
      <c r="FA172" s="315">
        <v>459150</v>
      </c>
      <c r="FB172" s="315">
        <v>364678</v>
      </c>
      <c r="FC172" s="315">
        <v>354368</v>
      </c>
      <c r="FD172" s="315">
        <v>10310</v>
      </c>
      <c r="FE172" s="315">
        <v>625535</v>
      </c>
      <c r="FF172" s="315">
        <v>402343</v>
      </c>
      <c r="FG172" s="315">
        <v>223192</v>
      </c>
      <c r="FH172" s="315">
        <v>216972</v>
      </c>
      <c r="FI172" s="315">
        <v>6220</v>
      </c>
      <c r="FJ172" s="315">
        <v>101458</v>
      </c>
      <c r="FK172" s="315">
        <v>6369</v>
      </c>
      <c r="FL172" s="315">
        <v>95089</v>
      </c>
      <c r="FM172" s="315">
        <v>95089</v>
      </c>
      <c r="FN172" s="315"/>
      <c r="FO172" s="315"/>
      <c r="FP172" s="315"/>
      <c r="FQ172" s="315">
        <v>-125</v>
      </c>
      <c r="FR172" s="315">
        <v>535049</v>
      </c>
      <c r="FS172" s="315">
        <v>-15233</v>
      </c>
      <c r="FT172" s="315">
        <v>519816</v>
      </c>
      <c r="FU172" s="315"/>
      <c r="FV172" s="315"/>
      <c r="FW172" s="315"/>
      <c r="FX172" s="315">
        <v>141647</v>
      </c>
      <c r="FY172" s="315">
        <v>252472</v>
      </c>
      <c r="FZ172" s="315"/>
      <c r="GA172" s="315"/>
      <c r="GB172" s="315"/>
      <c r="GC172" s="315">
        <v>63419</v>
      </c>
      <c r="GD172" s="315">
        <v>74</v>
      </c>
      <c r="GE172" s="315"/>
      <c r="GF172" s="315">
        <v>63345</v>
      </c>
      <c r="GG172" s="315">
        <v>62278</v>
      </c>
      <c r="GH172" s="315">
        <v>4897</v>
      </c>
      <c r="GI172" s="315">
        <v>561</v>
      </c>
      <c r="GJ172" s="315">
        <v>56820</v>
      </c>
      <c r="GL172"/>
      <c r="GM172"/>
      <c r="GN172"/>
      <c r="GO172"/>
    </row>
    <row r="173" spans="1:197">
      <c r="A173" s="98" t="s">
        <v>26</v>
      </c>
      <c r="B173" s="98">
        <v>10</v>
      </c>
      <c r="C173" s="98" t="s">
        <v>226</v>
      </c>
      <c r="D173" s="315">
        <v>27146877</v>
      </c>
      <c r="E173" s="315">
        <v>-4162511</v>
      </c>
      <c r="F173" s="315">
        <v>-12751</v>
      </c>
      <c r="G173" s="315">
        <v>22971615</v>
      </c>
      <c r="H173" s="315">
        <v>18466517</v>
      </c>
      <c r="I173" s="315">
        <v>4505098</v>
      </c>
      <c r="J173" s="315">
        <v>4371630</v>
      </c>
      <c r="K173" s="315">
        <v>133468</v>
      </c>
      <c r="L173" s="315">
        <v>8720457</v>
      </c>
      <c r="M173" s="315">
        <v>7019531</v>
      </c>
      <c r="N173" s="315">
        <v>80939</v>
      </c>
      <c r="O173" s="315"/>
      <c r="P173" s="315"/>
      <c r="Q173" s="315">
        <v>29157</v>
      </c>
      <c r="R173" s="315">
        <v>1590830</v>
      </c>
      <c r="S173" s="315">
        <v>-877023</v>
      </c>
      <c r="T173" s="315">
        <v>-866876</v>
      </c>
      <c r="U173" s="315">
        <v>-165396</v>
      </c>
      <c r="V173" s="315">
        <v>-19</v>
      </c>
      <c r="W173" s="315">
        <v>-680047</v>
      </c>
      <c r="X173" s="315">
        <v>0</v>
      </c>
      <c r="Y173" s="315">
        <v>-21414</v>
      </c>
      <c r="Z173" s="315">
        <v>-2552</v>
      </c>
      <c r="AA173" s="315">
        <v>-7595</v>
      </c>
      <c r="AB173" s="315">
        <v>0</v>
      </c>
      <c r="AC173" s="315">
        <v>-12751</v>
      </c>
      <c r="AD173" s="315">
        <v>7830683</v>
      </c>
      <c r="AE173" s="315">
        <v>5857084</v>
      </c>
      <c r="AF173" s="315">
        <v>1973599</v>
      </c>
      <c r="AG173" s="315">
        <v>1909539</v>
      </c>
      <c r="AH173" s="315">
        <v>64060</v>
      </c>
      <c r="AI173" s="315">
        <v>7013994</v>
      </c>
      <c r="AJ173" s="315">
        <v>1121718</v>
      </c>
      <c r="AK173" s="315">
        <v>2244547</v>
      </c>
      <c r="AL173" s="315">
        <v>3591550</v>
      </c>
      <c r="AM173" s="315">
        <v>516664</v>
      </c>
      <c r="AN173" s="315">
        <v>409867</v>
      </c>
      <c r="AO173" s="315">
        <v>72360</v>
      </c>
      <c r="AP173" s="315"/>
      <c r="AQ173" s="315">
        <v>589881</v>
      </c>
      <c r="AR173" s="315">
        <v>-785937</v>
      </c>
      <c r="AS173" s="315">
        <v>26605</v>
      </c>
      <c r="AT173" s="315">
        <v>0</v>
      </c>
      <c r="AU173" s="315">
        <v>-12751</v>
      </c>
      <c r="AV173" s="315">
        <v>6226824</v>
      </c>
      <c r="AW173" s="315">
        <v>5463127</v>
      </c>
      <c r="AX173" s="315">
        <v>116160</v>
      </c>
      <c r="AY173" s="315"/>
      <c r="AZ173" s="315"/>
      <c r="BA173" s="315"/>
      <c r="BB173" s="315"/>
      <c r="BC173" s="315">
        <v>83206</v>
      </c>
      <c r="BD173" s="315">
        <v>564331</v>
      </c>
      <c r="BE173" s="315">
        <v>-516532</v>
      </c>
      <c r="BF173" s="315">
        <v>-513767</v>
      </c>
      <c r="BG173" s="315">
        <v>-497324</v>
      </c>
      <c r="BH173" s="315">
        <v>-16443</v>
      </c>
      <c r="BI173" s="315">
        <v>-438634</v>
      </c>
      <c r="BJ173" s="315">
        <v>0</v>
      </c>
      <c r="BK173" s="315">
        <v>-75133</v>
      </c>
      <c r="BL173" s="315">
        <v>-2765</v>
      </c>
      <c r="BM173" s="315">
        <v>0</v>
      </c>
      <c r="BN173" s="315">
        <v>5710292</v>
      </c>
      <c r="BO173" s="315">
        <v>360270</v>
      </c>
      <c r="BP173" s="315">
        <v>172395</v>
      </c>
      <c r="BQ173" s="315">
        <v>30770</v>
      </c>
      <c r="BR173" s="315"/>
      <c r="BS173" s="315">
        <v>5461184</v>
      </c>
      <c r="BT173" s="315"/>
      <c r="BU173" s="315"/>
      <c r="BV173" s="315"/>
      <c r="BW173" s="315"/>
      <c r="BX173" s="315">
        <v>-381164</v>
      </c>
      <c r="BY173" s="315">
        <v>66763</v>
      </c>
      <c r="BZ173" s="315">
        <v>74</v>
      </c>
      <c r="CA173" s="315">
        <v>268112</v>
      </c>
      <c r="CB173" s="315">
        <v>-25555</v>
      </c>
      <c r="CC173" s="315">
        <v>-25555</v>
      </c>
      <c r="CD173" s="315">
        <v>0</v>
      </c>
      <c r="CE173" s="315">
        <v>242557</v>
      </c>
      <c r="CF173" s="315">
        <v>109961</v>
      </c>
      <c r="CG173" s="315">
        <v>20534</v>
      </c>
      <c r="CH173" s="315">
        <v>112062</v>
      </c>
      <c r="CI173" s="315">
        <v>9864819</v>
      </c>
      <c r="CJ173" s="315">
        <v>704024</v>
      </c>
      <c r="CK173" s="315">
        <v>9160795</v>
      </c>
      <c r="CL173" s="315">
        <v>3607664</v>
      </c>
      <c r="CM173" s="315">
        <v>5367577</v>
      </c>
      <c r="CN173" s="315">
        <v>185554</v>
      </c>
      <c r="CO173" s="315">
        <v>0</v>
      </c>
      <c r="CP173" s="315">
        <v>0</v>
      </c>
      <c r="CQ173" s="315">
        <v>185554</v>
      </c>
      <c r="CR173" s="315">
        <v>-2683082</v>
      </c>
      <c r="CS173" s="315">
        <v>-1193948</v>
      </c>
      <c r="CT173" s="315">
        <v>-1073828</v>
      </c>
      <c r="CU173" s="315">
        <v>-6821</v>
      </c>
      <c r="CV173" s="315">
        <v>-465</v>
      </c>
      <c r="CW173" s="315">
        <v>-112834</v>
      </c>
      <c r="CX173" s="315">
        <v>-1298682</v>
      </c>
      <c r="CY173" s="315">
        <v>-1272711</v>
      </c>
      <c r="CZ173" s="315">
        <v>-23755</v>
      </c>
      <c r="DA173" s="315">
        <v>-2216</v>
      </c>
      <c r="DB173" s="315">
        <v>-190452</v>
      </c>
      <c r="DC173" s="315">
        <v>0</v>
      </c>
      <c r="DD173" s="315">
        <v>7181737</v>
      </c>
      <c r="DE173" s="315">
        <v>5378619</v>
      </c>
      <c r="DF173" s="315">
        <v>1803118</v>
      </c>
      <c r="DG173" s="315">
        <v>1751529</v>
      </c>
      <c r="DH173" s="315">
        <v>51589</v>
      </c>
      <c r="DI173" s="315">
        <v>1691886</v>
      </c>
      <c r="DJ173" s="315">
        <v>66303</v>
      </c>
      <c r="DK173" s="315">
        <v>35211</v>
      </c>
      <c r="DL173" s="315">
        <v>1124</v>
      </c>
      <c r="DM173" s="315">
        <v>859350</v>
      </c>
      <c r="DN173" s="315">
        <v>607582</v>
      </c>
      <c r="DO173" s="315">
        <v>122213</v>
      </c>
      <c r="DP173" s="315"/>
      <c r="DQ173" s="315"/>
      <c r="DR173" s="315">
        <v>103</v>
      </c>
      <c r="DS173" s="315">
        <v>-38210</v>
      </c>
      <c r="DT173" s="315">
        <v>-12263</v>
      </c>
      <c r="DU173" s="315">
        <v>-4350</v>
      </c>
      <c r="DV173" s="315">
        <v>-41</v>
      </c>
      <c r="DW173" s="315">
        <v>-6184</v>
      </c>
      <c r="DX173" s="315">
        <v>-2968</v>
      </c>
      <c r="DY173" s="315">
        <v>-1331</v>
      </c>
      <c r="DZ173" s="315">
        <v>-1885</v>
      </c>
      <c r="EA173" s="315">
        <v>-14874</v>
      </c>
      <c r="EB173" s="315">
        <v>-31</v>
      </c>
      <c r="EC173" s="315"/>
      <c r="ED173" s="315"/>
      <c r="EE173" s="315">
        <v>-467</v>
      </c>
      <c r="EF173" s="315">
        <v>1653676</v>
      </c>
      <c r="EG173" s="315">
        <v>925295</v>
      </c>
      <c r="EH173" s="315">
        <v>728381</v>
      </c>
      <c r="EI173" s="315">
        <v>710562</v>
      </c>
      <c r="EJ173" s="315">
        <v>17819</v>
      </c>
      <c r="EK173" s="315">
        <v>54040</v>
      </c>
      <c r="EL173" s="315">
        <v>19466</v>
      </c>
      <c r="EM173" s="315">
        <v>34574</v>
      </c>
      <c r="EN173" s="315">
        <v>33581</v>
      </c>
      <c r="EO173" s="315">
        <v>993</v>
      </c>
      <c r="EP173" s="315">
        <v>30861</v>
      </c>
      <c r="EQ173" s="315">
        <v>20785</v>
      </c>
      <c r="ER173" s="315">
        <v>10076</v>
      </c>
      <c r="ES173" s="315">
        <v>9800</v>
      </c>
      <c r="ET173" s="315">
        <v>276</v>
      </c>
      <c r="EU173" s="315">
        <v>1083</v>
      </c>
      <c r="EV173" s="315">
        <v>309</v>
      </c>
      <c r="EW173" s="315">
        <v>774</v>
      </c>
      <c r="EX173" s="315">
        <v>752</v>
      </c>
      <c r="EY173" s="315">
        <v>22</v>
      </c>
      <c r="EZ173" s="315">
        <v>853166</v>
      </c>
      <c r="FA173" s="315">
        <v>488489</v>
      </c>
      <c r="FB173" s="315">
        <v>364677</v>
      </c>
      <c r="FC173" s="315">
        <v>354368</v>
      </c>
      <c r="FD173" s="315">
        <v>10309</v>
      </c>
      <c r="FE173" s="315">
        <v>592708</v>
      </c>
      <c r="FF173" s="315">
        <v>369517</v>
      </c>
      <c r="FG173" s="315">
        <v>223191</v>
      </c>
      <c r="FH173" s="315">
        <v>216972</v>
      </c>
      <c r="FI173" s="315">
        <v>6219</v>
      </c>
      <c r="FJ173" s="315">
        <v>122182</v>
      </c>
      <c r="FK173" s="315">
        <v>27093</v>
      </c>
      <c r="FL173" s="315">
        <v>95089</v>
      </c>
      <c r="FM173" s="315">
        <v>95089</v>
      </c>
      <c r="FN173" s="315"/>
      <c r="FO173" s="315"/>
      <c r="FP173" s="315"/>
      <c r="FQ173" s="315">
        <v>-364</v>
      </c>
      <c r="FR173" s="315">
        <v>374779</v>
      </c>
      <c r="FS173" s="315">
        <v>-22109</v>
      </c>
      <c r="FT173" s="315">
        <v>352670</v>
      </c>
      <c r="FU173" s="315"/>
      <c r="FV173" s="315"/>
      <c r="FW173" s="315"/>
      <c r="FX173" s="315">
        <v>125838</v>
      </c>
      <c r="FY173" s="315">
        <v>113171</v>
      </c>
      <c r="FZ173" s="315"/>
      <c r="GA173" s="315"/>
      <c r="GB173" s="315"/>
      <c r="GC173" s="315">
        <v>58959</v>
      </c>
      <c r="GD173" s="315">
        <v>137</v>
      </c>
      <c r="GE173" s="315"/>
      <c r="GF173" s="315">
        <v>58822</v>
      </c>
      <c r="GG173" s="315">
        <v>54702</v>
      </c>
      <c r="GH173" s="315">
        <v>3784</v>
      </c>
      <c r="GI173" s="315">
        <v>568</v>
      </c>
      <c r="GJ173" s="315">
        <v>50350</v>
      </c>
      <c r="GL173"/>
      <c r="GM173"/>
      <c r="GN173"/>
      <c r="GO173"/>
    </row>
    <row r="174" spans="1:197">
      <c r="A174" s="98" t="s">
        <v>26</v>
      </c>
      <c r="B174" s="98">
        <v>11</v>
      </c>
      <c r="C174" s="98" t="s">
        <v>227</v>
      </c>
      <c r="D174" s="315">
        <v>14511900</v>
      </c>
      <c r="E174" s="315">
        <v>-3391224</v>
      </c>
      <c r="F174" s="315">
        <v>-12751</v>
      </c>
      <c r="G174" s="315">
        <v>11107925</v>
      </c>
      <c r="H174" s="315">
        <v>6557292</v>
      </c>
      <c r="I174" s="315">
        <v>4550633</v>
      </c>
      <c r="J174" s="315">
        <v>4371631</v>
      </c>
      <c r="K174" s="315">
        <v>179002</v>
      </c>
      <c r="L174" s="315">
        <v>7342566</v>
      </c>
      <c r="M174" s="315">
        <v>3448692</v>
      </c>
      <c r="N174" s="315">
        <v>3227980</v>
      </c>
      <c r="O174" s="315"/>
      <c r="P174" s="315"/>
      <c r="Q174" s="315">
        <v>19783</v>
      </c>
      <c r="R174" s="315">
        <v>646111</v>
      </c>
      <c r="S174" s="315">
        <v>-610739</v>
      </c>
      <c r="T174" s="315">
        <v>-595951</v>
      </c>
      <c r="U174" s="315">
        <v>-161649</v>
      </c>
      <c r="V174" s="315">
        <v>-24</v>
      </c>
      <c r="W174" s="315">
        <v>-416976</v>
      </c>
      <c r="X174" s="315">
        <v>0</v>
      </c>
      <c r="Y174" s="315">
        <v>-17302</v>
      </c>
      <c r="Z174" s="315">
        <v>-3213</v>
      </c>
      <c r="AA174" s="315">
        <v>-11575</v>
      </c>
      <c r="AB174" s="315">
        <v>0</v>
      </c>
      <c r="AC174" s="315">
        <v>-12751</v>
      </c>
      <c r="AD174" s="315">
        <v>6719076</v>
      </c>
      <c r="AE174" s="315">
        <v>4725038</v>
      </c>
      <c r="AF174" s="315">
        <v>1994038</v>
      </c>
      <c r="AG174" s="315">
        <v>1909539</v>
      </c>
      <c r="AH174" s="315">
        <v>84499</v>
      </c>
      <c r="AI174" s="315">
        <v>3440211</v>
      </c>
      <c r="AJ174" s="315">
        <v>1131863</v>
      </c>
      <c r="AK174" s="315">
        <v>2203830</v>
      </c>
      <c r="AL174" s="315">
        <v>40211</v>
      </c>
      <c r="AM174" s="315">
        <v>474963</v>
      </c>
      <c r="AN174" s="315">
        <v>56632</v>
      </c>
      <c r="AO174" s="315">
        <v>99274</v>
      </c>
      <c r="AP174" s="315"/>
      <c r="AQ174" s="315">
        <v>12148</v>
      </c>
      <c r="AR174" s="315">
        <v>2632029</v>
      </c>
      <c r="AS174" s="315">
        <v>16570</v>
      </c>
      <c r="AT174" s="315">
        <v>0</v>
      </c>
      <c r="AU174" s="315">
        <v>-12751</v>
      </c>
      <c r="AV174" s="315">
        <v>615915</v>
      </c>
      <c r="AW174" s="315">
        <v>91674</v>
      </c>
      <c r="AX174" s="315">
        <v>198168</v>
      </c>
      <c r="AY174" s="315"/>
      <c r="AZ174" s="315"/>
      <c r="BA174" s="315"/>
      <c r="BB174" s="315"/>
      <c r="BC174" s="315">
        <v>58935</v>
      </c>
      <c r="BD174" s="315">
        <v>267138</v>
      </c>
      <c r="BE174" s="315">
        <v>-1062393</v>
      </c>
      <c r="BF174" s="315">
        <v>-923068</v>
      </c>
      <c r="BG174" s="315">
        <v>-912610</v>
      </c>
      <c r="BH174" s="315">
        <v>-10458</v>
      </c>
      <c r="BI174" s="315">
        <v>-879952</v>
      </c>
      <c r="BJ174" s="315">
        <v>0</v>
      </c>
      <c r="BK174" s="315">
        <v>-43116</v>
      </c>
      <c r="BL174" s="315">
        <v>-3869</v>
      </c>
      <c r="BM174" s="315">
        <v>-135456</v>
      </c>
      <c r="BN174" s="315">
        <v>-446478</v>
      </c>
      <c r="BO174" s="315">
        <v>66170</v>
      </c>
      <c r="BP174" s="315">
        <v>22104</v>
      </c>
      <c r="BQ174" s="315">
        <v>42255</v>
      </c>
      <c r="BR174" s="315"/>
      <c r="BS174" s="315">
        <v>88859</v>
      </c>
      <c r="BT174" s="315"/>
      <c r="BU174" s="315"/>
      <c r="BV174" s="315"/>
      <c r="BW174" s="315"/>
      <c r="BX174" s="315">
        <v>-714442</v>
      </c>
      <c r="BY174" s="315">
        <v>48477</v>
      </c>
      <c r="BZ174" s="315">
        <v>99</v>
      </c>
      <c r="CA174" s="315">
        <v>107123</v>
      </c>
      <c r="CB174" s="315">
        <v>-123093</v>
      </c>
      <c r="CC174" s="315">
        <v>-9691</v>
      </c>
      <c r="CD174" s="315">
        <v>-113402</v>
      </c>
      <c r="CE174" s="315">
        <v>-15970</v>
      </c>
      <c r="CF174" s="315">
        <v>88150</v>
      </c>
      <c r="CG174" s="315">
        <v>123</v>
      </c>
      <c r="CH174" s="315">
        <v>-104243</v>
      </c>
      <c r="CI174" s="315">
        <v>4325450</v>
      </c>
      <c r="CJ174" s="315">
        <v>736346</v>
      </c>
      <c r="CK174" s="315">
        <v>3589104</v>
      </c>
      <c r="CL174" s="315">
        <v>3280905</v>
      </c>
      <c r="CM174" s="315">
        <v>60307</v>
      </c>
      <c r="CN174" s="315">
        <v>247892</v>
      </c>
      <c r="CO174" s="315">
        <v>0</v>
      </c>
      <c r="CP174" s="315">
        <v>0</v>
      </c>
      <c r="CQ174" s="315">
        <v>247892</v>
      </c>
      <c r="CR174" s="315">
        <v>-1570907</v>
      </c>
      <c r="CS174" s="315">
        <v>-594865</v>
      </c>
      <c r="CT174" s="315">
        <v>-513946</v>
      </c>
      <c r="CU174" s="315">
        <v>-6644</v>
      </c>
      <c r="CV174" s="315">
        <v>-1159</v>
      </c>
      <c r="CW174" s="315">
        <v>-73116</v>
      </c>
      <c r="CX174" s="315">
        <v>-976042</v>
      </c>
      <c r="CY174" s="315">
        <v>-952125</v>
      </c>
      <c r="CZ174" s="315">
        <v>-14105</v>
      </c>
      <c r="DA174" s="315">
        <v>-9812</v>
      </c>
      <c r="DB174" s="315">
        <v>0</v>
      </c>
      <c r="DC174" s="315">
        <v>0</v>
      </c>
      <c r="DD174" s="315">
        <v>2754543</v>
      </c>
      <c r="DE174" s="315">
        <v>932722</v>
      </c>
      <c r="DF174" s="315">
        <v>1821821</v>
      </c>
      <c r="DG174" s="315">
        <v>1751530</v>
      </c>
      <c r="DH174" s="315">
        <v>70291</v>
      </c>
      <c r="DI174" s="315">
        <v>1695534</v>
      </c>
      <c r="DJ174" s="315">
        <v>92709</v>
      </c>
      <c r="DK174" s="315">
        <v>31153</v>
      </c>
      <c r="DL174" s="315">
        <v>2374</v>
      </c>
      <c r="DM174" s="315">
        <v>851248</v>
      </c>
      <c r="DN174" s="315">
        <v>614670</v>
      </c>
      <c r="DO174" s="315">
        <v>103285</v>
      </c>
      <c r="DP174" s="315"/>
      <c r="DQ174" s="315"/>
      <c r="DR174" s="315">
        <v>95</v>
      </c>
      <c r="DS174" s="315">
        <v>-7198</v>
      </c>
      <c r="DT174" s="315">
        <v>-1523</v>
      </c>
      <c r="DU174" s="315">
        <v>-61</v>
      </c>
      <c r="DV174" s="315">
        <v>-16</v>
      </c>
      <c r="DW174" s="315">
        <v>-5349</v>
      </c>
      <c r="DX174" s="315">
        <v>-1225</v>
      </c>
      <c r="DY174" s="315">
        <v>-3119</v>
      </c>
      <c r="DZ174" s="315">
        <v>-1005</v>
      </c>
      <c r="EA174" s="315">
        <v>0</v>
      </c>
      <c r="EB174" s="315">
        <v>-10</v>
      </c>
      <c r="EC174" s="315"/>
      <c r="ED174" s="315"/>
      <c r="EE174" s="315">
        <v>-239</v>
      </c>
      <c r="EF174" s="315">
        <v>1688336</v>
      </c>
      <c r="EG174" s="315">
        <v>953562</v>
      </c>
      <c r="EH174" s="315">
        <v>734774</v>
      </c>
      <c r="EI174" s="315">
        <v>710562</v>
      </c>
      <c r="EJ174" s="315">
        <v>24212</v>
      </c>
      <c r="EK174" s="315">
        <v>91186</v>
      </c>
      <c r="EL174" s="315">
        <v>56260</v>
      </c>
      <c r="EM174" s="315">
        <v>34926</v>
      </c>
      <c r="EN174" s="315">
        <v>33582</v>
      </c>
      <c r="EO174" s="315">
        <v>1344</v>
      </c>
      <c r="EP174" s="315">
        <v>31092</v>
      </c>
      <c r="EQ174" s="315">
        <v>20922</v>
      </c>
      <c r="ER174" s="315">
        <v>10170</v>
      </c>
      <c r="ES174" s="315">
        <v>9800</v>
      </c>
      <c r="ET174" s="315">
        <v>370</v>
      </c>
      <c r="EU174" s="315">
        <v>2358</v>
      </c>
      <c r="EV174" s="315">
        <v>1579</v>
      </c>
      <c r="EW174" s="315">
        <v>779</v>
      </c>
      <c r="EX174" s="315">
        <v>751</v>
      </c>
      <c r="EY174" s="315">
        <v>28</v>
      </c>
      <c r="EZ174" s="315">
        <v>845899</v>
      </c>
      <c r="FA174" s="315">
        <v>477434</v>
      </c>
      <c r="FB174" s="315">
        <v>368465</v>
      </c>
      <c r="FC174" s="315">
        <v>354368</v>
      </c>
      <c r="FD174" s="315">
        <v>14097</v>
      </c>
      <c r="FE174" s="315">
        <v>614670</v>
      </c>
      <c r="FF174" s="315">
        <v>389325</v>
      </c>
      <c r="FG174" s="315">
        <v>225345</v>
      </c>
      <c r="FH174" s="315">
        <v>216972</v>
      </c>
      <c r="FI174" s="315">
        <v>8373</v>
      </c>
      <c r="FJ174" s="315">
        <v>103275</v>
      </c>
      <c r="FK174" s="315">
        <v>8186</v>
      </c>
      <c r="FL174" s="315">
        <v>95089</v>
      </c>
      <c r="FM174" s="315">
        <v>95089</v>
      </c>
      <c r="FN174" s="315"/>
      <c r="FO174" s="315"/>
      <c r="FP174" s="315"/>
      <c r="FQ174" s="315">
        <v>-144</v>
      </c>
      <c r="FR174" s="315">
        <v>425312</v>
      </c>
      <c r="FS174" s="315">
        <v>-16894</v>
      </c>
      <c r="FT174" s="315">
        <v>408418</v>
      </c>
      <c r="FU174" s="315"/>
      <c r="FV174" s="315"/>
      <c r="FW174" s="315"/>
      <c r="FX174" s="315">
        <v>122158</v>
      </c>
      <c r="FY174" s="315">
        <v>128415</v>
      </c>
      <c r="FZ174" s="315"/>
      <c r="GA174" s="315"/>
      <c r="GB174" s="315"/>
      <c r="GC174" s="315">
        <v>74367</v>
      </c>
      <c r="GD174" s="315">
        <v>1069</v>
      </c>
      <c r="GE174" s="315"/>
      <c r="GF174" s="315">
        <v>73298</v>
      </c>
      <c r="GG174" s="315">
        <v>83478</v>
      </c>
      <c r="GH174" s="315">
        <v>8543</v>
      </c>
      <c r="GI174" s="315">
        <v>2337</v>
      </c>
      <c r="GJ174" s="315">
        <v>72598</v>
      </c>
      <c r="GL174"/>
      <c r="GM174"/>
      <c r="GN174"/>
      <c r="GO174"/>
    </row>
    <row r="175" spans="1:197">
      <c r="A175" s="98" t="s">
        <v>26</v>
      </c>
      <c r="B175" s="98">
        <v>12</v>
      </c>
      <c r="C175" s="98" t="s">
        <v>228</v>
      </c>
      <c r="D175" s="315">
        <v>15176832</v>
      </c>
      <c r="E175" s="315">
        <v>-5346365</v>
      </c>
      <c r="F175" s="315">
        <v>-12751</v>
      </c>
      <c r="G175" s="315">
        <v>9817716</v>
      </c>
      <c r="H175" s="315">
        <v>5312600</v>
      </c>
      <c r="I175" s="315">
        <v>4505116</v>
      </c>
      <c r="J175" s="315">
        <v>4371629</v>
      </c>
      <c r="K175" s="315">
        <v>133487</v>
      </c>
      <c r="L175" s="315">
        <v>4697787</v>
      </c>
      <c r="M175" s="315">
        <v>3943529</v>
      </c>
      <c r="N175" s="315">
        <v>69752</v>
      </c>
      <c r="O175" s="315"/>
      <c r="P175" s="315"/>
      <c r="Q175" s="315">
        <v>35778</v>
      </c>
      <c r="R175" s="315">
        <v>648728</v>
      </c>
      <c r="S175" s="315">
        <v>-458271</v>
      </c>
      <c r="T175" s="315">
        <v>-448609</v>
      </c>
      <c r="U175" s="315">
        <v>-158197</v>
      </c>
      <c r="V175" s="315">
        <v>-12</v>
      </c>
      <c r="W175" s="315">
        <v>-272086</v>
      </c>
      <c r="X175" s="315">
        <v>0</v>
      </c>
      <c r="Y175" s="315">
        <v>-18314</v>
      </c>
      <c r="Z175" s="315">
        <v>-4085</v>
      </c>
      <c r="AA175" s="315">
        <v>-5577</v>
      </c>
      <c r="AB175" s="315">
        <v>0</v>
      </c>
      <c r="AC175" s="315">
        <v>-12751</v>
      </c>
      <c r="AD175" s="315">
        <v>4226765</v>
      </c>
      <c r="AE175" s="315">
        <v>2253167</v>
      </c>
      <c r="AF175" s="315">
        <v>1973598</v>
      </c>
      <c r="AG175" s="315">
        <v>1909539</v>
      </c>
      <c r="AH175" s="315">
        <v>64059</v>
      </c>
      <c r="AI175" s="315">
        <v>3939356</v>
      </c>
      <c r="AJ175" s="315">
        <v>1573922</v>
      </c>
      <c r="AK175" s="315">
        <v>2283731</v>
      </c>
      <c r="AL175" s="315">
        <v>10399</v>
      </c>
      <c r="AM175" s="315">
        <v>505693</v>
      </c>
      <c r="AN175" s="315">
        <v>48911</v>
      </c>
      <c r="AO175" s="315">
        <v>86691</v>
      </c>
      <c r="AP175" s="315"/>
      <c r="AQ175" s="315">
        <v>6029</v>
      </c>
      <c r="AR175" s="315">
        <v>-378857</v>
      </c>
      <c r="AS175" s="315">
        <v>31693</v>
      </c>
      <c r="AT175" s="315">
        <v>0</v>
      </c>
      <c r="AU175" s="315">
        <v>-12751</v>
      </c>
      <c r="AV175" s="315">
        <v>3998188</v>
      </c>
      <c r="AW175" s="315">
        <v>3537671</v>
      </c>
      <c r="AX175" s="315">
        <v>100598</v>
      </c>
      <c r="AY175" s="315"/>
      <c r="AZ175" s="315"/>
      <c r="BA175" s="315"/>
      <c r="BB175" s="315"/>
      <c r="BC175" s="315">
        <v>63623</v>
      </c>
      <c r="BD175" s="315">
        <v>296296</v>
      </c>
      <c r="BE175" s="315">
        <v>-2656200</v>
      </c>
      <c r="BF175" s="315">
        <v>-2646861</v>
      </c>
      <c r="BG175" s="315">
        <v>-2638192</v>
      </c>
      <c r="BH175" s="315">
        <v>-8669</v>
      </c>
      <c r="BI175" s="315">
        <v>-2606544</v>
      </c>
      <c r="BJ175" s="315">
        <v>0</v>
      </c>
      <c r="BK175" s="315">
        <v>-40317</v>
      </c>
      <c r="BL175" s="315">
        <v>-6244</v>
      </c>
      <c r="BM175" s="315">
        <v>-3095</v>
      </c>
      <c r="BN175" s="315">
        <v>1341988</v>
      </c>
      <c r="BO175" s="315">
        <v>236026</v>
      </c>
      <c r="BP175" s="315">
        <v>18251</v>
      </c>
      <c r="BQ175" s="315">
        <v>36914</v>
      </c>
      <c r="BR175" s="315"/>
      <c r="BS175" s="315">
        <v>3531950</v>
      </c>
      <c r="BT175" s="315"/>
      <c r="BU175" s="315"/>
      <c r="BV175" s="315"/>
      <c r="BW175" s="315"/>
      <c r="BX175" s="315">
        <v>-2537594</v>
      </c>
      <c r="BY175" s="315">
        <v>54954</v>
      </c>
      <c r="BZ175" s="315">
        <v>1487</v>
      </c>
      <c r="CA175" s="315">
        <v>263526</v>
      </c>
      <c r="CB175" s="315">
        <v>-31082</v>
      </c>
      <c r="CC175" s="315">
        <v>-28550</v>
      </c>
      <c r="CD175" s="315">
        <v>-2532</v>
      </c>
      <c r="CE175" s="315">
        <v>232444</v>
      </c>
      <c r="CF175" s="315">
        <v>241440</v>
      </c>
      <c r="CG175" s="315">
        <v>13728</v>
      </c>
      <c r="CH175" s="315">
        <v>-22724</v>
      </c>
      <c r="CI175" s="315">
        <v>4207382</v>
      </c>
      <c r="CJ175" s="315">
        <v>736830</v>
      </c>
      <c r="CK175" s="315">
        <v>3470552</v>
      </c>
      <c r="CL175" s="315">
        <v>3268935</v>
      </c>
      <c r="CM175" s="315">
        <v>16367</v>
      </c>
      <c r="CN175" s="315">
        <v>185250</v>
      </c>
      <c r="CO175" s="315">
        <v>0</v>
      </c>
      <c r="CP175" s="315">
        <v>0</v>
      </c>
      <c r="CQ175" s="315">
        <v>185250</v>
      </c>
      <c r="CR175" s="315">
        <v>-2154102</v>
      </c>
      <c r="CS175" s="315">
        <v>-483714</v>
      </c>
      <c r="CT175" s="315">
        <v>-318142</v>
      </c>
      <c r="CU175" s="315">
        <v>-4069</v>
      </c>
      <c r="CV175" s="315">
        <v>-1111</v>
      </c>
      <c r="CW175" s="315">
        <v>-160392</v>
      </c>
      <c r="CX175" s="315">
        <v>-1264376</v>
      </c>
      <c r="CY175" s="315">
        <v>-1246006</v>
      </c>
      <c r="CZ175" s="315">
        <v>-10216</v>
      </c>
      <c r="DA175" s="315">
        <v>-8154</v>
      </c>
      <c r="DB175" s="315">
        <v>-331959</v>
      </c>
      <c r="DC175" s="315">
        <v>-74053</v>
      </c>
      <c r="DD175" s="315">
        <v>2053280</v>
      </c>
      <c r="DE175" s="315">
        <v>250162</v>
      </c>
      <c r="DF175" s="315">
        <v>1803118</v>
      </c>
      <c r="DG175" s="315">
        <v>1751529</v>
      </c>
      <c r="DH175" s="315">
        <v>51589</v>
      </c>
      <c r="DI175" s="315">
        <v>1567275</v>
      </c>
      <c r="DJ175" s="315">
        <v>87277</v>
      </c>
      <c r="DK175" s="315">
        <v>25232</v>
      </c>
      <c r="DL175" s="315">
        <v>1400</v>
      </c>
      <c r="DM175" s="315">
        <v>839879</v>
      </c>
      <c r="DN175" s="315">
        <v>515184</v>
      </c>
      <c r="DO175" s="315">
        <v>98207</v>
      </c>
      <c r="DP175" s="315"/>
      <c r="DQ175" s="315"/>
      <c r="DR175" s="315">
        <v>96</v>
      </c>
      <c r="DS175" s="315">
        <v>-27808</v>
      </c>
      <c r="DT175" s="315">
        <v>-8759</v>
      </c>
      <c r="DU175" s="315">
        <v>-3800</v>
      </c>
      <c r="DV175" s="315">
        <v>-14</v>
      </c>
      <c r="DW175" s="315">
        <v>-3515</v>
      </c>
      <c r="DX175" s="315">
        <v>-1210</v>
      </c>
      <c r="DY175" s="315">
        <v>-1736</v>
      </c>
      <c r="DZ175" s="315">
        <v>-569</v>
      </c>
      <c r="EA175" s="315">
        <v>-11678</v>
      </c>
      <c r="EB175" s="315">
        <v>-6</v>
      </c>
      <c r="EC175" s="315"/>
      <c r="ED175" s="315"/>
      <c r="EE175" s="315">
        <v>-36</v>
      </c>
      <c r="EF175" s="315">
        <v>1539467</v>
      </c>
      <c r="EG175" s="315">
        <v>811067</v>
      </c>
      <c r="EH175" s="315">
        <v>728400</v>
      </c>
      <c r="EI175" s="315">
        <v>710561</v>
      </c>
      <c r="EJ175" s="315">
        <v>17839</v>
      </c>
      <c r="EK175" s="315">
        <v>78518</v>
      </c>
      <c r="EL175" s="315">
        <v>43945</v>
      </c>
      <c r="EM175" s="315">
        <v>34573</v>
      </c>
      <c r="EN175" s="315">
        <v>33581</v>
      </c>
      <c r="EO175" s="315">
        <v>992</v>
      </c>
      <c r="EP175" s="315">
        <v>21432</v>
      </c>
      <c r="EQ175" s="315">
        <v>11356</v>
      </c>
      <c r="ER175" s="315">
        <v>10076</v>
      </c>
      <c r="ES175" s="315">
        <v>9800</v>
      </c>
      <c r="ET175" s="315">
        <v>276</v>
      </c>
      <c r="EU175" s="315">
        <v>1386</v>
      </c>
      <c r="EV175" s="315">
        <v>613</v>
      </c>
      <c r="EW175" s="315">
        <v>773</v>
      </c>
      <c r="EX175" s="315">
        <v>751</v>
      </c>
      <c r="EY175" s="315">
        <v>22</v>
      </c>
      <c r="EZ175" s="315">
        <v>836364</v>
      </c>
      <c r="FA175" s="315">
        <v>471686</v>
      </c>
      <c r="FB175" s="315">
        <v>364678</v>
      </c>
      <c r="FC175" s="315">
        <v>354368</v>
      </c>
      <c r="FD175" s="315">
        <v>10310</v>
      </c>
      <c r="FE175" s="315">
        <v>503506</v>
      </c>
      <c r="FF175" s="315">
        <v>280295</v>
      </c>
      <c r="FG175" s="315">
        <v>223211</v>
      </c>
      <c r="FH175" s="315">
        <v>216972</v>
      </c>
      <c r="FI175" s="315">
        <v>6239</v>
      </c>
      <c r="FJ175" s="315">
        <v>98201</v>
      </c>
      <c r="FK175" s="315">
        <v>3112</v>
      </c>
      <c r="FL175" s="315">
        <v>95089</v>
      </c>
      <c r="FM175" s="315">
        <v>95089</v>
      </c>
      <c r="FN175" s="315"/>
      <c r="FO175" s="315"/>
      <c r="FP175" s="315"/>
      <c r="FQ175" s="315">
        <v>60</v>
      </c>
      <c r="FR175" s="315">
        <v>442674</v>
      </c>
      <c r="FS175" s="315">
        <v>-18902</v>
      </c>
      <c r="FT175" s="315">
        <v>423772</v>
      </c>
      <c r="FU175" s="315"/>
      <c r="FV175" s="315"/>
      <c r="FW175" s="315"/>
      <c r="FX175" s="315">
        <v>124050</v>
      </c>
      <c r="FY175" s="315">
        <v>102537</v>
      </c>
      <c r="FZ175" s="315"/>
      <c r="GA175" s="315"/>
      <c r="GB175" s="315"/>
      <c r="GC175" s="315">
        <v>73331</v>
      </c>
      <c r="GD175" s="315">
        <v>2948</v>
      </c>
      <c r="GE175" s="315"/>
      <c r="GF175" s="315">
        <v>70383</v>
      </c>
      <c r="GG175" s="315">
        <v>123854</v>
      </c>
      <c r="GH175" s="315">
        <v>34456</v>
      </c>
      <c r="GI175" s="315">
        <v>-989</v>
      </c>
      <c r="GJ175" s="315">
        <v>90387</v>
      </c>
      <c r="GL175"/>
      <c r="GM175"/>
      <c r="GN175"/>
      <c r="GO175"/>
    </row>
    <row r="176" spans="1:197">
      <c r="A176" s="96" t="s">
        <v>27</v>
      </c>
      <c r="B176" s="96">
        <v>1</v>
      </c>
      <c r="C176" s="97" t="s">
        <v>217</v>
      </c>
      <c r="D176" s="314">
        <v>15220043</v>
      </c>
      <c r="E176" s="314">
        <v>-1088782</v>
      </c>
      <c r="F176" s="314">
        <v>-104066</v>
      </c>
      <c r="G176" s="314">
        <v>14027195</v>
      </c>
      <c r="H176" s="314">
        <v>9266812</v>
      </c>
      <c r="I176" s="314">
        <v>4760383</v>
      </c>
      <c r="J176" s="314">
        <v>4617440</v>
      </c>
      <c r="K176" s="314">
        <v>142943</v>
      </c>
      <c r="L176" s="314">
        <v>10799100</v>
      </c>
      <c r="M176" s="314">
        <v>9279171</v>
      </c>
      <c r="N176" s="314">
        <v>44892</v>
      </c>
      <c r="O176" s="314"/>
      <c r="P176" s="314"/>
      <c r="Q176" s="314">
        <v>21281</v>
      </c>
      <c r="R176" s="314">
        <v>1453756</v>
      </c>
      <c r="S176" s="314">
        <v>-272678</v>
      </c>
      <c r="T176" s="314">
        <v>-267284</v>
      </c>
      <c r="U176" s="314">
        <v>-2226</v>
      </c>
      <c r="V176" s="314">
        <v>-114777</v>
      </c>
      <c r="W176" s="314">
        <v>0</v>
      </c>
      <c r="X176" s="314">
        <v>-139125</v>
      </c>
      <c r="Y176" s="314">
        <v>-11156</v>
      </c>
      <c r="Z176" s="314">
        <v>-2253</v>
      </c>
      <c r="AA176" s="314">
        <v>-3141</v>
      </c>
      <c r="AB176" s="314">
        <v>0</v>
      </c>
      <c r="AC176" s="314">
        <v>-104066</v>
      </c>
      <c r="AD176" s="314">
        <v>10422356</v>
      </c>
      <c r="AE176" s="314">
        <v>7980706</v>
      </c>
      <c r="AF176" s="314">
        <v>2441650</v>
      </c>
      <c r="AG176" s="314">
        <v>2363453</v>
      </c>
      <c r="AH176" s="314">
        <v>78197</v>
      </c>
      <c r="AI176" s="314">
        <v>9277147</v>
      </c>
      <c r="AJ176" s="314">
        <v>1608593</v>
      </c>
      <c r="AK176" s="314">
        <v>3375030</v>
      </c>
      <c r="AL176" s="314">
        <v>4238766</v>
      </c>
      <c r="AM176" s="314">
        <v>868895</v>
      </c>
      <c r="AN176" s="314">
        <v>422532</v>
      </c>
      <c r="AO176" s="314">
        <v>74049</v>
      </c>
      <c r="AP176" s="314"/>
      <c r="AQ176" s="314">
        <v>87163</v>
      </c>
      <c r="AR176" s="314">
        <v>-222392</v>
      </c>
      <c r="AS176" s="314">
        <v>19028</v>
      </c>
      <c r="AT176" s="314">
        <v>0</v>
      </c>
      <c r="AU176" s="314">
        <v>-104066</v>
      </c>
      <c r="AV176" s="314">
        <v>897546</v>
      </c>
      <c r="AW176" s="314">
        <v>147900</v>
      </c>
      <c r="AX176" s="314">
        <v>97057</v>
      </c>
      <c r="AY176" s="314"/>
      <c r="AZ176" s="314"/>
      <c r="BA176" s="314"/>
      <c r="BB176" s="314"/>
      <c r="BC176" s="314">
        <v>73071</v>
      </c>
      <c r="BD176" s="314">
        <v>579518</v>
      </c>
      <c r="BE176" s="314">
        <v>-347905</v>
      </c>
      <c r="BF176" s="314">
        <v>-346782</v>
      </c>
      <c r="BG176" s="314">
        <v>-338411</v>
      </c>
      <c r="BH176" s="314">
        <v>-8371</v>
      </c>
      <c r="BI176" s="314">
        <v>0</v>
      </c>
      <c r="BJ176" s="314">
        <v>-330428</v>
      </c>
      <c r="BK176" s="314">
        <v>-16354</v>
      </c>
      <c r="BL176" s="314">
        <v>-1076</v>
      </c>
      <c r="BM176" s="314">
        <v>-47</v>
      </c>
      <c r="BN176" s="314">
        <v>549641</v>
      </c>
      <c r="BO176" s="314">
        <v>369269</v>
      </c>
      <c r="BP176" s="314">
        <v>178194</v>
      </c>
      <c r="BQ176" s="314">
        <v>31517</v>
      </c>
      <c r="BR176" s="314"/>
      <c r="BS176" s="314">
        <v>147264</v>
      </c>
      <c r="BT176" s="314"/>
      <c r="BU176" s="314"/>
      <c r="BV176" s="314"/>
      <c r="BW176" s="314"/>
      <c r="BX176" s="314">
        <v>-241354</v>
      </c>
      <c r="BY176" s="314">
        <v>64700</v>
      </c>
      <c r="BZ176" s="314">
        <v>51</v>
      </c>
      <c r="CA176" s="314">
        <v>205148</v>
      </c>
      <c r="CB176" s="314">
        <v>-4670</v>
      </c>
      <c r="CC176" s="314">
        <v>-4243</v>
      </c>
      <c r="CD176" s="314">
        <v>-427</v>
      </c>
      <c r="CE176" s="314">
        <v>200478</v>
      </c>
      <c r="CF176" s="314">
        <v>151061</v>
      </c>
      <c r="CG176" s="314">
        <v>105</v>
      </c>
      <c r="CH176" s="314">
        <v>49312</v>
      </c>
      <c r="CI176" s="314">
        <v>1211542</v>
      </c>
      <c r="CJ176" s="314">
        <v>576172</v>
      </c>
      <c r="CK176" s="314">
        <v>635370</v>
      </c>
      <c r="CL176" s="314">
        <v>190151</v>
      </c>
      <c r="CM176" s="314">
        <v>277402</v>
      </c>
      <c r="CN176" s="314">
        <v>167817</v>
      </c>
      <c r="CO176" s="314">
        <v>0</v>
      </c>
      <c r="CP176" s="314">
        <v>0</v>
      </c>
      <c r="CQ176" s="314">
        <v>167817</v>
      </c>
      <c r="CR176" s="314">
        <v>-448998</v>
      </c>
      <c r="CS176" s="314">
        <v>-222862</v>
      </c>
      <c r="CT176" s="314">
        <v>0</v>
      </c>
      <c r="CU176" s="314">
        <v>-92980</v>
      </c>
      <c r="CV176" s="314">
        <v>-1038</v>
      </c>
      <c r="CW176" s="314">
        <v>-128844</v>
      </c>
      <c r="CX176" s="314">
        <v>-226136</v>
      </c>
      <c r="CY176" s="314">
        <v>0</v>
      </c>
      <c r="CZ176" s="314">
        <v>-218081</v>
      </c>
      <c r="DA176" s="314">
        <v>-8055</v>
      </c>
      <c r="DB176" s="314">
        <v>0</v>
      </c>
      <c r="DC176" s="314">
        <v>0</v>
      </c>
      <c r="DD176" s="314">
        <v>762544</v>
      </c>
      <c r="DE176" s="314">
        <v>-809064</v>
      </c>
      <c r="DF176" s="314">
        <v>1571608</v>
      </c>
      <c r="DG176" s="314">
        <v>1524149</v>
      </c>
      <c r="DH176" s="314">
        <v>47459</v>
      </c>
      <c r="DI176" s="314">
        <v>1759027</v>
      </c>
      <c r="DJ176" s="314">
        <v>56557</v>
      </c>
      <c r="DK176" s="314">
        <v>23804</v>
      </c>
      <c r="DL176" s="314">
        <v>977</v>
      </c>
      <c r="DM176" s="314">
        <v>835789</v>
      </c>
      <c r="DN176" s="314">
        <v>718738</v>
      </c>
      <c r="DO176" s="314">
        <v>123050</v>
      </c>
      <c r="DP176" s="314"/>
      <c r="DQ176" s="314"/>
      <c r="DR176" s="314">
        <v>112</v>
      </c>
      <c r="DS176" s="314">
        <v>-2864</v>
      </c>
      <c r="DT176" s="314">
        <v>-1460</v>
      </c>
      <c r="DU176" s="314">
        <v>-21</v>
      </c>
      <c r="DV176" s="314">
        <v>-3</v>
      </c>
      <c r="DW176" s="314">
        <v>-1359</v>
      </c>
      <c r="DX176" s="314">
        <v>-270</v>
      </c>
      <c r="DY176" s="314">
        <v>-523</v>
      </c>
      <c r="DZ176" s="314">
        <v>-566</v>
      </c>
      <c r="EA176" s="314">
        <v>0</v>
      </c>
      <c r="EB176" s="314">
        <v>-12</v>
      </c>
      <c r="EC176" s="314"/>
      <c r="ED176" s="314"/>
      <c r="EE176" s="314">
        <v>-9</v>
      </c>
      <c r="EF176" s="314">
        <v>1756163</v>
      </c>
      <c r="EG176" s="314">
        <v>1009038</v>
      </c>
      <c r="EH176" s="314">
        <v>747125</v>
      </c>
      <c r="EI176" s="314">
        <v>729838</v>
      </c>
      <c r="EJ176" s="314">
        <v>17287</v>
      </c>
      <c r="EK176" s="314">
        <v>55097</v>
      </c>
      <c r="EL176" s="314">
        <v>23034</v>
      </c>
      <c r="EM176" s="314">
        <v>32063</v>
      </c>
      <c r="EN176" s="314">
        <v>31131</v>
      </c>
      <c r="EO176" s="314">
        <v>932</v>
      </c>
      <c r="EP176" s="314">
        <v>23783</v>
      </c>
      <c r="EQ176" s="314">
        <v>13982</v>
      </c>
      <c r="ER176" s="314">
        <v>9801</v>
      </c>
      <c r="ES176" s="314">
        <v>9539</v>
      </c>
      <c r="ET176" s="314">
        <v>262</v>
      </c>
      <c r="EU176" s="314">
        <v>974</v>
      </c>
      <c r="EV176" s="314">
        <v>268</v>
      </c>
      <c r="EW176" s="314">
        <v>706</v>
      </c>
      <c r="EX176" s="314">
        <v>686</v>
      </c>
      <c r="EY176" s="314">
        <v>20</v>
      </c>
      <c r="EZ176" s="314">
        <v>834430</v>
      </c>
      <c r="FA176" s="314">
        <v>482190</v>
      </c>
      <c r="FB176" s="314">
        <v>352240</v>
      </c>
      <c r="FC176" s="314">
        <v>342543</v>
      </c>
      <c r="FD176" s="314">
        <v>9697</v>
      </c>
      <c r="FE176" s="314">
        <v>718738</v>
      </c>
      <c r="FF176" s="314">
        <v>468930</v>
      </c>
      <c r="FG176" s="314">
        <v>249808</v>
      </c>
      <c r="FH176" s="314">
        <v>243432</v>
      </c>
      <c r="FI176" s="314">
        <v>6376</v>
      </c>
      <c r="FJ176" s="314">
        <v>123038</v>
      </c>
      <c r="FK176" s="314">
        <v>20531</v>
      </c>
      <c r="FL176" s="314">
        <v>102507</v>
      </c>
      <c r="FM176" s="314">
        <v>102507</v>
      </c>
      <c r="FN176" s="314"/>
      <c r="FO176" s="314"/>
      <c r="FP176" s="314"/>
      <c r="FQ176" s="314">
        <v>103</v>
      </c>
      <c r="FR176" s="314">
        <v>347680</v>
      </c>
      <c r="FS176" s="314">
        <v>-11667</v>
      </c>
      <c r="FT176" s="314">
        <v>336013</v>
      </c>
      <c r="FU176" s="314"/>
      <c r="FV176" s="314"/>
      <c r="FW176" s="314"/>
      <c r="FX176" s="314">
        <v>112175</v>
      </c>
      <c r="FY176" s="314">
        <v>119516</v>
      </c>
      <c r="FZ176" s="314"/>
      <c r="GA176" s="314"/>
      <c r="GB176" s="314"/>
      <c r="GC176" s="314">
        <v>48894</v>
      </c>
      <c r="GD176" s="314">
        <v>183</v>
      </c>
      <c r="GE176" s="314"/>
      <c r="GF176" s="314">
        <v>48711</v>
      </c>
      <c r="GG176" s="314">
        <v>55428</v>
      </c>
      <c r="GH176" s="314">
        <v>10629</v>
      </c>
      <c r="GI176" s="314">
        <v>701</v>
      </c>
      <c r="GJ176" s="314">
        <v>44098</v>
      </c>
      <c r="GL176"/>
      <c r="GM176"/>
      <c r="GN176"/>
      <c r="GO176"/>
    </row>
    <row r="177" spans="1:197">
      <c r="A177" s="98" t="s">
        <v>27</v>
      </c>
      <c r="B177" s="98">
        <v>2</v>
      </c>
      <c r="C177" s="98" t="s">
        <v>218</v>
      </c>
      <c r="D177" s="315">
        <v>22075451</v>
      </c>
      <c r="E177" s="315">
        <v>-1092992</v>
      </c>
      <c r="F177" s="315">
        <v>-13006</v>
      </c>
      <c r="G177" s="315">
        <v>20969453</v>
      </c>
      <c r="H177" s="315">
        <v>16209072</v>
      </c>
      <c r="I177" s="315">
        <v>4760381</v>
      </c>
      <c r="J177" s="315">
        <v>4617439</v>
      </c>
      <c r="K177" s="315">
        <v>142942</v>
      </c>
      <c r="L177" s="315">
        <v>4740448</v>
      </c>
      <c r="M177" s="315">
        <v>3527076</v>
      </c>
      <c r="N177" s="315">
        <v>57528</v>
      </c>
      <c r="O177" s="315"/>
      <c r="P177" s="315"/>
      <c r="Q177" s="315">
        <v>24075</v>
      </c>
      <c r="R177" s="315">
        <v>1131769</v>
      </c>
      <c r="S177" s="315">
        <v>-305141</v>
      </c>
      <c r="T177" s="315">
        <v>-293395</v>
      </c>
      <c r="U177" s="315">
        <v>-114687</v>
      </c>
      <c r="V177" s="315">
        <v>-54849</v>
      </c>
      <c r="W177" s="315">
        <v>0</v>
      </c>
      <c r="X177" s="315">
        <v>-105656</v>
      </c>
      <c r="Y177" s="315">
        <v>-18203</v>
      </c>
      <c r="Z177" s="315">
        <v>-2959</v>
      </c>
      <c r="AA177" s="315">
        <v>-8787</v>
      </c>
      <c r="AB177" s="315">
        <v>0</v>
      </c>
      <c r="AC177" s="315">
        <v>-13006</v>
      </c>
      <c r="AD177" s="315">
        <v>4422301</v>
      </c>
      <c r="AE177" s="315">
        <v>1980651</v>
      </c>
      <c r="AF177" s="315">
        <v>2441650</v>
      </c>
      <c r="AG177" s="315">
        <v>2363453</v>
      </c>
      <c r="AH177" s="315">
        <v>78197</v>
      </c>
      <c r="AI177" s="315">
        <v>3519369</v>
      </c>
      <c r="AJ177" s="315">
        <v>1176565</v>
      </c>
      <c r="AK177" s="315">
        <v>2235766</v>
      </c>
      <c r="AL177" s="315">
        <v>39958</v>
      </c>
      <c r="AM177" s="315">
        <v>528309</v>
      </c>
      <c r="AN177" s="315">
        <v>54491</v>
      </c>
      <c r="AO177" s="315">
        <v>43189</v>
      </c>
      <c r="AP177" s="315"/>
      <c r="AQ177" s="315">
        <v>504700</v>
      </c>
      <c r="AR177" s="315">
        <v>-235867</v>
      </c>
      <c r="AS177" s="315">
        <v>21116</v>
      </c>
      <c r="AT177" s="315">
        <v>0</v>
      </c>
      <c r="AU177" s="315">
        <v>-13006</v>
      </c>
      <c r="AV177" s="315">
        <v>1185342</v>
      </c>
      <c r="AW177" s="315">
        <v>49310</v>
      </c>
      <c r="AX177" s="315">
        <v>285515</v>
      </c>
      <c r="AY177" s="315"/>
      <c r="AZ177" s="315"/>
      <c r="BA177" s="315"/>
      <c r="BB177" s="315"/>
      <c r="BC177" s="315">
        <v>92456</v>
      </c>
      <c r="BD177" s="315">
        <v>758061</v>
      </c>
      <c r="BE177" s="315">
        <v>-396718</v>
      </c>
      <c r="BF177" s="315">
        <v>-391741</v>
      </c>
      <c r="BG177" s="315">
        <v>-375646</v>
      </c>
      <c r="BH177" s="315">
        <v>-16095</v>
      </c>
      <c r="BI177" s="315">
        <v>0</v>
      </c>
      <c r="BJ177" s="315">
        <v>-358337</v>
      </c>
      <c r="BK177" s="315">
        <v>-33404</v>
      </c>
      <c r="BL177" s="315">
        <v>-4977</v>
      </c>
      <c r="BM177" s="315">
        <v>0</v>
      </c>
      <c r="BN177" s="315">
        <v>788624</v>
      </c>
      <c r="BO177" s="315">
        <v>718075</v>
      </c>
      <c r="BP177" s="315">
        <v>21070</v>
      </c>
      <c r="BQ177" s="315">
        <v>18387</v>
      </c>
      <c r="BR177" s="315"/>
      <c r="BS177" s="315">
        <v>44730</v>
      </c>
      <c r="BT177" s="315"/>
      <c r="BU177" s="315"/>
      <c r="BV177" s="315"/>
      <c r="BW177" s="315"/>
      <c r="BX177" s="315">
        <v>-90131</v>
      </c>
      <c r="BY177" s="315">
        <v>76361</v>
      </c>
      <c r="BZ177" s="315">
        <v>132</v>
      </c>
      <c r="CA177" s="315">
        <v>606857</v>
      </c>
      <c r="CB177" s="315">
        <v>-8020</v>
      </c>
      <c r="CC177" s="315">
        <v>-8020</v>
      </c>
      <c r="CD177" s="315">
        <v>0</v>
      </c>
      <c r="CE177" s="315">
        <v>598837</v>
      </c>
      <c r="CF177" s="315">
        <v>186181</v>
      </c>
      <c r="CG177" s="315">
        <v>30</v>
      </c>
      <c r="CH177" s="315">
        <v>412626</v>
      </c>
      <c r="CI177" s="315">
        <v>13683884</v>
      </c>
      <c r="CJ177" s="315">
        <v>552863</v>
      </c>
      <c r="CK177" s="315">
        <v>13131021</v>
      </c>
      <c r="CL177" s="315">
        <v>6895685</v>
      </c>
      <c r="CM177" s="315">
        <v>5966022</v>
      </c>
      <c r="CN177" s="315">
        <v>269314</v>
      </c>
      <c r="CO177" s="315">
        <v>0</v>
      </c>
      <c r="CP177" s="315">
        <v>0</v>
      </c>
      <c r="CQ177" s="315">
        <v>269314</v>
      </c>
      <c r="CR177" s="315">
        <v>-358764</v>
      </c>
      <c r="CS177" s="315">
        <v>-194372</v>
      </c>
      <c r="CT177" s="315">
        <v>0</v>
      </c>
      <c r="CU177" s="315">
        <v>-74631</v>
      </c>
      <c r="CV177" s="315">
        <v>-1068</v>
      </c>
      <c r="CW177" s="315">
        <v>-118673</v>
      </c>
      <c r="CX177" s="315">
        <v>-164392</v>
      </c>
      <c r="CY177" s="315">
        <v>0</v>
      </c>
      <c r="CZ177" s="315">
        <v>-159466</v>
      </c>
      <c r="DA177" s="315">
        <v>-4926</v>
      </c>
      <c r="DB177" s="315">
        <v>0</v>
      </c>
      <c r="DC177" s="315">
        <v>0</v>
      </c>
      <c r="DD177" s="315">
        <v>13325120</v>
      </c>
      <c r="DE177" s="315">
        <v>11753513</v>
      </c>
      <c r="DF177" s="315">
        <v>1571607</v>
      </c>
      <c r="DG177" s="315">
        <v>1524149</v>
      </c>
      <c r="DH177" s="315">
        <v>47458</v>
      </c>
      <c r="DI177" s="315">
        <v>1476296</v>
      </c>
      <c r="DJ177" s="315">
        <v>110516</v>
      </c>
      <c r="DK177" s="315">
        <v>17407</v>
      </c>
      <c r="DL177" s="315">
        <v>2842</v>
      </c>
      <c r="DM177" s="315">
        <v>757135</v>
      </c>
      <c r="DN177" s="315">
        <v>477682</v>
      </c>
      <c r="DO177" s="315">
        <v>110637</v>
      </c>
      <c r="DP177" s="315"/>
      <c r="DQ177" s="315"/>
      <c r="DR177" s="315">
        <v>77</v>
      </c>
      <c r="DS177" s="315">
        <v>-10495</v>
      </c>
      <c r="DT177" s="315">
        <v>-3742</v>
      </c>
      <c r="DU177" s="315">
        <v>-145</v>
      </c>
      <c r="DV177" s="315">
        <v>-9</v>
      </c>
      <c r="DW177" s="315">
        <v>-6331</v>
      </c>
      <c r="DX177" s="315">
        <v>-646</v>
      </c>
      <c r="DY177" s="315">
        <v>-4393</v>
      </c>
      <c r="DZ177" s="315">
        <v>-1292</v>
      </c>
      <c r="EA177" s="315">
        <v>0</v>
      </c>
      <c r="EB177" s="315">
        <v>-49</v>
      </c>
      <c r="EC177" s="315"/>
      <c r="ED177" s="315"/>
      <c r="EE177" s="315">
        <v>-219</v>
      </c>
      <c r="EF177" s="315">
        <v>1465801</v>
      </c>
      <c r="EG177" s="315">
        <v>718677</v>
      </c>
      <c r="EH177" s="315">
        <v>747124</v>
      </c>
      <c r="EI177" s="315">
        <v>729837</v>
      </c>
      <c r="EJ177" s="315">
        <v>17287</v>
      </c>
      <c r="EK177" s="315">
        <v>106774</v>
      </c>
      <c r="EL177" s="315">
        <v>74711</v>
      </c>
      <c r="EM177" s="315">
        <v>32063</v>
      </c>
      <c r="EN177" s="315">
        <v>31132</v>
      </c>
      <c r="EO177" s="315">
        <v>931</v>
      </c>
      <c r="EP177" s="315">
        <v>17262</v>
      </c>
      <c r="EQ177" s="315">
        <v>7462</v>
      </c>
      <c r="ER177" s="315">
        <v>9800</v>
      </c>
      <c r="ES177" s="315">
        <v>9538</v>
      </c>
      <c r="ET177" s="315">
        <v>262</v>
      </c>
      <c r="EU177" s="315">
        <v>2833</v>
      </c>
      <c r="EV177" s="315">
        <v>2128</v>
      </c>
      <c r="EW177" s="315">
        <v>705</v>
      </c>
      <c r="EX177" s="315">
        <v>686</v>
      </c>
      <c r="EY177" s="315">
        <v>19</v>
      </c>
      <c r="EZ177" s="315">
        <v>750804</v>
      </c>
      <c r="FA177" s="315">
        <v>398564</v>
      </c>
      <c r="FB177" s="315">
        <v>352240</v>
      </c>
      <c r="FC177" s="315">
        <v>342542</v>
      </c>
      <c r="FD177" s="315">
        <v>9698</v>
      </c>
      <c r="FE177" s="315">
        <v>477682</v>
      </c>
      <c r="FF177" s="315">
        <v>227873</v>
      </c>
      <c r="FG177" s="315">
        <v>249809</v>
      </c>
      <c r="FH177" s="315">
        <v>243432</v>
      </c>
      <c r="FI177" s="315">
        <v>6377</v>
      </c>
      <c r="FJ177" s="315">
        <v>110588</v>
      </c>
      <c r="FK177" s="315">
        <v>8081</v>
      </c>
      <c r="FL177" s="315">
        <v>102507</v>
      </c>
      <c r="FM177" s="315">
        <v>102507</v>
      </c>
      <c r="FN177" s="315"/>
      <c r="FO177" s="315"/>
      <c r="FP177" s="315"/>
      <c r="FQ177" s="315">
        <v>-142</v>
      </c>
      <c r="FR177" s="315">
        <v>382624</v>
      </c>
      <c r="FS177" s="315">
        <v>-13854</v>
      </c>
      <c r="FT177" s="315">
        <v>368770</v>
      </c>
      <c r="FU177" s="315"/>
      <c r="FV177" s="315"/>
      <c r="FW177" s="315"/>
      <c r="FX177" s="315">
        <v>122355</v>
      </c>
      <c r="FY177" s="315">
        <v>120756</v>
      </c>
      <c r="FZ177" s="315"/>
      <c r="GA177" s="315"/>
      <c r="GB177" s="315"/>
      <c r="GC177" s="315">
        <v>77344</v>
      </c>
      <c r="GD177" s="315">
        <v>207</v>
      </c>
      <c r="GE177" s="315"/>
      <c r="GF177" s="315">
        <v>77137</v>
      </c>
      <c r="GG177" s="315">
        <v>48315</v>
      </c>
      <c r="GH177" s="315">
        <v>4076</v>
      </c>
      <c r="GI177" s="315">
        <v>2689</v>
      </c>
      <c r="GJ177" s="315">
        <v>41550</v>
      </c>
      <c r="GL177"/>
      <c r="GM177"/>
      <c r="GN177"/>
      <c r="GO177"/>
    </row>
    <row r="178" spans="1:197">
      <c r="A178" s="98" t="s">
        <v>27</v>
      </c>
      <c r="B178" s="98">
        <v>3</v>
      </c>
      <c r="C178" s="98" t="s">
        <v>219</v>
      </c>
      <c r="D178" s="315">
        <v>10647033</v>
      </c>
      <c r="E178" s="315">
        <v>-5139195</v>
      </c>
      <c r="F178" s="315">
        <v>-13006</v>
      </c>
      <c r="G178" s="315">
        <v>5494832</v>
      </c>
      <c r="H178" s="315">
        <v>734449</v>
      </c>
      <c r="I178" s="315">
        <v>4760383</v>
      </c>
      <c r="J178" s="315">
        <v>4617440</v>
      </c>
      <c r="K178" s="315">
        <v>142943</v>
      </c>
      <c r="L178" s="315">
        <v>4419997</v>
      </c>
      <c r="M178" s="315">
        <v>3845613</v>
      </c>
      <c r="N178" s="315">
        <v>61136</v>
      </c>
      <c r="O178" s="315"/>
      <c r="P178" s="315"/>
      <c r="Q178" s="315">
        <v>40055</v>
      </c>
      <c r="R178" s="315">
        <v>473193</v>
      </c>
      <c r="S178" s="315">
        <v>-251947</v>
      </c>
      <c r="T178" s="315">
        <v>-238699</v>
      </c>
      <c r="U178" s="315">
        <v>-150628</v>
      </c>
      <c r="V178" s="315">
        <v>-8422</v>
      </c>
      <c r="W178" s="315">
        <v>0</v>
      </c>
      <c r="X178" s="315">
        <v>-63775</v>
      </c>
      <c r="Y178" s="315">
        <v>-15874</v>
      </c>
      <c r="Z178" s="315">
        <v>-3991</v>
      </c>
      <c r="AA178" s="315">
        <v>-9257</v>
      </c>
      <c r="AB178" s="315">
        <v>0</v>
      </c>
      <c r="AC178" s="315">
        <v>-13006</v>
      </c>
      <c r="AD178" s="315">
        <v>4155044</v>
      </c>
      <c r="AE178" s="315">
        <v>1713394</v>
      </c>
      <c r="AF178" s="315">
        <v>2441650</v>
      </c>
      <c r="AG178" s="315">
        <v>2363453</v>
      </c>
      <c r="AH178" s="315">
        <v>78197</v>
      </c>
      <c r="AI178" s="315">
        <v>3837944</v>
      </c>
      <c r="AJ178" s="315">
        <v>1152045</v>
      </c>
      <c r="AK178" s="315">
        <v>2600478</v>
      </c>
      <c r="AL178" s="315">
        <v>12042</v>
      </c>
      <c r="AM178" s="315">
        <v>375329</v>
      </c>
      <c r="AN178" s="315">
        <v>50140</v>
      </c>
      <c r="AO178" s="315">
        <v>40218</v>
      </c>
      <c r="AP178" s="315"/>
      <c r="AQ178" s="315">
        <v>5918</v>
      </c>
      <c r="AR178" s="315">
        <v>-177563</v>
      </c>
      <c r="AS178" s="315">
        <v>36064</v>
      </c>
      <c r="AT178" s="315">
        <v>0</v>
      </c>
      <c r="AU178" s="315">
        <v>-13006</v>
      </c>
      <c r="AV178" s="315">
        <v>616832</v>
      </c>
      <c r="AW178" s="315">
        <v>24572</v>
      </c>
      <c r="AX178" s="315">
        <v>84581</v>
      </c>
      <c r="AY178" s="315"/>
      <c r="AZ178" s="315"/>
      <c r="BA178" s="315"/>
      <c r="BB178" s="315"/>
      <c r="BC178" s="315">
        <v>272979</v>
      </c>
      <c r="BD178" s="315">
        <v>234700</v>
      </c>
      <c r="BE178" s="315">
        <v>-936575</v>
      </c>
      <c r="BF178" s="315">
        <v>-445429</v>
      </c>
      <c r="BG178" s="315">
        <v>-191108</v>
      </c>
      <c r="BH178" s="315">
        <v>-254321</v>
      </c>
      <c r="BI178" s="315">
        <v>0</v>
      </c>
      <c r="BJ178" s="315">
        <v>-194323</v>
      </c>
      <c r="BK178" s="315">
        <v>-251106</v>
      </c>
      <c r="BL178" s="315">
        <v>-2620</v>
      </c>
      <c r="BM178" s="315">
        <v>-488526</v>
      </c>
      <c r="BN178" s="315">
        <v>-319743</v>
      </c>
      <c r="BO178" s="315">
        <v>-289985</v>
      </c>
      <c r="BP178" s="315">
        <v>18116</v>
      </c>
      <c r="BQ178" s="315">
        <v>17093</v>
      </c>
      <c r="BR178" s="315"/>
      <c r="BS178" s="315">
        <v>22654</v>
      </c>
      <c r="BT178" s="315"/>
      <c r="BU178" s="315"/>
      <c r="BV178" s="315"/>
      <c r="BW178" s="315"/>
      <c r="BX178" s="315">
        <v>-106527</v>
      </c>
      <c r="BY178" s="315">
        <v>18658</v>
      </c>
      <c r="BZ178" s="315">
        <v>248</v>
      </c>
      <c r="CA178" s="315">
        <v>219590</v>
      </c>
      <c r="CB178" s="315">
        <v>-415951</v>
      </c>
      <c r="CC178" s="315">
        <v>-16249</v>
      </c>
      <c r="CD178" s="315">
        <v>-399702</v>
      </c>
      <c r="CE178" s="315">
        <v>-196361</v>
      </c>
      <c r="CF178" s="315">
        <v>159757</v>
      </c>
      <c r="CG178" s="315">
        <v>20</v>
      </c>
      <c r="CH178" s="315">
        <v>-356138</v>
      </c>
      <c r="CI178" s="315">
        <v>3628238</v>
      </c>
      <c r="CJ178" s="315">
        <v>512720</v>
      </c>
      <c r="CK178" s="315">
        <v>3115518</v>
      </c>
      <c r="CL178" s="315">
        <v>2798755</v>
      </c>
      <c r="CM178" s="315">
        <v>54470</v>
      </c>
      <c r="CN178" s="315">
        <v>262293</v>
      </c>
      <c r="CO178" s="315">
        <v>0</v>
      </c>
      <c r="CP178" s="315">
        <v>3444</v>
      </c>
      <c r="CQ178" s="315">
        <v>258849</v>
      </c>
      <c r="CR178" s="315">
        <v>-3448984</v>
      </c>
      <c r="CS178" s="315">
        <v>-1487181</v>
      </c>
      <c r="CT178" s="315">
        <v>-1288347</v>
      </c>
      <c r="CU178" s="315">
        <v>-57530</v>
      </c>
      <c r="CV178" s="315">
        <v>-1586</v>
      </c>
      <c r="CW178" s="315">
        <v>-139718</v>
      </c>
      <c r="CX178" s="315">
        <v>-1892533</v>
      </c>
      <c r="CY178" s="315">
        <v>-1078075</v>
      </c>
      <c r="CZ178" s="315">
        <v>-804777</v>
      </c>
      <c r="DA178" s="315">
        <v>-9681</v>
      </c>
      <c r="DB178" s="315">
        <v>0</v>
      </c>
      <c r="DC178" s="315">
        <v>-69270</v>
      </c>
      <c r="DD178" s="315">
        <v>179254</v>
      </c>
      <c r="DE178" s="315">
        <v>-1392354</v>
      </c>
      <c r="DF178" s="315">
        <v>1571608</v>
      </c>
      <c r="DG178" s="315">
        <v>1524149</v>
      </c>
      <c r="DH178" s="315">
        <v>47459</v>
      </c>
      <c r="DI178" s="315">
        <v>1381830</v>
      </c>
      <c r="DJ178" s="315">
        <v>89616</v>
      </c>
      <c r="DK178" s="315">
        <v>20169</v>
      </c>
      <c r="DL178" s="315">
        <v>1525</v>
      </c>
      <c r="DM178" s="315">
        <v>746712</v>
      </c>
      <c r="DN178" s="315">
        <v>404288</v>
      </c>
      <c r="DO178" s="315">
        <v>119485</v>
      </c>
      <c r="DP178" s="315"/>
      <c r="DQ178" s="315"/>
      <c r="DR178" s="315">
        <v>35</v>
      </c>
      <c r="DS178" s="315">
        <v>-58804</v>
      </c>
      <c r="DT178" s="315">
        <v>-1112</v>
      </c>
      <c r="DU178" s="315">
        <v>-657</v>
      </c>
      <c r="DV178" s="315">
        <v>-40</v>
      </c>
      <c r="DW178" s="315">
        <v>-43483</v>
      </c>
      <c r="DX178" s="315">
        <v>-289</v>
      </c>
      <c r="DY178" s="315">
        <v>-1507</v>
      </c>
      <c r="DZ178" s="315">
        <v>-41687</v>
      </c>
      <c r="EA178" s="315">
        <v>-13101</v>
      </c>
      <c r="EB178" s="315">
        <v>-226</v>
      </c>
      <c r="EC178" s="315"/>
      <c r="ED178" s="315"/>
      <c r="EE178" s="315">
        <v>-185</v>
      </c>
      <c r="EF178" s="315">
        <v>1323026</v>
      </c>
      <c r="EG178" s="315">
        <v>575901</v>
      </c>
      <c r="EH178" s="315">
        <v>747125</v>
      </c>
      <c r="EI178" s="315">
        <v>729838</v>
      </c>
      <c r="EJ178" s="315">
        <v>17287</v>
      </c>
      <c r="EK178" s="315">
        <v>88504</v>
      </c>
      <c r="EL178" s="315">
        <v>56441</v>
      </c>
      <c r="EM178" s="315">
        <v>32063</v>
      </c>
      <c r="EN178" s="315">
        <v>31131</v>
      </c>
      <c r="EO178" s="315">
        <v>932</v>
      </c>
      <c r="EP178" s="315">
        <v>19512</v>
      </c>
      <c r="EQ178" s="315">
        <v>9710</v>
      </c>
      <c r="ER178" s="315">
        <v>9802</v>
      </c>
      <c r="ES178" s="315">
        <v>9539</v>
      </c>
      <c r="ET178" s="315">
        <v>263</v>
      </c>
      <c r="EU178" s="315">
        <v>1485</v>
      </c>
      <c r="EV178" s="315">
        <v>780</v>
      </c>
      <c r="EW178" s="315">
        <v>705</v>
      </c>
      <c r="EX178" s="315">
        <v>686</v>
      </c>
      <c r="EY178" s="315">
        <v>19</v>
      </c>
      <c r="EZ178" s="315">
        <v>703229</v>
      </c>
      <c r="FA178" s="315">
        <v>350990</v>
      </c>
      <c r="FB178" s="315">
        <v>352239</v>
      </c>
      <c r="FC178" s="315">
        <v>342543</v>
      </c>
      <c r="FD178" s="315">
        <v>9696</v>
      </c>
      <c r="FE178" s="315">
        <v>391187</v>
      </c>
      <c r="FF178" s="315">
        <v>141378</v>
      </c>
      <c r="FG178" s="315">
        <v>249809</v>
      </c>
      <c r="FH178" s="315">
        <v>243432</v>
      </c>
      <c r="FI178" s="315">
        <v>6377</v>
      </c>
      <c r="FJ178" s="315">
        <v>119259</v>
      </c>
      <c r="FK178" s="315">
        <v>16752</v>
      </c>
      <c r="FL178" s="315">
        <v>102507</v>
      </c>
      <c r="FM178" s="315">
        <v>102507</v>
      </c>
      <c r="FN178" s="315"/>
      <c r="FO178" s="315"/>
      <c r="FP178" s="315"/>
      <c r="FQ178" s="315">
        <v>-150</v>
      </c>
      <c r="FR178" s="315">
        <v>380546</v>
      </c>
      <c r="FS178" s="315">
        <v>-26934</v>
      </c>
      <c r="FT178" s="315">
        <v>353612</v>
      </c>
      <c r="FU178" s="315"/>
      <c r="FV178" s="315"/>
      <c r="FW178" s="315"/>
      <c r="FX178" s="315">
        <v>115144</v>
      </c>
      <c r="FY178" s="315">
        <v>103961</v>
      </c>
      <c r="FZ178" s="315"/>
      <c r="GA178" s="315"/>
      <c r="GB178" s="315"/>
      <c r="GC178" s="315">
        <v>65938</v>
      </c>
      <c r="GD178" s="315">
        <v>1390</v>
      </c>
      <c r="GE178" s="315"/>
      <c r="GF178" s="315">
        <v>64548</v>
      </c>
      <c r="GG178" s="315">
        <v>68569</v>
      </c>
      <c r="GH178" s="315">
        <v>4809</v>
      </c>
      <c r="GI178" s="315">
        <v>5973</v>
      </c>
      <c r="GJ178" s="315">
        <v>57787</v>
      </c>
      <c r="GL178"/>
      <c r="GM178"/>
      <c r="GN178"/>
      <c r="GO178"/>
    </row>
    <row r="179" spans="1:197">
      <c r="A179" s="98" t="s">
        <v>27</v>
      </c>
      <c r="B179" s="98">
        <v>4</v>
      </c>
      <c r="C179" s="98" t="s">
        <v>220</v>
      </c>
      <c r="D179" s="315">
        <v>24125914</v>
      </c>
      <c r="E179" s="315">
        <v>-6194981</v>
      </c>
      <c r="F179" s="315">
        <v>-13006</v>
      </c>
      <c r="G179" s="315">
        <v>17917927</v>
      </c>
      <c r="H179" s="315">
        <v>13157545</v>
      </c>
      <c r="I179" s="315">
        <v>4760382</v>
      </c>
      <c r="J179" s="315">
        <v>4617439</v>
      </c>
      <c r="K179" s="315">
        <v>142943</v>
      </c>
      <c r="L179" s="315">
        <v>8721759</v>
      </c>
      <c r="M179" s="315">
        <v>7179635</v>
      </c>
      <c r="N179" s="315">
        <v>61436</v>
      </c>
      <c r="O179" s="315"/>
      <c r="P179" s="315"/>
      <c r="Q179" s="315">
        <v>30901</v>
      </c>
      <c r="R179" s="315">
        <v>1449787</v>
      </c>
      <c r="S179" s="315">
        <v>-909153</v>
      </c>
      <c r="T179" s="315">
        <v>-891646</v>
      </c>
      <c r="U179" s="315">
        <v>-134905</v>
      </c>
      <c r="V179" s="315">
        <v>-422</v>
      </c>
      <c r="W179" s="315">
        <v>-697088</v>
      </c>
      <c r="X179" s="315">
        <v>0</v>
      </c>
      <c r="Y179" s="315">
        <v>-59231</v>
      </c>
      <c r="Z179" s="315">
        <v>-10235</v>
      </c>
      <c r="AA179" s="315">
        <v>-7272</v>
      </c>
      <c r="AB179" s="315">
        <v>0</v>
      </c>
      <c r="AC179" s="315">
        <v>-13006</v>
      </c>
      <c r="AD179" s="315">
        <v>7799600</v>
      </c>
      <c r="AE179" s="315">
        <v>5357951</v>
      </c>
      <c r="AF179" s="315">
        <v>2441649</v>
      </c>
      <c r="AG179" s="315">
        <v>2363452</v>
      </c>
      <c r="AH179" s="315">
        <v>78197</v>
      </c>
      <c r="AI179" s="315">
        <v>7173911</v>
      </c>
      <c r="AJ179" s="315">
        <v>1172518</v>
      </c>
      <c r="AK179" s="315">
        <v>2595366</v>
      </c>
      <c r="AL179" s="315">
        <v>3306955</v>
      </c>
      <c r="AM179" s="315">
        <v>486707</v>
      </c>
      <c r="AN179" s="315">
        <v>388836</v>
      </c>
      <c r="AO179" s="315">
        <v>49229</v>
      </c>
      <c r="AP179" s="315"/>
      <c r="AQ179" s="315">
        <v>523463</v>
      </c>
      <c r="AR179" s="315">
        <v>-830210</v>
      </c>
      <c r="AS179" s="315">
        <v>20666</v>
      </c>
      <c r="AT179" s="315">
        <v>4</v>
      </c>
      <c r="AU179" s="315">
        <v>-13006</v>
      </c>
      <c r="AV179" s="315">
        <v>4295027</v>
      </c>
      <c r="AW179" s="315">
        <v>3692201</v>
      </c>
      <c r="AX179" s="315">
        <v>96378</v>
      </c>
      <c r="AY179" s="315"/>
      <c r="AZ179" s="315"/>
      <c r="BA179" s="315"/>
      <c r="BB179" s="315"/>
      <c r="BC179" s="315">
        <v>50522</v>
      </c>
      <c r="BD179" s="315">
        <v>455926</v>
      </c>
      <c r="BE179" s="315">
        <v>-199977</v>
      </c>
      <c r="BF179" s="315">
        <v>-193653</v>
      </c>
      <c r="BG179" s="315">
        <v>-178089</v>
      </c>
      <c r="BH179" s="315">
        <v>-15564</v>
      </c>
      <c r="BI179" s="315">
        <v>0</v>
      </c>
      <c r="BJ179" s="315">
        <v>-123095</v>
      </c>
      <c r="BK179" s="315">
        <v>-70558</v>
      </c>
      <c r="BL179" s="315">
        <v>-2020</v>
      </c>
      <c r="BM179" s="315">
        <v>-4304</v>
      </c>
      <c r="BN179" s="315">
        <v>4095050</v>
      </c>
      <c r="BO179" s="315">
        <v>269702</v>
      </c>
      <c r="BP179" s="315">
        <v>160363</v>
      </c>
      <c r="BQ179" s="315">
        <v>20942</v>
      </c>
      <c r="BR179" s="315"/>
      <c r="BS179" s="315">
        <v>3690797</v>
      </c>
      <c r="BT179" s="315"/>
      <c r="BU179" s="315"/>
      <c r="BV179" s="315"/>
      <c r="BW179" s="315"/>
      <c r="BX179" s="315">
        <v>-81711</v>
      </c>
      <c r="BY179" s="315">
        <v>34958</v>
      </c>
      <c r="BZ179" s="315">
        <v>-1</v>
      </c>
      <c r="CA179" s="315">
        <v>205375</v>
      </c>
      <c r="CB179" s="315">
        <v>-68945</v>
      </c>
      <c r="CC179" s="315">
        <v>-34458</v>
      </c>
      <c r="CD179" s="315">
        <v>-34487</v>
      </c>
      <c r="CE179" s="315">
        <v>136430</v>
      </c>
      <c r="CF179" s="315">
        <v>121630</v>
      </c>
      <c r="CG179" s="315">
        <v>11525</v>
      </c>
      <c r="CH179" s="315">
        <v>3275</v>
      </c>
      <c r="CI179" s="315">
        <v>8622568</v>
      </c>
      <c r="CJ179" s="315">
        <v>531828</v>
      </c>
      <c r="CK179" s="315">
        <v>8090740</v>
      </c>
      <c r="CL179" s="315">
        <v>3259968</v>
      </c>
      <c r="CM179" s="315">
        <v>4528315</v>
      </c>
      <c r="CN179" s="315">
        <v>302457</v>
      </c>
      <c r="CO179" s="315">
        <v>2484</v>
      </c>
      <c r="CP179" s="315">
        <v>0</v>
      </c>
      <c r="CQ179" s="315">
        <v>299973</v>
      </c>
      <c r="CR179" s="315">
        <v>-4941194</v>
      </c>
      <c r="CS179" s="315">
        <v>-3201988</v>
      </c>
      <c r="CT179" s="315">
        <v>-3024404</v>
      </c>
      <c r="CU179" s="315">
        <v>-32789</v>
      </c>
      <c r="CV179" s="315">
        <v>-1511</v>
      </c>
      <c r="CW179" s="315">
        <v>-143284</v>
      </c>
      <c r="CX179" s="315">
        <v>-1479928</v>
      </c>
      <c r="CY179" s="315">
        <v>-852495</v>
      </c>
      <c r="CZ179" s="315">
        <v>-619621</v>
      </c>
      <c r="DA179" s="315">
        <v>-7812</v>
      </c>
      <c r="DB179" s="315">
        <v>-259278</v>
      </c>
      <c r="DC179" s="315">
        <v>0</v>
      </c>
      <c r="DD179" s="315">
        <v>3681374</v>
      </c>
      <c r="DE179" s="315">
        <v>2109766</v>
      </c>
      <c r="DF179" s="315">
        <v>1571608</v>
      </c>
      <c r="DG179" s="315">
        <v>1524149</v>
      </c>
      <c r="DH179" s="315">
        <v>47459</v>
      </c>
      <c r="DI179" s="315">
        <v>1621831</v>
      </c>
      <c r="DJ179" s="315">
        <v>32268</v>
      </c>
      <c r="DK179" s="315">
        <v>17816</v>
      </c>
      <c r="DL179" s="315">
        <v>598</v>
      </c>
      <c r="DM179" s="315">
        <v>889965</v>
      </c>
      <c r="DN179" s="315">
        <v>576000</v>
      </c>
      <c r="DO179" s="315">
        <v>105087</v>
      </c>
      <c r="DP179" s="315"/>
      <c r="DQ179" s="315"/>
      <c r="DR179" s="315">
        <v>97</v>
      </c>
      <c r="DS179" s="315">
        <v>-56257</v>
      </c>
      <c r="DT179" s="315">
        <v>-25612</v>
      </c>
      <c r="DU179" s="315">
        <v>-4658</v>
      </c>
      <c r="DV179" s="315">
        <v>-14</v>
      </c>
      <c r="DW179" s="315">
        <v>-4769</v>
      </c>
      <c r="DX179" s="315">
        <v>-2682</v>
      </c>
      <c r="DY179" s="315">
        <v>-736</v>
      </c>
      <c r="DZ179" s="315">
        <v>-1351</v>
      </c>
      <c r="EA179" s="315">
        <v>-20928</v>
      </c>
      <c r="EB179" s="315">
        <v>-113</v>
      </c>
      <c r="EC179" s="315"/>
      <c r="ED179" s="315"/>
      <c r="EE179" s="315">
        <v>-163</v>
      </c>
      <c r="EF179" s="315">
        <v>1565574</v>
      </c>
      <c r="EG179" s="315">
        <v>818449</v>
      </c>
      <c r="EH179" s="315">
        <v>747125</v>
      </c>
      <c r="EI179" s="315">
        <v>729838</v>
      </c>
      <c r="EJ179" s="315">
        <v>17287</v>
      </c>
      <c r="EK179" s="315">
        <v>6656</v>
      </c>
      <c r="EL179" s="315">
        <v>-25407</v>
      </c>
      <c r="EM179" s="315">
        <v>32063</v>
      </c>
      <c r="EN179" s="315">
        <v>31131</v>
      </c>
      <c r="EO179" s="315">
        <v>932</v>
      </c>
      <c r="EP179" s="315">
        <v>13158</v>
      </c>
      <c r="EQ179" s="315">
        <v>3358</v>
      </c>
      <c r="ER179" s="315">
        <v>9800</v>
      </c>
      <c r="ES179" s="315">
        <v>9539</v>
      </c>
      <c r="ET179" s="315">
        <v>261</v>
      </c>
      <c r="EU179" s="315">
        <v>584</v>
      </c>
      <c r="EV179" s="315">
        <v>-122</v>
      </c>
      <c r="EW179" s="315">
        <v>706</v>
      </c>
      <c r="EX179" s="315">
        <v>686</v>
      </c>
      <c r="EY179" s="315">
        <v>20</v>
      </c>
      <c r="EZ179" s="315">
        <v>885196</v>
      </c>
      <c r="FA179" s="315">
        <v>532956</v>
      </c>
      <c r="FB179" s="315">
        <v>352240</v>
      </c>
      <c r="FC179" s="315">
        <v>342543</v>
      </c>
      <c r="FD179" s="315">
        <v>9697</v>
      </c>
      <c r="FE179" s="315">
        <v>555072</v>
      </c>
      <c r="FF179" s="315">
        <v>305263</v>
      </c>
      <c r="FG179" s="315">
        <v>249809</v>
      </c>
      <c r="FH179" s="315">
        <v>243432</v>
      </c>
      <c r="FI179" s="315">
        <v>6377</v>
      </c>
      <c r="FJ179" s="315">
        <v>104974</v>
      </c>
      <c r="FK179" s="315">
        <v>2467</v>
      </c>
      <c r="FL179" s="315">
        <v>102507</v>
      </c>
      <c r="FM179" s="315">
        <v>102507</v>
      </c>
      <c r="FN179" s="315"/>
      <c r="FO179" s="315"/>
      <c r="FP179" s="315"/>
      <c r="FQ179" s="315">
        <v>-66</v>
      </c>
      <c r="FR179" s="315">
        <v>659354</v>
      </c>
      <c r="FS179" s="315">
        <v>-19455</v>
      </c>
      <c r="FT179" s="315">
        <v>639899</v>
      </c>
      <c r="FU179" s="315"/>
      <c r="FV179" s="315"/>
      <c r="FW179" s="315"/>
      <c r="FX179" s="315">
        <v>100865</v>
      </c>
      <c r="FY179" s="315">
        <v>119320</v>
      </c>
      <c r="FZ179" s="315"/>
      <c r="GA179" s="315"/>
      <c r="GB179" s="315"/>
      <c r="GC179" s="315">
        <v>332510</v>
      </c>
      <c r="GD179" s="315">
        <v>269645</v>
      </c>
      <c r="GE179" s="315"/>
      <c r="GF179" s="315">
        <v>62865</v>
      </c>
      <c r="GG179" s="315">
        <v>87204</v>
      </c>
      <c r="GH179" s="315">
        <v>5142</v>
      </c>
      <c r="GI179" s="315">
        <v>597</v>
      </c>
      <c r="GJ179" s="315">
        <v>81465</v>
      </c>
      <c r="GL179"/>
      <c r="GM179"/>
      <c r="GN179"/>
      <c r="GO179"/>
    </row>
    <row r="180" spans="1:197">
      <c r="A180" s="98" t="s">
        <v>27</v>
      </c>
      <c r="B180" s="98">
        <v>5</v>
      </c>
      <c r="C180" s="98" t="s">
        <v>221</v>
      </c>
      <c r="D180" s="315">
        <v>10508788</v>
      </c>
      <c r="E180" s="315">
        <v>-6967688</v>
      </c>
      <c r="F180" s="315">
        <v>-13006</v>
      </c>
      <c r="G180" s="315">
        <v>3528094</v>
      </c>
      <c r="H180" s="315">
        <v>-1232289</v>
      </c>
      <c r="I180" s="315">
        <v>4760383</v>
      </c>
      <c r="J180" s="315">
        <v>4617439</v>
      </c>
      <c r="K180" s="315">
        <v>142944</v>
      </c>
      <c r="L180" s="315">
        <v>4220460</v>
      </c>
      <c r="M180" s="315">
        <v>3601396</v>
      </c>
      <c r="N180" s="315">
        <v>152052</v>
      </c>
      <c r="O180" s="315"/>
      <c r="P180" s="315"/>
      <c r="Q180" s="315">
        <v>26603</v>
      </c>
      <c r="R180" s="315">
        <v>440409</v>
      </c>
      <c r="S180" s="315">
        <v>-3304526</v>
      </c>
      <c r="T180" s="315">
        <v>-3291766</v>
      </c>
      <c r="U180" s="315">
        <v>-159663</v>
      </c>
      <c r="V180" s="315">
        <v>-147</v>
      </c>
      <c r="W180" s="315">
        <v>-3095469</v>
      </c>
      <c r="X180" s="315">
        <v>0</v>
      </c>
      <c r="Y180" s="315">
        <v>-36487</v>
      </c>
      <c r="Z180" s="315">
        <v>-7629</v>
      </c>
      <c r="AA180" s="315">
        <v>-5131</v>
      </c>
      <c r="AB180" s="315">
        <v>0</v>
      </c>
      <c r="AC180" s="315">
        <v>-13006</v>
      </c>
      <c r="AD180" s="315">
        <v>902928</v>
      </c>
      <c r="AE180" s="315">
        <v>-1538723</v>
      </c>
      <c r="AF180" s="315">
        <v>2441651</v>
      </c>
      <c r="AG180" s="315">
        <v>2363453</v>
      </c>
      <c r="AH180" s="315">
        <v>78198</v>
      </c>
      <c r="AI180" s="315">
        <v>3597133</v>
      </c>
      <c r="AJ180" s="315">
        <v>1181204</v>
      </c>
      <c r="AK180" s="315">
        <v>2284721</v>
      </c>
      <c r="AL180" s="315">
        <v>21759</v>
      </c>
      <c r="AM180" s="315">
        <v>341798</v>
      </c>
      <c r="AN180" s="315">
        <v>56557</v>
      </c>
      <c r="AO180" s="315">
        <v>30619</v>
      </c>
      <c r="AP180" s="315"/>
      <c r="AQ180" s="315">
        <v>10567</v>
      </c>
      <c r="AR180" s="315">
        <v>-3139714</v>
      </c>
      <c r="AS180" s="315">
        <v>18974</v>
      </c>
      <c r="AT180" s="315">
        <v>0</v>
      </c>
      <c r="AU180" s="315">
        <v>-13006</v>
      </c>
      <c r="AV180" s="315">
        <v>424007</v>
      </c>
      <c r="AW180" s="315">
        <v>32339</v>
      </c>
      <c r="AX180" s="315">
        <v>160094</v>
      </c>
      <c r="AY180" s="315"/>
      <c r="AZ180" s="315"/>
      <c r="BA180" s="315"/>
      <c r="BB180" s="315"/>
      <c r="BC180" s="315">
        <v>54018</v>
      </c>
      <c r="BD180" s="315">
        <v>177556</v>
      </c>
      <c r="BE180" s="315">
        <v>-181133</v>
      </c>
      <c r="BF180" s="315">
        <v>-112422</v>
      </c>
      <c r="BG180" s="315">
        <v>-77501</v>
      </c>
      <c r="BH180" s="315">
        <v>-34921</v>
      </c>
      <c r="BI180" s="315">
        <v>0</v>
      </c>
      <c r="BJ180" s="315">
        <v>-64609.000000000007</v>
      </c>
      <c r="BK180" s="315">
        <v>-47812.999999999993</v>
      </c>
      <c r="BL180" s="315">
        <v>-2384</v>
      </c>
      <c r="BM180" s="315">
        <v>-66327</v>
      </c>
      <c r="BN180" s="315">
        <v>242874</v>
      </c>
      <c r="BO180" s="315">
        <v>77731</v>
      </c>
      <c r="BP180" s="315">
        <v>20148</v>
      </c>
      <c r="BQ180" s="315">
        <v>13036</v>
      </c>
      <c r="BR180" s="315"/>
      <c r="BS180" s="315">
        <v>30268</v>
      </c>
      <c r="BT180" s="315"/>
      <c r="BU180" s="315"/>
      <c r="BV180" s="315"/>
      <c r="BW180" s="315"/>
      <c r="BX180" s="315">
        <v>82593</v>
      </c>
      <c r="BY180" s="315">
        <v>19097</v>
      </c>
      <c r="BZ180" s="315">
        <v>1</v>
      </c>
      <c r="CA180" s="315">
        <v>92140</v>
      </c>
      <c r="CB180" s="315">
        <v>-62829</v>
      </c>
      <c r="CC180" s="315">
        <v>-8562</v>
      </c>
      <c r="CD180" s="315">
        <v>-54267</v>
      </c>
      <c r="CE180" s="315">
        <v>29311</v>
      </c>
      <c r="CF180" s="315">
        <v>84187</v>
      </c>
      <c r="CG180" s="315">
        <v>59</v>
      </c>
      <c r="CH180" s="315">
        <v>-54935</v>
      </c>
      <c r="CI180" s="315">
        <v>3828504</v>
      </c>
      <c r="CJ180" s="315">
        <v>472103</v>
      </c>
      <c r="CK180" s="315">
        <v>3356401</v>
      </c>
      <c r="CL180" s="315">
        <v>2955683</v>
      </c>
      <c r="CM180" s="315">
        <v>65502</v>
      </c>
      <c r="CN180" s="315">
        <v>335216</v>
      </c>
      <c r="CO180" s="315">
        <v>0</v>
      </c>
      <c r="CP180" s="315">
        <v>0</v>
      </c>
      <c r="CQ180" s="315">
        <v>335216</v>
      </c>
      <c r="CR180" s="315">
        <v>-3355846</v>
      </c>
      <c r="CS180" s="315">
        <v>-1981756</v>
      </c>
      <c r="CT180" s="315">
        <v>-1820677</v>
      </c>
      <c r="CU180" s="315">
        <v>-30722</v>
      </c>
      <c r="CV180" s="315">
        <v>-2050</v>
      </c>
      <c r="CW180" s="315">
        <v>-128307</v>
      </c>
      <c r="CX180" s="315">
        <v>-1374090</v>
      </c>
      <c r="CY180" s="315">
        <v>-1107373</v>
      </c>
      <c r="CZ180" s="315">
        <v>-244502</v>
      </c>
      <c r="DA180" s="315">
        <v>-22215</v>
      </c>
      <c r="DB180" s="315">
        <v>0</v>
      </c>
      <c r="DC180" s="315">
        <v>0</v>
      </c>
      <c r="DD180" s="315">
        <v>472658</v>
      </c>
      <c r="DE180" s="315">
        <v>-1098950</v>
      </c>
      <c r="DF180" s="315">
        <v>1571608</v>
      </c>
      <c r="DG180" s="315">
        <v>1524149</v>
      </c>
      <c r="DH180" s="315">
        <v>47459</v>
      </c>
      <c r="DI180" s="315">
        <v>1558540</v>
      </c>
      <c r="DJ180" s="315">
        <v>63629</v>
      </c>
      <c r="DK180" s="315">
        <v>18911</v>
      </c>
      <c r="DL180" s="315">
        <v>2122</v>
      </c>
      <c r="DM180" s="315">
        <v>780500</v>
      </c>
      <c r="DN180" s="315">
        <v>592846</v>
      </c>
      <c r="DO180" s="315">
        <v>100448</v>
      </c>
      <c r="DP180" s="315"/>
      <c r="DQ180" s="315"/>
      <c r="DR180" s="315">
        <v>84</v>
      </c>
      <c r="DS180" s="315">
        <v>-47417</v>
      </c>
      <c r="DT180" s="315">
        <v>-1449</v>
      </c>
      <c r="DU180" s="315">
        <v>-30</v>
      </c>
      <c r="DV180" s="315">
        <v>-8</v>
      </c>
      <c r="DW180" s="315">
        <v>-45563</v>
      </c>
      <c r="DX180" s="315">
        <v>-30800</v>
      </c>
      <c r="DY180" s="315">
        <v>-3227</v>
      </c>
      <c r="DZ180" s="315">
        <v>-11536</v>
      </c>
      <c r="EA180" s="315">
        <v>0</v>
      </c>
      <c r="EB180" s="315">
        <v>-42</v>
      </c>
      <c r="EC180" s="315"/>
      <c r="ED180" s="315"/>
      <c r="EE180" s="315">
        <v>-325</v>
      </c>
      <c r="EF180" s="315">
        <v>1511123</v>
      </c>
      <c r="EG180" s="315">
        <v>763999</v>
      </c>
      <c r="EH180" s="315">
        <v>747124</v>
      </c>
      <c r="EI180" s="315">
        <v>729837</v>
      </c>
      <c r="EJ180" s="315">
        <v>17287</v>
      </c>
      <c r="EK180" s="315">
        <v>62180</v>
      </c>
      <c r="EL180" s="315">
        <v>30116</v>
      </c>
      <c r="EM180" s="315">
        <v>32064</v>
      </c>
      <c r="EN180" s="315">
        <v>31132</v>
      </c>
      <c r="EO180" s="315">
        <v>932</v>
      </c>
      <c r="EP180" s="315">
        <v>18881</v>
      </c>
      <c r="EQ180" s="315">
        <v>9081</v>
      </c>
      <c r="ER180" s="315">
        <v>9800</v>
      </c>
      <c r="ES180" s="315">
        <v>9538</v>
      </c>
      <c r="ET180" s="315">
        <v>262</v>
      </c>
      <c r="EU180" s="315">
        <v>2114</v>
      </c>
      <c r="EV180" s="315">
        <v>1409</v>
      </c>
      <c r="EW180" s="315">
        <v>705</v>
      </c>
      <c r="EX180" s="315">
        <v>686</v>
      </c>
      <c r="EY180" s="315">
        <v>19</v>
      </c>
      <c r="EZ180" s="315">
        <v>734937</v>
      </c>
      <c r="FA180" s="315">
        <v>382698</v>
      </c>
      <c r="FB180" s="315">
        <v>352239</v>
      </c>
      <c r="FC180" s="315">
        <v>342542</v>
      </c>
      <c r="FD180" s="315">
        <v>9697</v>
      </c>
      <c r="FE180" s="315">
        <v>592846</v>
      </c>
      <c r="FF180" s="315">
        <v>343037</v>
      </c>
      <c r="FG180" s="315">
        <v>249809</v>
      </c>
      <c r="FH180" s="315">
        <v>243432</v>
      </c>
      <c r="FI180" s="315">
        <v>6377</v>
      </c>
      <c r="FJ180" s="315">
        <v>100406</v>
      </c>
      <c r="FK180" s="315">
        <v>-2101</v>
      </c>
      <c r="FL180" s="315">
        <v>102507</v>
      </c>
      <c r="FM180" s="315">
        <v>102507</v>
      </c>
      <c r="FN180" s="315"/>
      <c r="FO180" s="315"/>
      <c r="FP180" s="315"/>
      <c r="FQ180" s="315">
        <v>-241</v>
      </c>
      <c r="FR180" s="315">
        <v>385137</v>
      </c>
      <c r="FS180" s="315">
        <v>-15937</v>
      </c>
      <c r="FT180" s="315">
        <v>369200</v>
      </c>
      <c r="FU180" s="315"/>
      <c r="FV180" s="315"/>
      <c r="FW180" s="315"/>
      <c r="FX180" s="315">
        <v>89939</v>
      </c>
      <c r="FY180" s="315">
        <v>126870</v>
      </c>
      <c r="FZ180" s="315"/>
      <c r="GA180" s="315"/>
      <c r="GB180" s="315"/>
      <c r="GC180" s="315">
        <v>78247</v>
      </c>
      <c r="GD180" s="315">
        <v>8539</v>
      </c>
      <c r="GE180" s="315"/>
      <c r="GF180" s="315">
        <v>69708</v>
      </c>
      <c r="GG180" s="315">
        <v>74144</v>
      </c>
      <c r="GH180" s="315">
        <v>4611</v>
      </c>
      <c r="GI180" s="315">
        <v>1174</v>
      </c>
      <c r="GJ180" s="315">
        <v>68359</v>
      </c>
      <c r="GL180"/>
      <c r="GM180"/>
      <c r="GN180"/>
      <c r="GO180"/>
    </row>
    <row r="181" spans="1:197">
      <c r="A181" s="98" t="s">
        <v>27</v>
      </c>
      <c r="B181" s="98">
        <v>6</v>
      </c>
      <c r="C181" s="98" t="s">
        <v>222</v>
      </c>
      <c r="D181" s="315">
        <v>12517137</v>
      </c>
      <c r="E181" s="315">
        <v>-8203653</v>
      </c>
      <c r="F181" s="315">
        <v>-13006</v>
      </c>
      <c r="G181" s="315">
        <v>4300478</v>
      </c>
      <c r="H181" s="315">
        <v>-459905</v>
      </c>
      <c r="I181" s="315">
        <v>4760383</v>
      </c>
      <c r="J181" s="315">
        <v>4617441</v>
      </c>
      <c r="K181" s="315">
        <v>142942</v>
      </c>
      <c r="L181" s="315">
        <v>5530643</v>
      </c>
      <c r="M181" s="315">
        <v>3765817</v>
      </c>
      <c r="N181" s="315">
        <v>1079364</v>
      </c>
      <c r="O181" s="315"/>
      <c r="P181" s="315"/>
      <c r="Q181" s="315">
        <v>31194</v>
      </c>
      <c r="R181" s="315">
        <v>654268</v>
      </c>
      <c r="S181" s="315">
        <v>-3942730</v>
      </c>
      <c r="T181" s="315">
        <v>-3931431</v>
      </c>
      <c r="U181" s="315">
        <v>-143464</v>
      </c>
      <c r="V181" s="315">
        <v>-99</v>
      </c>
      <c r="W181" s="315">
        <v>-3753348</v>
      </c>
      <c r="X181" s="315">
        <v>0</v>
      </c>
      <c r="Y181" s="315">
        <v>-34520</v>
      </c>
      <c r="Z181" s="315">
        <v>-4545</v>
      </c>
      <c r="AA181" s="315">
        <v>-6754</v>
      </c>
      <c r="AB181" s="315">
        <v>0</v>
      </c>
      <c r="AC181" s="315">
        <v>-13006</v>
      </c>
      <c r="AD181" s="315">
        <v>1574907</v>
      </c>
      <c r="AE181" s="315">
        <v>-866742</v>
      </c>
      <c r="AF181" s="315">
        <v>2441649</v>
      </c>
      <c r="AG181" s="315">
        <v>2363453</v>
      </c>
      <c r="AH181" s="315">
        <v>78196</v>
      </c>
      <c r="AI181" s="315">
        <v>3759902</v>
      </c>
      <c r="AJ181" s="315">
        <v>1441315</v>
      </c>
      <c r="AK181" s="315">
        <v>2210447</v>
      </c>
      <c r="AL181" s="315">
        <v>13188</v>
      </c>
      <c r="AM181" s="315">
        <v>558316</v>
      </c>
      <c r="AN181" s="315">
        <v>52919</v>
      </c>
      <c r="AO181" s="315">
        <v>33047</v>
      </c>
      <c r="AP181" s="315"/>
      <c r="AQ181" s="315">
        <v>9147</v>
      </c>
      <c r="AR181" s="315">
        <v>-2852067</v>
      </c>
      <c r="AS181" s="315">
        <v>26649</v>
      </c>
      <c r="AT181" s="315">
        <v>0</v>
      </c>
      <c r="AU181" s="315">
        <v>-13006</v>
      </c>
      <c r="AV181" s="315">
        <v>547495</v>
      </c>
      <c r="AW181" s="315">
        <v>80085</v>
      </c>
      <c r="AX181" s="315">
        <v>93517</v>
      </c>
      <c r="AY181" s="315"/>
      <c r="AZ181" s="315"/>
      <c r="BA181" s="315"/>
      <c r="BB181" s="315"/>
      <c r="BC181" s="315">
        <v>119195</v>
      </c>
      <c r="BD181" s="315">
        <v>254698</v>
      </c>
      <c r="BE181" s="315">
        <v>-353703</v>
      </c>
      <c r="BF181" s="315">
        <v>-350606</v>
      </c>
      <c r="BG181" s="315">
        <v>-73157</v>
      </c>
      <c r="BH181" s="315">
        <v>-277449</v>
      </c>
      <c r="BI181" s="315">
        <v>0</v>
      </c>
      <c r="BJ181" s="315">
        <v>-58316</v>
      </c>
      <c r="BK181" s="315">
        <v>-292290</v>
      </c>
      <c r="BL181" s="315">
        <v>-1305</v>
      </c>
      <c r="BM181" s="315">
        <v>-1792</v>
      </c>
      <c r="BN181" s="315">
        <v>193792</v>
      </c>
      <c r="BO181" s="315">
        <v>220193</v>
      </c>
      <c r="BP181" s="315">
        <v>18021</v>
      </c>
      <c r="BQ181" s="315">
        <v>14069</v>
      </c>
      <c r="BR181" s="315"/>
      <c r="BS181" s="315">
        <v>79064</v>
      </c>
      <c r="BT181" s="315"/>
      <c r="BU181" s="315"/>
      <c r="BV181" s="315"/>
      <c r="BW181" s="315"/>
      <c r="BX181" s="315">
        <v>20360</v>
      </c>
      <c r="BY181" s="315">
        <v>-158254</v>
      </c>
      <c r="BZ181" s="315">
        <v>339</v>
      </c>
      <c r="CA181" s="315">
        <v>459806</v>
      </c>
      <c r="CB181" s="315">
        <v>-24625</v>
      </c>
      <c r="CC181" s="315">
        <v>-23159</v>
      </c>
      <c r="CD181" s="315">
        <v>-1466</v>
      </c>
      <c r="CE181" s="315">
        <v>435181</v>
      </c>
      <c r="CF181" s="315">
        <v>448643</v>
      </c>
      <c r="CG181" s="315">
        <v>70</v>
      </c>
      <c r="CH181" s="315">
        <v>-13532</v>
      </c>
      <c r="CI181" s="315">
        <v>4032263</v>
      </c>
      <c r="CJ181" s="315">
        <v>521543</v>
      </c>
      <c r="CK181" s="315">
        <v>3510720</v>
      </c>
      <c r="CL181" s="315">
        <v>3135030</v>
      </c>
      <c r="CM181" s="315">
        <v>43560</v>
      </c>
      <c r="CN181" s="315">
        <v>332130</v>
      </c>
      <c r="CO181" s="315">
        <v>8627</v>
      </c>
      <c r="CP181" s="315">
        <v>0</v>
      </c>
      <c r="CQ181" s="315">
        <v>323503</v>
      </c>
      <c r="CR181" s="315">
        <v>-3825516</v>
      </c>
      <c r="CS181" s="315">
        <v>-2284696</v>
      </c>
      <c r="CT181" s="315">
        <v>-1937705</v>
      </c>
      <c r="CU181" s="315">
        <v>-15847</v>
      </c>
      <c r="CV181" s="315">
        <v>-1434</v>
      </c>
      <c r="CW181" s="315">
        <v>-329710</v>
      </c>
      <c r="CX181" s="315">
        <v>-1506048</v>
      </c>
      <c r="CY181" s="315">
        <v>-1346435</v>
      </c>
      <c r="CZ181" s="315">
        <v>-154871</v>
      </c>
      <c r="DA181" s="315">
        <v>-4742</v>
      </c>
      <c r="DB181" s="315">
        <v>0</v>
      </c>
      <c r="DC181" s="315">
        <v>-34772</v>
      </c>
      <c r="DD181" s="315">
        <v>206747</v>
      </c>
      <c r="DE181" s="315">
        <v>-1364860</v>
      </c>
      <c r="DF181" s="315">
        <v>1571607</v>
      </c>
      <c r="DG181" s="315">
        <v>1524149</v>
      </c>
      <c r="DH181" s="315">
        <v>47458</v>
      </c>
      <c r="DI181" s="315">
        <v>1560800</v>
      </c>
      <c r="DJ181" s="315">
        <v>67530</v>
      </c>
      <c r="DK181" s="315">
        <v>24000</v>
      </c>
      <c r="DL181" s="315">
        <v>1005</v>
      </c>
      <c r="DM181" s="315">
        <v>784214</v>
      </c>
      <c r="DN181" s="315">
        <v>583720</v>
      </c>
      <c r="DO181" s="315">
        <v>100252</v>
      </c>
      <c r="DP181" s="315"/>
      <c r="DQ181" s="315"/>
      <c r="DR181" s="315">
        <v>79</v>
      </c>
      <c r="DS181" s="315">
        <v>-45166</v>
      </c>
      <c r="DT181" s="315">
        <v>-1114</v>
      </c>
      <c r="DU181" s="315">
        <v>-25</v>
      </c>
      <c r="DV181" s="315">
        <v>-49</v>
      </c>
      <c r="DW181" s="315">
        <v>-39938</v>
      </c>
      <c r="DX181" s="315">
        <v>-37713</v>
      </c>
      <c r="DY181" s="315">
        <v>-981</v>
      </c>
      <c r="DZ181" s="315">
        <v>-1244</v>
      </c>
      <c r="EA181" s="315">
        <v>-3877</v>
      </c>
      <c r="EB181" s="315">
        <v>-98</v>
      </c>
      <c r="EC181" s="315"/>
      <c r="ED181" s="315"/>
      <c r="EE181" s="315">
        <v>-65</v>
      </c>
      <c r="EF181" s="315">
        <v>1515634</v>
      </c>
      <c r="EG181" s="315">
        <v>768507</v>
      </c>
      <c r="EH181" s="315">
        <v>747127</v>
      </c>
      <c r="EI181" s="315">
        <v>729839</v>
      </c>
      <c r="EJ181" s="315">
        <v>17288</v>
      </c>
      <c r="EK181" s="315">
        <v>66416</v>
      </c>
      <c r="EL181" s="315">
        <v>34354</v>
      </c>
      <c r="EM181" s="315">
        <v>32062</v>
      </c>
      <c r="EN181" s="315">
        <v>31131</v>
      </c>
      <c r="EO181" s="315">
        <v>931</v>
      </c>
      <c r="EP181" s="315">
        <v>23975</v>
      </c>
      <c r="EQ181" s="315">
        <v>14174</v>
      </c>
      <c r="ER181" s="315">
        <v>9801</v>
      </c>
      <c r="ES181" s="315">
        <v>9539</v>
      </c>
      <c r="ET181" s="315">
        <v>262</v>
      </c>
      <c r="EU181" s="315">
        <v>956</v>
      </c>
      <c r="EV181" s="315">
        <v>250</v>
      </c>
      <c r="EW181" s="315">
        <v>706</v>
      </c>
      <c r="EX181" s="315">
        <v>686</v>
      </c>
      <c r="EY181" s="315">
        <v>20</v>
      </c>
      <c r="EZ181" s="315">
        <v>744276</v>
      </c>
      <c r="FA181" s="315">
        <v>392035</v>
      </c>
      <c r="FB181" s="315">
        <v>352241</v>
      </c>
      <c r="FC181" s="315">
        <v>342543</v>
      </c>
      <c r="FD181" s="315">
        <v>9698</v>
      </c>
      <c r="FE181" s="315">
        <v>579843</v>
      </c>
      <c r="FF181" s="315">
        <v>330034</v>
      </c>
      <c r="FG181" s="315">
        <v>249809</v>
      </c>
      <c r="FH181" s="315">
        <v>243432</v>
      </c>
      <c r="FI181" s="315">
        <v>6377</v>
      </c>
      <c r="FJ181" s="315">
        <v>100154</v>
      </c>
      <c r="FK181" s="315">
        <v>-2354</v>
      </c>
      <c r="FL181" s="315">
        <v>102508</v>
      </c>
      <c r="FM181" s="315">
        <v>102508</v>
      </c>
      <c r="FN181" s="315"/>
      <c r="FO181" s="315"/>
      <c r="FP181" s="315"/>
      <c r="FQ181" s="315">
        <v>14</v>
      </c>
      <c r="FR181" s="315">
        <v>386130</v>
      </c>
      <c r="FS181" s="315">
        <v>-11913</v>
      </c>
      <c r="FT181" s="315">
        <v>374217</v>
      </c>
      <c r="FU181" s="315"/>
      <c r="FV181" s="315"/>
      <c r="FW181" s="315"/>
      <c r="FX181" s="315">
        <v>102221</v>
      </c>
      <c r="FY181" s="315">
        <v>115697</v>
      </c>
      <c r="FZ181" s="315"/>
      <c r="GA181" s="315"/>
      <c r="GB181" s="315"/>
      <c r="GC181" s="315">
        <v>73246</v>
      </c>
      <c r="GD181" s="315">
        <v>5822</v>
      </c>
      <c r="GE181" s="315"/>
      <c r="GF181" s="315">
        <v>67424</v>
      </c>
      <c r="GG181" s="315">
        <v>83053</v>
      </c>
      <c r="GH181" s="315">
        <v>7736</v>
      </c>
      <c r="GI181" s="315">
        <v>542</v>
      </c>
      <c r="GJ181" s="315">
        <v>74775</v>
      </c>
      <c r="GL181"/>
      <c r="GM181"/>
      <c r="GN181"/>
      <c r="GO181"/>
    </row>
    <row r="182" spans="1:197">
      <c r="A182" s="98" t="s">
        <v>27</v>
      </c>
      <c r="B182" s="98">
        <v>7</v>
      </c>
      <c r="C182" s="98" t="s">
        <v>223</v>
      </c>
      <c r="D182" s="315">
        <v>26991618</v>
      </c>
      <c r="E182" s="315">
        <v>-8478666</v>
      </c>
      <c r="F182" s="315">
        <v>-13781</v>
      </c>
      <c r="G182" s="315">
        <v>18499171</v>
      </c>
      <c r="H182" s="315">
        <v>10439719</v>
      </c>
      <c r="I182" s="315">
        <v>8059452</v>
      </c>
      <c r="J182" s="315">
        <v>7832857</v>
      </c>
      <c r="K182" s="315">
        <v>226595</v>
      </c>
      <c r="L182" s="315">
        <v>13119321</v>
      </c>
      <c r="M182" s="315">
        <v>8440313</v>
      </c>
      <c r="N182" s="315">
        <v>3154198</v>
      </c>
      <c r="O182" s="315"/>
      <c r="P182" s="315"/>
      <c r="Q182" s="315">
        <v>35701</v>
      </c>
      <c r="R182" s="315">
        <v>1489109</v>
      </c>
      <c r="S182" s="315">
        <v>-2620300</v>
      </c>
      <c r="T182" s="315">
        <v>-2595579</v>
      </c>
      <c r="U182" s="315">
        <v>-150794</v>
      </c>
      <c r="V182" s="315">
        <v>-53</v>
      </c>
      <c r="W182" s="315">
        <v>-2414991</v>
      </c>
      <c r="X182" s="315">
        <v>0</v>
      </c>
      <c r="Y182" s="315">
        <v>-29741</v>
      </c>
      <c r="Z182" s="315">
        <v>-5332</v>
      </c>
      <c r="AA182" s="315">
        <v>-19389</v>
      </c>
      <c r="AB182" s="315">
        <v>0</v>
      </c>
      <c r="AC182" s="315">
        <v>-13781</v>
      </c>
      <c r="AD182" s="315">
        <v>10485240</v>
      </c>
      <c r="AE182" s="315">
        <v>3918756</v>
      </c>
      <c r="AF182" s="315">
        <v>6566484</v>
      </c>
      <c r="AG182" s="315">
        <v>6394612</v>
      </c>
      <c r="AH182" s="315">
        <v>171872</v>
      </c>
      <c r="AI182" s="315">
        <v>8434257</v>
      </c>
      <c r="AJ182" s="315">
        <v>1932618</v>
      </c>
      <c r="AK182" s="315">
        <v>2865065</v>
      </c>
      <c r="AL182" s="315">
        <v>3537967</v>
      </c>
      <c r="AM182" s="315">
        <v>513188</v>
      </c>
      <c r="AN182" s="315">
        <v>386600</v>
      </c>
      <c r="AO182" s="315">
        <v>41439</v>
      </c>
      <c r="AP182" s="315"/>
      <c r="AQ182" s="315">
        <v>534549</v>
      </c>
      <c r="AR182" s="315">
        <v>558619</v>
      </c>
      <c r="AS182" s="315">
        <v>30369</v>
      </c>
      <c r="AT182" s="315">
        <v>0</v>
      </c>
      <c r="AU182" s="315">
        <v>-13781</v>
      </c>
      <c r="AV182" s="315">
        <v>1510875</v>
      </c>
      <c r="AW182" s="315">
        <v>34432</v>
      </c>
      <c r="AX182" s="315">
        <v>268092</v>
      </c>
      <c r="AY182" s="315"/>
      <c r="AZ182" s="315"/>
      <c r="BA182" s="315"/>
      <c r="BB182" s="315"/>
      <c r="BC182" s="315">
        <v>126024</v>
      </c>
      <c r="BD182" s="315">
        <v>1082327</v>
      </c>
      <c r="BE182" s="315">
        <v>-134233</v>
      </c>
      <c r="BF182" s="315">
        <v>-123081</v>
      </c>
      <c r="BG182" s="315">
        <v>-75473</v>
      </c>
      <c r="BH182" s="315">
        <v>-47608</v>
      </c>
      <c r="BI182" s="315">
        <v>0</v>
      </c>
      <c r="BJ182" s="315">
        <v>-52878</v>
      </c>
      <c r="BK182" s="315">
        <v>-70203</v>
      </c>
      <c r="BL182" s="315">
        <v>-11141</v>
      </c>
      <c r="BM182" s="315">
        <v>-11</v>
      </c>
      <c r="BN182" s="315">
        <v>1376642</v>
      </c>
      <c r="BO182" s="315">
        <v>898977</v>
      </c>
      <c r="BP182" s="315">
        <v>160095</v>
      </c>
      <c r="BQ182" s="315">
        <v>17638</v>
      </c>
      <c r="BR182" s="315"/>
      <c r="BS182" s="315">
        <v>28895</v>
      </c>
      <c r="BT182" s="315"/>
      <c r="BU182" s="315"/>
      <c r="BV182" s="315"/>
      <c r="BW182" s="315"/>
      <c r="BX182" s="315">
        <v>192619</v>
      </c>
      <c r="BY182" s="315">
        <v>78416</v>
      </c>
      <c r="BZ182" s="315">
        <v>2</v>
      </c>
      <c r="CA182" s="315">
        <v>732562</v>
      </c>
      <c r="CB182" s="315">
        <v>-15734</v>
      </c>
      <c r="CC182" s="315">
        <v>-15642</v>
      </c>
      <c r="CD182" s="315">
        <v>-92</v>
      </c>
      <c r="CE182" s="315">
        <v>716828</v>
      </c>
      <c r="CF182" s="315">
        <v>124049</v>
      </c>
      <c r="CG182" s="315">
        <v>15</v>
      </c>
      <c r="CH182" s="315">
        <v>592764</v>
      </c>
      <c r="CI182" s="315">
        <v>9422161</v>
      </c>
      <c r="CJ182" s="315">
        <v>452899</v>
      </c>
      <c r="CK182" s="315">
        <v>8969262</v>
      </c>
      <c r="CL182" s="315">
        <v>3943483</v>
      </c>
      <c r="CM182" s="315">
        <v>4752692</v>
      </c>
      <c r="CN182" s="315">
        <v>273087</v>
      </c>
      <c r="CO182" s="315">
        <v>0</v>
      </c>
      <c r="CP182" s="315">
        <v>0</v>
      </c>
      <c r="CQ182" s="315">
        <v>273087</v>
      </c>
      <c r="CR182" s="315">
        <v>-5636791</v>
      </c>
      <c r="CS182" s="315">
        <v>-3424731</v>
      </c>
      <c r="CT182" s="315">
        <v>-3258018</v>
      </c>
      <c r="CU182" s="315">
        <v>-12116</v>
      </c>
      <c r="CV182" s="315">
        <v>-1510</v>
      </c>
      <c r="CW182" s="315">
        <v>-153087</v>
      </c>
      <c r="CX182" s="315">
        <v>-2066942</v>
      </c>
      <c r="CY182" s="315">
        <v>-1957362</v>
      </c>
      <c r="CZ182" s="315">
        <v>-101897</v>
      </c>
      <c r="DA182" s="315">
        <v>-7683</v>
      </c>
      <c r="DB182" s="315">
        <v>-145118</v>
      </c>
      <c r="DC182" s="315">
        <v>0</v>
      </c>
      <c r="DD182" s="315">
        <v>3785370</v>
      </c>
      <c r="DE182" s="315">
        <v>3283009</v>
      </c>
      <c r="DF182" s="315">
        <v>502361</v>
      </c>
      <c r="DG182" s="315">
        <v>481012</v>
      </c>
      <c r="DH182" s="315">
        <v>21349</v>
      </c>
      <c r="DI182" s="315">
        <v>1769678</v>
      </c>
      <c r="DJ182" s="315">
        <v>53901</v>
      </c>
      <c r="DK182" s="315">
        <v>24634</v>
      </c>
      <c r="DL182" s="315">
        <v>1293</v>
      </c>
      <c r="DM182" s="315">
        <v>881100</v>
      </c>
      <c r="DN182" s="315">
        <v>707272</v>
      </c>
      <c r="DO182" s="315">
        <v>101383</v>
      </c>
      <c r="DP182" s="315"/>
      <c r="DQ182" s="315"/>
      <c r="DR182" s="315">
        <v>95</v>
      </c>
      <c r="DS182" s="315">
        <v>-56273</v>
      </c>
      <c r="DT182" s="315">
        <v>-11454</v>
      </c>
      <c r="DU182" s="315">
        <v>-3178</v>
      </c>
      <c r="DV182" s="315">
        <v>-7</v>
      </c>
      <c r="DW182" s="315">
        <v>-32382</v>
      </c>
      <c r="DX182" s="315">
        <v>-28748</v>
      </c>
      <c r="DY182" s="315">
        <v>-921</v>
      </c>
      <c r="DZ182" s="315">
        <v>-2713</v>
      </c>
      <c r="EA182" s="315">
        <v>-8917</v>
      </c>
      <c r="EB182" s="315">
        <v>-4</v>
      </c>
      <c r="EC182" s="315"/>
      <c r="ED182" s="315"/>
      <c r="EE182" s="315">
        <v>-331</v>
      </c>
      <c r="EF182" s="315">
        <v>1713405</v>
      </c>
      <c r="EG182" s="315">
        <v>722798</v>
      </c>
      <c r="EH182" s="315">
        <v>990607</v>
      </c>
      <c r="EI182" s="315">
        <v>957233</v>
      </c>
      <c r="EJ182" s="315">
        <v>33374</v>
      </c>
      <c r="EK182" s="315">
        <v>42447</v>
      </c>
      <c r="EL182" s="315">
        <v>49802</v>
      </c>
      <c r="EM182" s="315">
        <v>-7355</v>
      </c>
      <c r="EN182" s="315">
        <v>-6874</v>
      </c>
      <c r="EO182" s="315">
        <v>-481</v>
      </c>
      <c r="EP182" s="315">
        <v>21456</v>
      </c>
      <c r="EQ182" s="315">
        <v>7885</v>
      </c>
      <c r="ER182" s="315">
        <v>13571</v>
      </c>
      <c r="ES182" s="315">
        <v>13023</v>
      </c>
      <c r="ET182" s="315">
        <v>548</v>
      </c>
      <c r="EU182" s="315">
        <v>1286</v>
      </c>
      <c r="EV182" s="315">
        <v>766</v>
      </c>
      <c r="EW182" s="315">
        <v>520</v>
      </c>
      <c r="EX182" s="315">
        <v>499</v>
      </c>
      <c r="EY182" s="315">
        <v>21</v>
      </c>
      <c r="EZ182" s="315">
        <v>848718</v>
      </c>
      <c r="FA182" s="315">
        <v>509296</v>
      </c>
      <c r="FB182" s="315">
        <v>339422</v>
      </c>
      <c r="FC182" s="315">
        <v>325028</v>
      </c>
      <c r="FD182" s="315">
        <v>14394</v>
      </c>
      <c r="FE182" s="315">
        <v>698355</v>
      </c>
      <c r="FF182" s="315">
        <v>220103</v>
      </c>
      <c r="FG182" s="315">
        <v>478252</v>
      </c>
      <c r="FH182" s="315">
        <v>459360</v>
      </c>
      <c r="FI182" s="315">
        <v>18892</v>
      </c>
      <c r="FJ182" s="315">
        <v>101379</v>
      </c>
      <c r="FK182" s="315">
        <v>-64818</v>
      </c>
      <c r="FL182" s="315">
        <v>166197</v>
      </c>
      <c r="FM182" s="315">
        <v>166197</v>
      </c>
      <c r="FN182" s="315"/>
      <c r="FO182" s="315"/>
      <c r="FP182" s="315"/>
      <c r="FQ182" s="315">
        <v>-236</v>
      </c>
      <c r="FR182" s="315">
        <v>437021</v>
      </c>
      <c r="FS182" s="315">
        <v>-15335</v>
      </c>
      <c r="FT182" s="315">
        <v>421686</v>
      </c>
      <c r="FU182" s="315"/>
      <c r="FV182" s="315"/>
      <c r="FW182" s="315"/>
      <c r="FX182" s="315">
        <v>98337</v>
      </c>
      <c r="FY182" s="315">
        <v>118487</v>
      </c>
      <c r="FZ182" s="315"/>
      <c r="GA182" s="315"/>
      <c r="GB182" s="315"/>
      <c r="GC182" s="315">
        <v>99003</v>
      </c>
      <c r="GD182" s="315">
        <v>28039</v>
      </c>
      <c r="GE182" s="315"/>
      <c r="GF182" s="315">
        <v>70964</v>
      </c>
      <c r="GG182" s="315">
        <v>105859</v>
      </c>
      <c r="GH182" s="315">
        <v>6938</v>
      </c>
      <c r="GI182" s="315">
        <v>541</v>
      </c>
      <c r="GJ182" s="315">
        <v>98380</v>
      </c>
      <c r="GL182"/>
      <c r="GM182"/>
      <c r="GN182"/>
      <c r="GO182"/>
    </row>
    <row r="183" spans="1:197">
      <c r="A183" s="98" t="s">
        <v>27</v>
      </c>
      <c r="B183" s="98">
        <v>8</v>
      </c>
      <c r="C183" s="98" t="s">
        <v>224</v>
      </c>
      <c r="D183" s="315">
        <v>11606401</v>
      </c>
      <c r="E183" s="315">
        <v>-6359236</v>
      </c>
      <c r="F183" s="315">
        <v>-13006</v>
      </c>
      <c r="G183" s="315">
        <v>5234159</v>
      </c>
      <c r="H183" s="315">
        <v>475515</v>
      </c>
      <c r="I183" s="315">
        <v>4758644</v>
      </c>
      <c r="J183" s="315">
        <v>4615702</v>
      </c>
      <c r="K183" s="315">
        <v>142942</v>
      </c>
      <c r="L183" s="315">
        <v>752536</v>
      </c>
      <c r="M183" s="315">
        <v>588541</v>
      </c>
      <c r="N183" s="315">
        <v>70154</v>
      </c>
      <c r="O183" s="315"/>
      <c r="P183" s="315"/>
      <c r="Q183" s="315">
        <v>47876</v>
      </c>
      <c r="R183" s="315">
        <v>45965</v>
      </c>
      <c r="S183" s="315">
        <v>-526909</v>
      </c>
      <c r="T183" s="315">
        <v>-518587</v>
      </c>
      <c r="U183" s="315">
        <v>-139844</v>
      </c>
      <c r="V183" s="315">
        <v>-21</v>
      </c>
      <c r="W183" s="315">
        <v>-363213</v>
      </c>
      <c r="X183" s="315">
        <v>0</v>
      </c>
      <c r="Y183" s="315">
        <v>-15509</v>
      </c>
      <c r="Z183" s="315">
        <v>-4028</v>
      </c>
      <c r="AA183" s="315">
        <v>-4294</v>
      </c>
      <c r="AB183" s="315">
        <v>0</v>
      </c>
      <c r="AC183" s="315">
        <v>-13006</v>
      </c>
      <c r="AD183" s="315">
        <v>212621</v>
      </c>
      <c r="AE183" s="315">
        <v>-2229030</v>
      </c>
      <c r="AF183" s="315">
        <v>2441651</v>
      </c>
      <c r="AG183" s="315">
        <v>2363453</v>
      </c>
      <c r="AH183" s="315">
        <v>78198</v>
      </c>
      <c r="AI183" s="315">
        <v>585414</v>
      </c>
      <c r="AJ183" s="315">
        <v>289859</v>
      </c>
      <c r="AK183" s="315">
        <v>179228</v>
      </c>
      <c r="AL183" s="315">
        <v>30835</v>
      </c>
      <c r="AM183" s="315">
        <v>15455</v>
      </c>
      <c r="AN183" s="315">
        <v>14509</v>
      </c>
      <c r="AO183" s="315">
        <v>2133</v>
      </c>
      <c r="AP183" s="315"/>
      <c r="AQ183" s="315">
        <v>12701</v>
      </c>
      <c r="AR183" s="315">
        <v>-448433</v>
      </c>
      <c r="AS183" s="315">
        <v>43848</v>
      </c>
      <c r="AT183" s="315">
        <v>0</v>
      </c>
      <c r="AU183" s="315">
        <v>-13006</v>
      </c>
      <c r="AV183" s="315">
        <v>7660904</v>
      </c>
      <c r="AW183" s="315">
        <v>22925</v>
      </c>
      <c r="AX183" s="315">
        <v>7555152</v>
      </c>
      <c r="AY183" s="315"/>
      <c r="AZ183" s="315"/>
      <c r="BA183" s="315"/>
      <c r="BB183" s="315"/>
      <c r="BC183" s="315">
        <v>70889</v>
      </c>
      <c r="BD183" s="315">
        <v>11938</v>
      </c>
      <c r="BE183" s="315">
        <v>-688595</v>
      </c>
      <c r="BF183" s="315">
        <v>-27107</v>
      </c>
      <c r="BG183" s="315">
        <v>-21375</v>
      </c>
      <c r="BH183" s="315">
        <v>-5732</v>
      </c>
      <c r="BI183" s="315">
        <v>0</v>
      </c>
      <c r="BJ183" s="315">
        <v>-12478</v>
      </c>
      <c r="BK183" s="315">
        <v>-14629</v>
      </c>
      <c r="BL183" s="315">
        <v>-764</v>
      </c>
      <c r="BM183" s="315">
        <v>-660724</v>
      </c>
      <c r="BN183" s="315">
        <v>6972309</v>
      </c>
      <c r="BO183" s="315">
        <v>-653307</v>
      </c>
      <c r="BP183" s="315">
        <v>2971</v>
      </c>
      <c r="BQ183" s="315">
        <v>909</v>
      </c>
      <c r="BR183" s="315"/>
      <c r="BS183" s="315">
        <v>22624</v>
      </c>
      <c r="BT183" s="315"/>
      <c r="BU183" s="315"/>
      <c r="BV183" s="315"/>
      <c r="BW183" s="315"/>
      <c r="BX183" s="315">
        <v>7533777</v>
      </c>
      <c r="BY183" s="315">
        <v>65157</v>
      </c>
      <c r="BZ183" s="315">
        <v>178</v>
      </c>
      <c r="CA183" s="315">
        <v>152812</v>
      </c>
      <c r="CB183" s="315">
        <v>-543810</v>
      </c>
      <c r="CC183" s="315">
        <v>-3217</v>
      </c>
      <c r="CD183" s="315">
        <v>-540593</v>
      </c>
      <c r="CE183" s="315">
        <v>-390998</v>
      </c>
      <c r="CF183" s="315">
        <v>15163</v>
      </c>
      <c r="CG183" s="315">
        <v>11</v>
      </c>
      <c r="CH183" s="315">
        <v>-406172</v>
      </c>
      <c r="CI183" s="315">
        <v>977530</v>
      </c>
      <c r="CJ183" s="315">
        <v>522580</v>
      </c>
      <c r="CK183" s="315">
        <v>454950</v>
      </c>
      <c r="CL183" s="315">
        <v>83155</v>
      </c>
      <c r="CM183" s="315">
        <v>55948</v>
      </c>
      <c r="CN183" s="315">
        <v>315847</v>
      </c>
      <c r="CO183" s="315">
        <v>0</v>
      </c>
      <c r="CP183" s="315">
        <v>0</v>
      </c>
      <c r="CQ183" s="315">
        <v>315847</v>
      </c>
      <c r="CR183" s="315">
        <v>-4580316</v>
      </c>
      <c r="CS183" s="315">
        <v>-3886056</v>
      </c>
      <c r="CT183" s="315">
        <v>-3701453</v>
      </c>
      <c r="CU183" s="315">
        <v>-10195</v>
      </c>
      <c r="CV183" s="315">
        <v>-1049</v>
      </c>
      <c r="CW183" s="315">
        <v>-173359</v>
      </c>
      <c r="CX183" s="315">
        <v>-694260</v>
      </c>
      <c r="CY183" s="315">
        <v>-653462</v>
      </c>
      <c r="CZ183" s="315">
        <v>-40107</v>
      </c>
      <c r="DA183" s="315">
        <v>-691</v>
      </c>
      <c r="DB183" s="315">
        <v>0</v>
      </c>
      <c r="DC183" s="315">
        <v>0</v>
      </c>
      <c r="DD183" s="315">
        <v>-3602786</v>
      </c>
      <c r="DE183" s="315">
        <v>-5173340</v>
      </c>
      <c r="DF183" s="315">
        <v>1570554</v>
      </c>
      <c r="DG183" s="315">
        <v>1523096</v>
      </c>
      <c r="DH183" s="315">
        <v>47458</v>
      </c>
      <c r="DI183" s="315">
        <v>1815934</v>
      </c>
      <c r="DJ183" s="315">
        <v>86267</v>
      </c>
      <c r="DK183" s="315">
        <v>28395</v>
      </c>
      <c r="DL183" s="315">
        <v>2439</v>
      </c>
      <c r="DM183" s="315">
        <v>946062</v>
      </c>
      <c r="DN183" s="315">
        <v>664896</v>
      </c>
      <c r="DO183" s="315">
        <v>87803</v>
      </c>
      <c r="DP183" s="315"/>
      <c r="DQ183" s="315"/>
      <c r="DR183" s="315">
        <v>72</v>
      </c>
      <c r="DS183" s="315">
        <v>-10459</v>
      </c>
      <c r="DT183" s="315">
        <v>-470</v>
      </c>
      <c r="DU183" s="315">
        <v>-15</v>
      </c>
      <c r="DV183" s="315">
        <v>0</v>
      </c>
      <c r="DW183" s="315">
        <v>-9900</v>
      </c>
      <c r="DX183" s="315">
        <v>-9169</v>
      </c>
      <c r="DY183" s="315">
        <v>-169</v>
      </c>
      <c r="DZ183" s="315">
        <v>-562</v>
      </c>
      <c r="EA183" s="315">
        <v>0</v>
      </c>
      <c r="EB183" s="315">
        <v>-49</v>
      </c>
      <c r="EC183" s="315"/>
      <c r="ED183" s="315"/>
      <c r="EE183" s="315">
        <v>-25</v>
      </c>
      <c r="EF183" s="315">
        <v>1805475</v>
      </c>
      <c r="EG183" s="315">
        <v>1059036</v>
      </c>
      <c r="EH183" s="315">
        <v>746439</v>
      </c>
      <c r="EI183" s="315">
        <v>729153</v>
      </c>
      <c r="EJ183" s="315">
        <v>17286</v>
      </c>
      <c r="EK183" s="315">
        <v>85797</v>
      </c>
      <c r="EL183" s="315">
        <v>54419</v>
      </c>
      <c r="EM183" s="315">
        <v>31378</v>
      </c>
      <c r="EN183" s="315">
        <v>30446</v>
      </c>
      <c r="EO183" s="315">
        <v>932</v>
      </c>
      <c r="EP183" s="315">
        <v>28380</v>
      </c>
      <c r="EQ183" s="315">
        <v>18580</v>
      </c>
      <c r="ER183" s="315">
        <v>9800</v>
      </c>
      <c r="ES183" s="315">
        <v>9539</v>
      </c>
      <c r="ET183" s="315">
        <v>261</v>
      </c>
      <c r="EU183" s="315">
        <v>2439</v>
      </c>
      <c r="EV183" s="315">
        <v>1735</v>
      </c>
      <c r="EW183" s="315">
        <v>704</v>
      </c>
      <c r="EX183" s="315">
        <v>686</v>
      </c>
      <c r="EY183" s="315">
        <v>18</v>
      </c>
      <c r="EZ183" s="315">
        <v>936162</v>
      </c>
      <c r="FA183" s="315">
        <v>583921</v>
      </c>
      <c r="FB183" s="315">
        <v>352241</v>
      </c>
      <c r="FC183" s="315">
        <v>342543</v>
      </c>
      <c r="FD183" s="315">
        <v>9698</v>
      </c>
      <c r="FE183" s="315">
        <v>664896</v>
      </c>
      <c r="FF183" s="315">
        <v>415087</v>
      </c>
      <c r="FG183" s="315">
        <v>249809</v>
      </c>
      <c r="FH183" s="315">
        <v>243432</v>
      </c>
      <c r="FI183" s="315">
        <v>6377</v>
      </c>
      <c r="FJ183" s="315">
        <v>87754</v>
      </c>
      <c r="FK183" s="315">
        <v>-14753</v>
      </c>
      <c r="FL183" s="315">
        <v>102507</v>
      </c>
      <c r="FM183" s="315">
        <v>102507</v>
      </c>
      <c r="FN183" s="315"/>
      <c r="FO183" s="315"/>
      <c r="FP183" s="315"/>
      <c r="FQ183" s="315">
        <v>47</v>
      </c>
      <c r="FR183" s="315">
        <v>246685</v>
      </c>
      <c r="FS183" s="315">
        <v>-9147</v>
      </c>
      <c r="FT183" s="315">
        <v>237538</v>
      </c>
      <c r="FU183" s="315"/>
      <c r="FV183" s="315"/>
      <c r="FW183" s="315"/>
      <c r="FX183" s="315">
        <v>122608</v>
      </c>
      <c r="FY183" s="315">
        <v>4123</v>
      </c>
      <c r="FZ183" s="315"/>
      <c r="GA183" s="315"/>
      <c r="GB183" s="315"/>
      <c r="GC183" s="315">
        <v>46702</v>
      </c>
      <c r="GD183" s="315">
        <v>719</v>
      </c>
      <c r="GE183" s="315"/>
      <c r="GF183" s="315">
        <v>45983</v>
      </c>
      <c r="GG183" s="315">
        <v>64105</v>
      </c>
      <c r="GH183" s="315">
        <v>6362</v>
      </c>
      <c r="GI183" s="315">
        <v>648</v>
      </c>
      <c r="GJ183" s="315">
        <v>57095</v>
      </c>
      <c r="GL183"/>
      <c r="GM183"/>
      <c r="GN183"/>
      <c r="GO183"/>
    </row>
    <row r="184" spans="1:197">
      <c r="A184" s="98" t="s">
        <v>27</v>
      </c>
      <c r="B184" s="98">
        <v>9</v>
      </c>
      <c r="C184" s="98" t="s">
        <v>225</v>
      </c>
      <c r="D184" s="315">
        <v>17847472</v>
      </c>
      <c r="E184" s="315">
        <v>-3006843</v>
      </c>
      <c r="F184" s="315">
        <v>-13006</v>
      </c>
      <c r="G184" s="315">
        <v>14827623</v>
      </c>
      <c r="H184" s="315">
        <v>10067247</v>
      </c>
      <c r="I184" s="315">
        <v>4760376</v>
      </c>
      <c r="J184" s="315">
        <v>4617439</v>
      </c>
      <c r="K184" s="315">
        <v>142937</v>
      </c>
      <c r="L184" s="315">
        <v>7551029</v>
      </c>
      <c r="M184" s="315">
        <v>6644938</v>
      </c>
      <c r="N184" s="315">
        <v>68328</v>
      </c>
      <c r="O184" s="315"/>
      <c r="P184" s="315"/>
      <c r="Q184" s="315">
        <v>25664</v>
      </c>
      <c r="R184" s="315">
        <v>812099</v>
      </c>
      <c r="S184" s="315">
        <v>-674446</v>
      </c>
      <c r="T184" s="315">
        <v>-665577</v>
      </c>
      <c r="U184" s="315">
        <v>-147941</v>
      </c>
      <c r="V184" s="315">
        <v>-13</v>
      </c>
      <c r="W184" s="315">
        <v>-497364</v>
      </c>
      <c r="X184" s="315">
        <v>0</v>
      </c>
      <c r="Y184" s="315">
        <v>-20259</v>
      </c>
      <c r="Z184" s="315">
        <v>-5512</v>
      </c>
      <c r="AA184" s="315">
        <v>-3357</v>
      </c>
      <c r="AB184" s="315">
        <v>0</v>
      </c>
      <c r="AC184" s="315">
        <v>-13006</v>
      </c>
      <c r="AD184" s="315">
        <v>6863577</v>
      </c>
      <c r="AE184" s="315">
        <v>4421928</v>
      </c>
      <c r="AF184" s="315">
        <v>2441649</v>
      </c>
      <c r="AG184" s="315">
        <v>2363452</v>
      </c>
      <c r="AH184" s="315">
        <v>78197</v>
      </c>
      <c r="AI184" s="315">
        <v>6642692</v>
      </c>
      <c r="AJ184" s="315">
        <v>2155098</v>
      </c>
      <c r="AK184" s="315">
        <v>4403144</v>
      </c>
      <c r="AL184" s="315">
        <v>5634</v>
      </c>
      <c r="AM184" s="315">
        <v>668000</v>
      </c>
      <c r="AN184" s="315">
        <v>89723</v>
      </c>
      <c r="AO184" s="315">
        <v>46483</v>
      </c>
      <c r="AP184" s="315"/>
      <c r="AQ184" s="315">
        <v>6782</v>
      </c>
      <c r="AR184" s="315">
        <v>-597249</v>
      </c>
      <c r="AS184" s="315">
        <v>20152</v>
      </c>
      <c r="AT184" s="315">
        <v>0</v>
      </c>
      <c r="AU184" s="315">
        <v>-13006</v>
      </c>
      <c r="AV184" s="315">
        <v>589249</v>
      </c>
      <c r="AW184" s="315">
        <v>17566</v>
      </c>
      <c r="AX184" s="315">
        <v>122898</v>
      </c>
      <c r="AY184" s="315"/>
      <c r="AZ184" s="315"/>
      <c r="BA184" s="315"/>
      <c r="BB184" s="315"/>
      <c r="BC184" s="315">
        <v>111183</v>
      </c>
      <c r="BD184" s="315">
        <v>337602</v>
      </c>
      <c r="BE184" s="315">
        <v>-82064</v>
      </c>
      <c r="BF184" s="315">
        <v>-49209</v>
      </c>
      <c r="BG184" s="315">
        <v>-40433</v>
      </c>
      <c r="BH184" s="315">
        <v>-8776</v>
      </c>
      <c r="BI184" s="315">
        <v>0</v>
      </c>
      <c r="BJ184" s="315">
        <v>-26273</v>
      </c>
      <c r="BK184" s="315">
        <v>-22936</v>
      </c>
      <c r="BL184" s="315">
        <v>-1358</v>
      </c>
      <c r="BM184" s="315">
        <v>-31497</v>
      </c>
      <c r="BN184" s="315">
        <v>507185</v>
      </c>
      <c r="BO184" s="315">
        <v>251785</v>
      </c>
      <c r="BP184" s="315">
        <v>33852</v>
      </c>
      <c r="BQ184" s="315">
        <v>19778</v>
      </c>
      <c r="BR184" s="315"/>
      <c r="BS184" s="315">
        <v>16645</v>
      </c>
      <c r="BT184" s="315"/>
      <c r="BU184" s="315"/>
      <c r="BV184" s="315"/>
      <c r="BW184" s="315"/>
      <c r="BX184" s="315">
        <v>82465</v>
      </c>
      <c r="BY184" s="315">
        <v>102407</v>
      </c>
      <c r="BZ184" s="315">
        <v>253</v>
      </c>
      <c r="CA184" s="315">
        <v>343355</v>
      </c>
      <c r="CB184" s="315">
        <v>-42794</v>
      </c>
      <c r="CC184" s="315">
        <v>-17023</v>
      </c>
      <c r="CD184" s="315">
        <v>-25771</v>
      </c>
      <c r="CE184" s="315">
        <v>300561</v>
      </c>
      <c r="CF184" s="315">
        <v>336099</v>
      </c>
      <c r="CG184" s="315">
        <v>-8</v>
      </c>
      <c r="CH184" s="315">
        <v>-35530</v>
      </c>
      <c r="CI184" s="315">
        <v>7171457</v>
      </c>
      <c r="CJ184" s="315">
        <v>491912</v>
      </c>
      <c r="CK184" s="315">
        <v>6679545</v>
      </c>
      <c r="CL184" s="315">
        <v>6262508</v>
      </c>
      <c r="CM184" s="315">
        <v>84229</v>
      </c>
      <c r="CN184" s="315">
        <v>332808</v>
      </c>
      <c r="CO184" s="315">
        <v>0</v>
      </c>
      <c r="CP184" s="315">
        <v>0</v>
      </c>
      <c r="CQ184" s="315">
        <v>332808</v>
      </c>
      <c r="CR184" s="315">
        <v>-2169329</v>
      </c>
      <c r="CS184" s="315">
        <v>-1118494</v>
      </c>
      <c r="CT184" s="315">
        <v>-1021707</v>
      </c>
      <c r="CU184" s="315">
        <v>-4923</v>
      </c>
      <c r="CV184" s="315">
        <v>-710</v>
      </c>
      <c r="CW184" s="315">
        <v>-91154</v>
      </c>
      <c r="CX184" s="315">
        <v>-1024022</v>
      </c>
      <c r="CY184" s="315">
        <v>-997475</v>
      </c>
      <c r="CZ184" s="315">
        <v>-25339</v>
      </c>
      <c r="DA184" s="315">
        <v>-1208</v>
      </c>
      <c r="DB184" s="315">
        <v>0</v>
      </c>
      <c r="DC184" s="315">
        <v>-26813</v>
      </c>
      <c r="DD184" s="315">
        <v>5002128</v>
      </c>
      <c r="DE184" s="315">
        <v>3430520</v>
      </c>
      <c r="DF184" s="315">
        <v>1571608</v>
      </c>
      <c r="DG184" s="315">
        <v>1524149</v>
      </c>
      <c r="DH184" s="315">
        <v>47459</v>
      </c>
      <c r="DI184" s="315">
        <v>1685998</v>
      </c>
      <c r="DJ184" s="315">
        <v>75321</v>
      </c>
      <c r="DK184" s="315">
        <v>30388</v>
      </c>
      <c r="DL184" s="315">
        <v>1199</v>
      </c>
      <c r="DM184" s="315">
        <v>858676</v>
      </c>
      <c r="DN184" s="315">
        <v>607899</v>
      </c>
      <c r="DO184" s="315">
        <v>112424</v>
      </c>
      <c r="DP184" s="315"/>
      <c r="DQ184" s="315"/>
      <c r="DR184" s="315">
        <v>91</v>
      </c>
      <c r="DS184" s="315">
        <v>-26923</v>
      </c>
      <c r="DT184" s="315">
        <v>-1676</v>
      </c>
      <c r="DU184" s="315">
        <v>-44</v>
      </c>
      <c r="DV184" s="315">
        <v>-21</v>
      </c>
      <c r="DW184" s="315">
        <v>-20231</v>
      </c>
      <c r="DX184" s="315">
        <v>-6114</v>
      </c>
      <c r="DY184" s="315">
        <v>-5462</v>
      </c>
      <c r="DZ184" s="315">
        <v>-8655</v>
      </c>
      <c r="EA184" s="315">
        <v>-4862</v>
      </c>
      <c r="EB184" s="315">
        <v>-27</v>
      </c>
      <c r="EC184" s="315"/>
      <c r="ED184" s="315"/>
      <c r="EE184" s="315">
        <v>-62</v>
      </c>
      <c r="EF184" s="315">
        <v>1659075</v>
      </c>
      <c r="EG184" s="315">
        <v>911956</v>
      </c>
      <c r="EH184" s="315">
        <v>747119</v>
      </c>
      <c r="EI184" s="315">
        <v>729838</v>
      </c>
      <c r="EJ184" s="315">
        <v>17281</v>
      </c>
      <c r="EK184" s="315">
        <v>73645</v>
      </c>
      <c r="EL184" s="315">
        <v>41581</v>
      </c>
      <c r="EM184" s="315">
        <v>32064</v>
      </c>
      <c r="EN184" s="315">
        <v>31132</v>
      </c>
      <c r="EO184" s="315">
        <v>932</v>
      </c>
      <c r="EP184" s="315">
        <v>30344</v>
      </c>
      <c r="EQ184" s="315">
        <v>20544</v>
      </c>
      <c r="ER184" s="315">
        <v>9800</v>
      </c>
      <c r="ES184" s="315">
        <v>9538</v>
      </c>
      <c r="ET184" s="315">
        <v>262</v>
      </c>
      <c r="EU184" s="315">
        <v>1178</v>
      </c>
      <c r="EV184" s="315">
        <v>472</v>
      </c>
      <c r="EW184" s="315">
        <v>706</v>
      </c>
      <c r="EX184" s="315">
        <v>686</v>
      </c>
      <c r="EY184" s="315">
        <v>20</v>
      </c>
      <c r="EZ184" s="315">
        <v>838445</v>
      </c>
      <c r="FA184" s="315">
        <v>486205</v>
      </c>
      <c r="FB184" s="315">
        <v>352240</v>
      </c>
      <c r="FC184" s="315">
        <v>342543</v>
      </c>
      <c r="FD184" s="315">
        <v>9697</v>
      </c>
      <c r="FE184" s="315">
        <v>603037</v>
      </c>
      <c r="FF184" s="315">
        <v>353235</v>
      </c>
      <c r="FG184" s="315">
        <v>249802</v>
      </c>
      <c r="FH184" s="315">
        <v>243432</v>
      </c>
      <c r="FI184" s="315">
        <v>6370</v>
      </c>
      <c r="FJ184" s="315">
        <v>112397</v>
      </c>
      <c r="FK184" s="315">
        <v>9890</v>
      </c>
      <c r="FL184" s="315">
        <v>102507</v>
      </c>
      <c r="FM184" s="315">
        <v>102507</v>
      </c>
      <c r="FN184" s="315"/>
      <c r="FO184" s="315"/>
      <c r="FP184" s="315"/>
      <c r="FQ184" s="315">
        <v>29</v>
      </c>
      <c r="FR184" s="315">
        <v>506384</v>
      </c>
      <c r="FS184" s="315">
        <v>-11287</v>
      </c>
      <c r="FT184" s="315">
        <v>495097</v>
      </c>
      <c r="FU184" s="315"/>
      <c r="FV184" s="315"/>
      <c r="FW184" s="315"/>
      <c r="FX184" s="315">
        <v>120706</v>
      </c>
      <c r="FY184" s="315">
        <v>241192</v>
      </c>
      <c r="FZ184" s="315"/>
      <c r="GA184" s="315"/>
      <c r="GB184" s="315"/>
      <c r="GC184" s="315">
        <v>59691</v>
      </c>
      <c r="GD184" s="315">
        <v>597</v>
      </c>
      <c r="GE184" s="315"/>
      <c r="GF184" s="315">
        <v>59094</v>
      </c>
      <c r="GG184" s="315">
        <v>73508</v>
      </c>
      <c r="GH184" s="315">
        <v>5705</v>
      </c>
      <c r="GI184" s="315">
        <v>513</v>
      </c>
      <c r="GJ184" s="315">
        <v>67290</v>
      </c>
      <c r="GL184"/>
      <c r="GM184"/>
      <c r="GN184"/>
      <c r="GO184"/>
    </row>
    <row r="185" spans="1:197">
      <c r="A185" s="98" t="s">
        <v>27</v>
      </c>
      <c r="B185" s="98">
        <v>10</v>
      </c>
      <c r="C185" s="98" t="s">
        <v>226</v>
      </c>
      <c r="D185" s="315">
        <v>26394585</v>
      </c>
      <c r="E185" s="315">
        <v>-3688276</v>
      </c>
      <c r="F185" s="315">
        <v>-13006</v>
      </c>
      <c r="G185" s="315">
        <v>22693303</v>
      </c>
      <c r="H185" s="315">
        <v>17932922</v>
      </c>
      <c r="I185" s="315">
        <v>4760381</v>
      </c>
      <c r="J185" s="315">
        <v>4617439</v>
      </c>
      <c r="K185" s="315">
        <v>142942</v>
      </c>
      <c r="L185" s="315">
        <v>8285067</v>
      </c>
      <c r="M185" s="315">
        <v>6806985</v>
      </c>
      <c r="N185" s="315">
        <v>70858</v>
      </c>
      <c r="O185" s="315"/>
      <c r="P185" s="315"/>
      <c r="Q185" s="315">
        <v>32471</v>
      </c>
      <c r="R185" s="315">
        <v>1374753</v>
      </c>
      <c r="S185" s="315">
        <v>-761510</v>
      </c>
      <c r="T185" s="315">
        <v>-711656</v>
      </c>
      <c r="U185" s="315">
        <v>-145397</v>
      </c>
      <c r="V185" s="315">
        <v>-22</v>
      </c>
      <c r="W185" s="315">
        <v>-544910</v>
      </c>
      <c r="X185" s="315">
        <v>0</v>
      </c>
      <c r="Y185" s="315">
        <v>-21327</v>
      </c>
      <c r="Z185" s="315">
        <v>-39886</v>
      </c>
      <c r="AA185" s="315">
        <v>-9968</v>
      </c>
      <c r="AB185" s="315">
        <v>0</v>
      </c>
      <c r="AC185" s="315">
        <v>-13006</v>
      </c>
      <c r="AD185" s="315">
        <v>7510551</v>
      </c>
      <c r="AE185" s="315">
        <v>5068902</v>
      </c>
      <c r="AF185" s="315">
        <v>2441649</v>
      </c>
      <c r="AG185" s="315">
        <v>2363453</v>
      </c>
      <c r="AH185" s="315">
        <v>78196</v>
      </c>
      <c r="AI185" s="315">
        <v>6797747</v>
      </c>
      <c r="AJ185" s="315">
        <v>1224369</v>
      </c>
      <c r="AK185" s="315">
        <v>2166622</v>
      </c>
      <c r="AL185" s="315">
        <v>3268631</v>
      </c>
      <c r="AM185" s="315">
        <v>420657</v>
      </c>
      <c r="AN185" s="315">
        <v>382440</v>
      </c>
      <c r="AO185" s="315">
        <v>43905</v>
      </c>
      <c r="AP185" s="315"/>
      <c r="AQ185" s="315">
        <v>527021</v>
      </c>
      <c r="AR185" s="315">
        <v>-640798</v>
      </c>
      <c r="AS185" s="315">
        <v>-7415</v>
      </c>
      <c r="AT185" s="315">
        <v>0</v>
      </c>
      <c r="AU185" s="315">
        <v>-13006</v>
      </c>
      <c r="AV185" s="315">
        <v>6780007</v>
      </c>
      <c r="AW185" s="315">
        <v>6270177</v>
      </c>
      <c r="AX185" s="315">
        <v>102286</v>
      </c>
      <c r="AY185" s="315"/>
      <c r="AZ185" s="315"/>
      <c r="BA185" s="315"/>
      <c r="BB185" s="315"/>
      <c r="BC185" s="315">
        <v>51567</v>
      </c>
      <c r="BD185" s="315">
        <v>355977</v>
      </c>
      <c r="BE185" s="315">
        <v>-676920</v>
      </c>
      <c r="BF185" s="315">
        <v>-674701</v>
      </c>
      <c r="BG185" s="315">
        <v>-659441</v>
      </c>
      <c r="BH185" s="315">
        <v>-15260</v>
      </c>
      <c r="BI185" s="315">
        <v>-599625</v>
      </c>
      <c r="BJ185" s="315">
        <v>-55632.999999999993</v>
      </c>
      <c r="BK185" s="315">
        <v>-19443.000000000007</v>
      </c>
      <c r="BL185" s="315">
        <v>-2219</v>
      </c>
      <c r="BM185" s="315">
        <v>0</v>
      </c>
      <c r="BN185" s="315">
        <v>6103087</v>
      </c>
      <c r="BO185" s="315">
        <v>177633</v>
      </c>
      <c r="BP185" s="315">
        <v>159369</v>
      </c>
      <c r="BQ185" s="315">
        <v>18694</v>
      </c>
      <c r="BR185" s="315"/>
      <c r="BS185" s="315">
        <v>6268164</v>
      </c>
      <c r="BT185" s="315"/>
      <c r="BU185" s="315"/>
      <c r="BV185" s="315"/>
      <c r="BW185" s="315"/>
      <c r="BX185" s="315">
        <v>-557155</v>
      </c>
      <c r="BY185" s="315">
        <v>36307</v>
      </c>
      <c r="BZ185" s="315">
        <v>75</v>
      </c>
      <c r="CA185" s="315">
        <v>133631</v>
      </c>
      <c r="CB185" s="315">
        <v>-10309</v>
      </c>
      <c r="CC185" s="315">
        <v>-10309</v>
      </c>
      <c r="CD185" s="315">
        <v>0</v>
      </c>
      <c r="CE185" s="315">
        <v>123322</v>
      </c>
      <c r="CF185" s="315">
        <v>96822</v>
      </c>
      <c r="CG185" s="315">
        <v>16561</v>
      </c>
      <c r="CH185" s="315">
        <v>9939</v>
      </c>
      <c r="CI185" s="315">
        <v>8988152</v>
      </c>
      <c r="CJ185" s="315">
        <v>500317</v>
      </c>
      <c r="CK185" s="315">
        <v>8487835</v>
      </c>
      <c r="CL185" s="315">
        <v>3421157</v>
      </c>
      <c r="CM185" s="315">
        <v>4741947</v>
      </c>
      <c r="CN185" s="315">
        <v>324731</v>
      </c>
      <c r="CO185" s="315">
        <v>0</v>
      </c>
      <c r="CP185" s="315">
        <v>0</v>
      </c>
      <c r="CQ185" s="315">
        <v>324731</v>
      </c>
      <c r="CR185" s="315">
        <v>-2171750</v>
      </c>
      <c r="CS185" s="315">
        <v>-896806</v>
      </c>
      <c r="CT185" s="315">
        <v>-789493</v>
      </c>
      <c r="CU185" s="315">
        <v>-6023</v>
      </c>
      <c r="CV185" s="315">
        <v>-2837</v>
      </c>
      <c r="CW185" s="315">
        <v>-98453</v>
      </c>
      <c r="CX185" s="315">
        <v>-1166303</v>
      </c>
      <c r="CY185" s="315">
        <v>-1150878</v>
      </c>
      <c r="CZ185" s="315">
        <v>-13590</v>
      </c>
      <c r="DA185" s="315">
        <v>-1835</v>
      </c>
      <c r="DB185" s="315">
        <v>-108641</v>
      </c>
      <c r="DC185" s="315">
        <v>0</v>
      </c>
      <c r="DD185" s="315">
        <v>6816402</v>
      </c>
      <c r="DE185" s="315">
        <v>5244795</v>
      </c>
      <c r="DF185" s="315">
        <v>1571607</v>
      </c>
      <c r="DG185" s="315">
        <v>1524149</v>
      </c>
      <c r="DH185" s="315">
        <v>47458</v>
      </c>
      <c r="DI185" s="315">
        <v>1846264</v>
      </c>
      <c r="DJ185" s="315">
        <v>59536</v>
      </c>
      <c r="DK185" s="315">
        <v>34039</v>
      </c>
      <c r="DL185" s="315">
        <v>1042</v>
      </c>
      <c r="DM185" s="315">
        <v>879588</v>
      </c>
      <c r="DN185" s="315">
        <v>780945</v>
      </c>
      <c r="DO185" s="315">
        <v>91056</v>
      </c>
      <c r="DP185" s="315"/>
      <c r="DQ185" s="315"/>
      <c r="DR185" s="315">
        <v>58</v>
      </c>
      <c r="DS185" s="315">
        <v>-39734</v>
      </c>
      <c r="DT185" s="315">
        <v>-10760</v>
      </c>
      <c r="DU185" s="315">
        <v>-4290</v>
      </c>
      <c r="DV185" s="315">
        <v>-31</v>
      </c>
      <c r="DW185" s="315">
        <v>-6445</v>
      </c>
      <c r="DX185" s="315">
        <v>-2785</v>
      </c>
      <c r="DY185" s="315">
        <v>-2604</v>
      </c>
      <c r="DZ185" s="315">
        <v>-1056</v>
      </c>
      <c r="EA185" s="315">
        <v>-18168</v>
      </c>
      <c r="EB185" s="315">
        <v>-14</v>
      </c>
      <c r="EC185" s="315"/>
      <c r="ED185" s="315"/>
      <c r="EE185" s="315">
        <v>-26</v>
      </c>
      <c r="EF185" s="315">
        <v>1806530</v>
      </c>
      <c r="EG185" s="315">
        <v>1059405</v>
      </c>
      <c r="EH185" s="315">
        <v>747125</v>
      </c>
      <c r="EI185" s="315">
        <v>729837</v>
      </c>
      <c r="EJ185" s="315">
        <v>17288</v>
      </c>
      <c r="EK185" s="315">
        <v>48776</v>
      </c>
      <c r="EL185" s="315">
        <v>16713</v>
      </c>
      <c r="EM185" s="315">
        <v>32063</v>
      </c>
      <c r="EN185" s="315">
        <v>31131</v>
      </c>
      <c r="EO185" s="315">
        <v>932</v>
      </c>
      <c r="EP185" s="315">
        <v>29749</v>
      </c>
      <c r="EQ185" s="315">
        <v>19948</v>
      </c>
      <c r="ER185" s="315">
        <v>9801</v>
      </c>
      <c r="ES185" s="315">
        <v>9539</v>
      </c>
      <c r="ET185" s="315">
        <v>262</v>
      </c>
      <c r="EU185" s="315">
        <v>1011</v>
      </c>
      <c r="EV185" s="315">
        <v>305</v>
      </c>
      <c r="EW185" s="315">
        <v>706</v>
      </c>
      <c r="EX185" s="315">
        <v>686</v>
      </c>
      <c r="EY185" s="315">
        <v>20</v>
      </c>
      <c r="EZ185" s="315">
        <v>873143</v>
      </c>
      <c r="FA185" s="315">
        <v>520904</v>
      </c>
      <c r="FB185" s="315">
        <v>352239</v>
      </c>
      <c r="FC185" s="315">
        <v>342542</v>
      </c>
      <c r="FD185" s="315">
        <v>9697</v>
      </c>
      <c r="FE185" s="315">
        <v>762777</v>
      </c>
      <c r="FF185" s="315">
        <v>512968</v>
      </c>
      <c r="FG185" s="315">
        <v>249809</v>
      </c>
      <c r="FH185" s="315">
        <v>243432</v>
      </c>
      <c r="FI185" s="315">
        <v>6377</v>
      </c>
      <c r="FJ185" s="315">
        <v>91042</v>
      </c>
      <c r="FK185" s="315">
        <v>-11465</v>
      </c>
      <c r="FL185" s="315">
        <v>102507</v>
      </c>
      <c r="FM185" s="315">
        <v>102507</v>
      </c>
      <c r="FN185" s="315"/>
      <c r="FO185" s="315"/>
      <c r="FP185" s="315"/>
      <c r="FQ185" s="315">
        <v>32</v>
      </c>
      <c r="FR185" s="315">
        <v>361464</v>
      </c>
      <c r="FS185" s="315">
        <v>-28053</v>
      </c>
      <c r="FT185" s="315">
        <v>333411</v>
      </c>
      <c r="FU185" s="315"/>
      <c r="FV185" s="315"/>
      <c r="FW185" s="315"/>
      <c r="FX185" s="315">
        <v>111785</v>
      </c>
      <c r="FY185" s="315">
        <v>103440</v>
      </c>
      <c r="FZ185" s="315"/>
      <c r="GA185" s="315"/>
      <c r="GB185" s="315"/>
      <c r="GC185" s="315">
        <v>57285</v>
      </c>
      <c r="GD185" s="315">
        <v>79</v>
      </c>
      <c r="GE185" s="315"/>
      <c r="GF185" s="315">
        <v>57206</v>
      </c>
      <c r="GG185" s="315">
        <v>60901</v>
      </c>
      <c r="GH185" s="315">
        <v>4726</v>
      </c>
      <c r="GI185" s="315">
        <v>363</v>
      </c>
      <c r="GJ185" s="315">
        <v>55812</v>
      </c>
      <c r="GL185"/>
      <c r="GM185"/>
      <c r="GN185"/>
      <c r="GO185"/>
    </row>
    <row r="186" spans="1:197">
      <c r="A186" s="98" t="s">
        <v>27</v>
      </c>
      <c r="B186" s="98">
        <v>11</v>
      </c>
      <c r="C186" s="98" t="s">
        <v>227</v>
      </c>
      <c r="D186" s="315">
        <v>13384750</v>
      </c>
      <c r="E186" s="315">
        <v>-4590820</v>
      </c>
      <c r="F186" s="315">
        <v>-13006</v>
      </c>
      <c r="G186" s="315">
        <v>8780924</v>
      </c>
      <c r="H186" s="315">
        <v>4020538</v>
      </c>
      <c r="I186" s="315">
        <v>4760386</v>
      </c>
      <c r="J186" s="315">
        <v>4617440</v>
      </c>
      <c r="K186" s="315">
        <v>142946</v>
      </c>
      <c r="L186" s="315">
        <v>6190624</v>
      </c>
      <c r="M186" s="315">
        <v>3490937</v>
      </c>
      <c r="N186" s="315">
        <v>2242720</v>
      </c>
      <c r="O186" s="315"/>
      <c r="P186" s="315"/>
      <c r="Q186" s="315">
        <v>25393</v>
      </c>
      <c r="R186" s="315">
        <v>431574</v>
      </c>
      <c r="S186" s="315">
        <v>-713369</v>
      </c>
      <c r="T186" s="315">
        <v>-677809</v>
      </c>
      <c r="U186" s="315">
        <v>-155941</v>
      </c>
      <c r="V186" s="315">
        <v>-11</v>
      </c>
      <c r="W186" s="315">
        <v>-498120</v>
      </c>
      <c r="X186" s="315">
        <v>0</v>
      </c>
      <c r="Y186" s="315">
        <v>-23737</v>
      </c>
      <c r="Z186" s="315">
        <v>-27444</v>
      </c>
      <c r="AA186" s="315">
        <v>-8116</v>
      </c>
      <c r="AB186" s="315">
        <v>0</v>
      </c>
      <c r="AC186" s="315">
        <v>-13006</v>
      </c>
      <c r="AD186" s="315">
        <v>5464249</v>
      </c>
      <c r="AE186" s="315">
        <v>3022598</v>
      </c>
      <c r="AF186" s="315">
        <v>2441651</v>
      </c>
      <c r="AG186" s="315">
        <v>2363453</v>
      </c>
      <c r="AH186" s="315">
        <v>78198</v>
      </c>
      <c r="AI186" s="315">
        <v>3483938</v>
      </c>
      <c r="AJ186" s="315">
        <v>1233783</v>
      </c>
      <c r="AK186" s="315">
        <v>2125911</v>
      </c>
      <c r="AL186" s="315">
        <v>15210</v>
      </c>
      <c r="AM186" s="315">
        <v>334180</v>
      </c>
      <c r="AN186" s="315">
        <v>55277</v>
      </c>
      <c r="AO186" s="315">
        <v>30669</v>
      </c>
      <c r="AP186" s="315"/>
      <c r="AQ186" s="315">
        <v>10331</v>
      </c>
      <c r="AR186" s="315">
        <v>1564911</v>
      </c>
      <c r="AS186" s="315">
        <v>-2051</v>
      </c>
      <c r="AT186" s="315">
        <v>0</v>
      </c>
      <c r="AU186" s="315">
        <v>-13006</v>
      </c>
      <c r="AV186" s="315">
        <v>628537</v>
      </c>
      <c r="AW186" s="315">
        <v>73009</v>
      </c>
      <c r="AX186" s="315">
        <v>161872</v>
      </c>
      <c r="AY186" s="315"/>
      <c r="AZ186" s="315"/>
      <c r="BA186" s="315"/>
      <c r="BB186" s="315"/>
      <c r="BC186" s="315">
        <v>58085</v>
      </c>
      <c r="BD186" s="315">
        <v>335571</v>
      </c>
      <c r="BE186" s="315">
        <v>-1185894</v>
      </c>
      <c r="BF186" s="315">
        <v>-1183645</v>
      </c>
      <c r="BG186" s="315">
        <v>-1150307</v>
      </c>
      <c r="BH186" s="315">
        <v>-33338</v>
      </c>
      <c r="BI186" s="315">
        <v>-1120882</v>
      </c>
      <c r="BJ186" s="315">
        <v>-19035</v>
      </c>
      <c r="BK186" s="315">
        <v>-43728</v>
      </c>
      <c r="BL186" s="315">
        <v>-1603</v>
      </c>
      <c r="BM186" s="315">
        <v>-646</v>
      </c>
      <c r="BN186" s="315">
        <v>-557357</v>
      </c>
      <c r="BO186" s="315">
        <v>301952</v>
      </c>
      <c r="BP186" s="315">
        <v>19501</v>
      </c>
      <c r="BQ186" s="315">
        <v>13017</v>
      </c>
      <c r="BR186" s="315"/>
      <c r="BS186" s="315">
        <v>71804</v>
      </c>
      <c r="BT186" s="315"/>
      <c r="BU186" s="315"/>
      <c r="BV186" s="315"/>
      <c r="BW186" s="315"/>
      <c r="BX186" s="315">
        <v>-988435</v>
      </c>
      <c r="BY186" s="315">
        <v>24747</v>
      </c>
      <c r="BZ186" s="315">
        <v>57</v>
      </c>
      <c r="CA186" s="315">
        <v>232509</v>
      </c>
      <c r="CB186" s="315">
        <v>-35329</v>
      </c>
      <c r="CC186" s="315">
        <v>-34425</v>
      </c>
      <c r="CD186" s="315">
        <v>-904</v>
      </c>
      <c r="CE186" s="315">
        <v>197180</v>
      </c>
      <c r="CF186" s="315">
        <v>78097</v>
      </c>
      <c r="CG186" s="315">
        <v>35</v>
      </c>
      <c r="CH186" s="315">
        <v>119048</v>
      </c>
      <c r="CI186" s="315">
        <v>4268222</v>
      </c>
      <c r="CJ186" s="315">
        <v>570090</v>
      </c>
      <c r="CK186" s="315">
        <v>3698132</v>
      </c>
      <c r="CL186" s="315">
        <v>3278399</v>
      </c>
      <c r="CM186" s="315">
        <v>88136</v>
      </c>
      <c r="CN186" s="315">
        <v>331597</v>
      </c>
      <c r="CO186" s="315">
        <v>0</v>
      </c>
      <c r="CP186" s="315">
        <v>0</v>
      </c>
      <c r="CQ186" s="315">
        <v>331597</v>
      </c>
      <c r="CR186" s="315">
        <v>-2606483</v>
      </c>
      <c r="CS186" s="315">
        <v>-658633</v>
      </c>
      <c r="CT186" s="315">
        <v>-558800</v>
      </c>
      <c r="CU186" s="315">
        <v>-3880</v>
      </c>
      <c r="CV186" s="315">
        <v>-1807</v>
      </c>
      <c r="CW186" s="315">
        <v>-94146</v>
      </c>
      <c r="CX186" s="315">
        <v>-1947850</v>
      </c>
      <c r="CY186" s="315">
        <v>-1919531</v>
      </c>
      <c r="CZ186" s="315">
        <v>-21868</v>
      </c>
      <c r="DA186" s="315">
        <v>-6451</v>
      </c>
      <c r="DB186" s="315">
        <v>0</v>
      </c>
      <c r="DC186" s="315">
        <v>0</v>
      </c>
      <c r="DD186" s="315">
        <v>1661739</v>
      </c>
      <c r="DE186" s="315">
        <v>90130</v>
      </c>
      <c r="DF186" s="315">
        <v>1571609</v>
      </c>
      <c r="DG186" s="315">
        <v>1524149</v>
      </c>
      <c r="DH186" s="315">
        <v>47460</v>
      </c>
      <c r="DI186" s="315">
        <v>1659419</v>
      </c>
      <c r="DJ186" s="315">
        <v>95811</v>
      </c>
      <c r="DK186" s="315">
        <v>30450</v>
      </c>
      <c r="DL186" s="315">
        <v>2324</v>
      </c>
      <c r="DM186" s="315">
        <v>869077</v>
      </c>
      <c r="DN186" s="315">
        <v>563386</v>
      </c>
      <c r="DO186" s="315">
        <v>98318</v>
      </c>
      <c r="DP186" s="315"/>
      <c r="DQ186" s="315"/>
      <c r="DR186" s="315">
        <v>53</v>
      </c>
      <c r="DS186" s="315">
        <v>-24104</v>
      </c>
      <c r="DT186" s="315">
        <v>-2291</v>
      </c>
      <c r="DU186" s="315">
        <v>-60</v>
      </c>
      <c r="DV186" s="315">
        <v>-4</v>
      </c>
      <c r="DW186" s="315">
        <v>-20828</v>
      </c>
      <c r="DX186" s="315">
        <v>-3380</v>
      </c>
      <c r="DY186" s="315">
        <v>-12297</v>
      </c>
      <c r="DZ186" s="315">
        <v>-5151</v>
      </c>
      <c r="EA186" s="315">
        <v>-176</v>
      </c>
      <c r="EB186" s="315">
        <v>-5</v>
      </c>
      <c r="EC186" s="315"/>
      <c r="ED186" s="315"/>
      <c r="EE186" s="315">
        <v>-740</v>
      </c>
      <c r="EF186" s="315">
        <v>1635315</v>
      </c>
      <c r="EG186" s="315">
        <v>888189</v>
      </c>
      <c r="EH186" s="315">
        <v>747126</v>
      </c>
      <c r="EI186" s="315">
        <v>729838</v>
      </c>
      <c r="EJ186" s="315">
        <v>17288</v>
      </c>
      <c r="EK186" s="315">
        <v>93520</v>
      </c>
      <c r="EL186" s="315">
        <v>61458</v>
      </c>
      <c r="EM186" s="315">
        <v>32062</v>
      </c>
      <c r="EN186" s="315">
        <v>31131</v>
      </c>
      <c r="EO186" s="315">
        <v>931</v>
      </c>
      <c r="EP186" s="315">
        <v>30390</v>
      </c>
      <c r="EQ186" s="315">
        <v>20588</v>
      </c>
      <c r="ER186" s="315">
        <v>9802</v>
      </c>
      <c r="ES186" s="315">
        <v>9539</v>
      </c>
      <c r="ET186" s="315">
        <v>263</v>
      </c>
      <c r="EU186" s="315">
        <v>2320</v>
      </c>
      <c r="EV186" s="315">
        <v>1615</v>
      </c>
      <c r="EW186" s="315">
        <v>705</v>
      </c>
      <c r="EX186" s="315">
        <v>686</v>
      </c>
      <c r="EY186" s="315">
        <v>19</v>
      </c>
      <c r="EZ186" s="315">
        <v>848249</v>
      </c>
      <c r="FA186" s="315">
        <v>496009</v>
      </c>
      <c r="FB186" s="315">
        <v>352240</v>
      </c>
      <c r="FC186" s="315">
        <v>342543</v>
      </c>
      <c r="FD186" s="315">
        <v>9697</v>
      </c>
      <c r="FE186" s="315">
        <v>563210</v>
      </c>
      <c r="FF186" s="315">
        <v>313400</v>
      </c>
      <c r="FG186" s="315">
        <v>249810</v>
      </c>
      <c r="FH186" s="315">
        <v>243432</v>
      </c>
      <c r="FI186" s="315">
        <v>6378</v>
      </c>
      <c r="FJ186" s="315">
        <v>98313</v>
      </c>
      <c r="FK186" s="315">
        <v>-4194</v>
      </c>
      <c r="FL186" s="315">
        <v>102507</v>
      </c>
      <c r="FM186" s="315">
        <v>102507</v>
      </c>
      <c r="FN186" s="315"/>
      <c r="FO186" s="315"/>
      <c r="FP186" s="315"/>
      <c r="FQ186" s="315">
        <v>-687</v>
      </c>
      <c r="FR186" s="315">
        <v>405439</v>
      </c>
      <c r="FS186" s="315">
        <v>-25641</v>
      </c>
      <c r="FT186" s="315">
        <v>379798</v>
      </c>
      <c r="FU186" s="315"/>
      <c r="FV186" s="315"/>
      <c r="FW186" s="315"/>
      <c r="FX186" s="315">
        <v>117316</v>
      </c>
      <c r="FY186" s="315">
        <v>121366</v>
      </c>
      <c r="FZ186" s="315"/>
      <c r="GA186" s="315"/>
      <c r="GB186" s="315"/>
      <c r="GC186" s="315">
        <v>56237</v>
      </c>
      <c r="GD186" s="315">
        <v>402</v>
      </c>
      <c r="GE186" s="315"/>
      <c r="GF186" s="315">
        <v>55835</v>
      </c>
      <c r="GG186" s="315">
        <v>84879</v>
      </c>
      <c r="GH186" s="315">
        <v>7124</v>
      </c>
      <c r="GI186" s="315">
        <v>426</v>
      </c>
      <c r="GJ186" s="315">
        <v>77329</v>
      </c>
      <c r="GL186"/>
      <c r="GM186"/>
      <c r="GN186"/>
      <c r="GO186"/>
    </row>
    <row r="187" spans="1:197">
      <c r="A187" s="98" t="s">
        <v>27</v>
      </c>
      <c r="B187" s="98">
        <v>12</v>
      </c>
      <c r="C187" s="98" t="s">
        <v>228</v>
      </c>
      <c r="D187" s="315">
        <v>14000602</v>
      </c>
      <c r="E187" s="315">
        <v>-6237354</v>
      </c>
      <c r="F187" s="315">
        <v>-13006</v>
      </c>
      <c r="G187" s="315">
        <v>7750242</v>
      </c>
      <c r="H187" s="315">
        <v>2989859</v>
      </c>
      <c r="I187" s="315">
        <v>4760383</v>
      </c>
      <c r="J187" s="315">
        <v>4617441</v>
      </c>
      <c r="K187" s="315">
        <v>142942</v>
      </c>
      <c r="L187" s="315">
        <v>4526848</v>
      </c>
      <c r="M187" s="315">
        <v>3963785</v>
      </c>
      <c r="N187" s="315">
        <v>77438</v>
      </c>
      <c r="O187" s="315"/>
      <c r="P187" s="315"/>
      <c r="Q187" s="315">
        <v>33904</v>
      </c>
      <c r="R187" s="315">
        <v>451721</v>
      </c>
      <c r="S187" s="315">
        <v>-470292</v>
      </c>
      <c r="T187" s="315">
        <v>-458424</v>
      </c>
      <c r="U187" s="315">
        <v>-136265</v>
      </c>
      <c r="V187" s="315">
        <v>-48</v>
      </c>
      <c r="W187" s="315">
        <v>-304757</v>
      </c>
      <c r="X187" s="315">
        <v>0</v>
      </c>
      <c r="Y187" s="315">
        <v>-17354</v>
      </c>
      <c r="Z187" s="315">
        <v>-5118</v>
      </c>
      <c r="AA187" s="315">
        <v>-6750</v>
      </c>
      <c r="AB187" s="315">
        <v>0</v>
      </c>
      <c r="AC187" s="315">
        <v>-13006</v>
      </c>
      <c r="AD187" s="315">
        <v>4043550</v>
      </c>
      <c r="AE187" s="315">
        <v>1601900</v>
      </c>
      <c r="AF187" s="315">
        <v>2441650</v>
      </c>
      <c r="AG187" s="315">
        <v>2363453</v>
      </c>
      <c r="AH187" s="315">
        <v>78197</v>
      </c>
      <c r="AI187" s="315">
        <v>3958493</v>
      </c>
      <c r="AJ187" s="315">
        <v>1630087</v>
      </c>
      <c r="AK187" s="315">
        <v>2226490</v>
      </c>
      <c r="AL187" s="315">
        <v>6391</v>
      </c>
      <c r="AM187" s="315">
        <v>362057</v>
      </c>
      <c r="AN187" s="315">
        <v>51790</v>
      </c>
      <c r="AO187" s="315">
        <v>29527</v>
      </c>
      <c r="AP187" s="315"/>
      <c r="AQ187" s="315">
        <v>6889</v>
      </c>
      <c r="AR187" s="315">
        <v>-380986</v>
      </c>
      <c r="AS187" s="315">
        <v>28786</v>
      </c>
      <c r="AT187" s="315">
        <v>0</v>
      </c>
      <c r="AU187" s="315">
        <v>-13006</v>
      </c>
      <c r="AV187" s="315">
        <v>3014568</v>
      </c>
      <c r="AW187" s="315">
        <v>2639163</v>
      </c>
      <c r="AX187" s="315">
        <v>113621</v>
      </c>
      <c r="AY187" s="315"/>
      <c r="AZ187" s="315"/>
      <c r="BA187" s="315"/>
      <c r="BB187" s="315"/>
      <c r="BC187" s="315">
        <v>62235</v>
      </c>
      <c r="BD187" s="315">
        <v>199549</v>
      </c>
      <c r="BE187" s="315">
        <v>-2778218</v>
      </c>
      <c r="BF187" s="315">
        <v>-2615971</v>
      </c>
      <c r="BG187" s="315">
        <v>-2605477</v>
      </c>
      <c r="BH187" s="315">
        <v>-10494</v>
      </c>
      <c r="BI187" s="315">
        <v>-2586281.0000000005</v>
      </c>
      <c r="BJ187" s="315">
        <v>-7213</v>
      </c>
      <c r="BK187" s="315">
        <v>-22476.999999999534</v>
      </c>
      <c r="BL187" s="315">
        <v>-2153</v>
      </c>
      <c r="BM187" s="315">
        <v>-160094</v>
      </c>
      <c r="BN187" s="315">
        <v>236350</v>
      </c>
      <c r="BO187" s="315">
        <v>9028</v>
      </c>
      <c r="BP187" s="315">
        <v>17017</v>
      </c>
      <c r="BQ187" s="315">
        <v>12571</v>
      </c>
      <c r="BR187" s="315"/>
      <c r="BS187" s="315">
        <v>2637581</v>
      </c>
      <c r="BT187" s="315"/>
      <c r="BU187" s="315"/>
      <c r="BV187" s="315"/>
      <c r="BW187" s="315"/>
      <c r="BX187" s="315">
        <v>-2491856</v>
      </c>
      <c r="BY187" s="315">
        <v>51741</v>
      </c>
      <c r="BZ187" s="315">
        <v>268</v>
      </c>
      <c r="CA187" s="315">
        <v>332868</v>
      </c>
      <c r="CB187" s="315">
        <v>-141976</v>
      </c>
      <c r="CC187" s="315">
        <v>-10990</v>
      </c>
      <c r="CD187" s="315">
        <v>-130986</v>
      </c>
      <c r="CE187" s="315">
        <v>190892</v>
      </c>
      <c r="CF187" s="315">
        <v>320787</v>
      </c>
      <c r="CG187" s="315">
        <v>9916</v>
      </c>
      <c r="CH187" s="315">
        <v>-139811</v>
      </c>
      <c r="CI187" s="315">
        <v>4058272</v>
      </c>
      <c r="CJ187" s="315">
        <v>548260</v>
      </c>
      <c r="CK187" s="315">
        <v>3510012</v>
      </c>
      <c r="CL187" s="315">
        <v>3124139</v>
      </c>
      <c r="CM187" s="315">
        <v>76339</v>
      </c>
      <c r="CN187" s="315">
        <v>309534</v>
      </c>
      <c r="CO187" s="315">
        <v>0</v>
      </c>
      <c r="CP187" s="315">
        <v>0</v>
      </c>
      <c r="CQ187" s="315">
        <v>309534</v>
      </c>
      <c r="CR187" s="315">
        <v>-2782171</v>
      </c>
      <c r="CS187" s="315">
        <v>-525165</v>
      </c>
      <c r="CT187" s="315">
        <v>-295920</v>
      </c>
      <c r="CU187" s="315">
        <v>-6737</v>
      </c>
      <c r="CV187" s="315">
        <v>-1937</v>
      </c>
      <c r="CW187" s="315">
        <v>-220571</v>
      </c>
      <c r="CX187" s="315">
        <v>-1943593</v>
      </c>
      <c r="CY187" s="315">
        <v>-1938141</v>
      </c>
      <c r="CZ187" s="315">
        <v>-3828</v>
      </c>
      <c r="DA187" s="315">
        <v>-1624</v>
      </c>
      <c r="DB187" s="315">
        <v>-255874</v>
      </c>
      <c r="DC187" s="315">
        <v>-57539</v>
      </c>
      <c r="DD187" s="315">
        <v>1276101</v>
      </c>
      <c r="DE187" s="315">
        <v>-295506</v>
      </c>
      <c r="DF187" s="315">
        <v>1571607</v>
      </c>
      <c r="DG187" s="315">
        <v>1524149</v>
      </c>
      <c r="DH187" s="315">
        <v>47458</v>
      </c>
      <c r="DI187" s="315">
        <v>1636506</v>
      </c>
      <c r="DJ187" s="315">
        <v>80168</v>
      </c>
      <c r="DK187" s="315">
        <v>24353</v>
      </c>
      <c r="DL187" s="315">
        <v>1031</v>
      </c>
      <c r="DM187" s="315">
        <v>865592</v>
      </c>
      <c r="DN187" s="315">
        <v>543883</v>
      </c>
      <c r="DO187" s="315">
        <v>121426</v>
      </c>
      <c r="DP187" s="315"/>
      <c r="DQ187" s="315"/>
      <c r="DR187" s="315">
        <v>53</v>
      </c>
      <c r="DS187" s="315">
        <v>-44606</v>
      </c>
      <c r="DT187" s="315">
        <v>-7562</v>
      </c>
      <c r="DU187" s="315">
        <v>-4584</v>
      </c>
      <c r="DV187" s="315">
        <v>-12</v>
      </c>
      <c r="DW187" s="315">
        <v>-11902</v>
      </c>
      <c r="DX187" s="315">
        <v>-1623</v>
      </c>
      <c r="DY187" s="315">
        <v>-9748</v>
      </c>
      <c r="DZ187" s="315">
        <v>-531</v>
      </c>
      <c r="EA187" s="315">
        <v>-20519</v>
      </c>
      <c r="EB187" s="315">
        <v>-8</v>
      </c>
      <c r="EC187" s="315"/>
      <c r="ED187" s="315"/>
      <c r="EE187" s="315">
        <v>-19</v>
      </c>
      <c r="EF187" s="315">
        <v>1591900</v>
      </c>
      <c r="EG187" s="315">
        <v>844774</v>
      </c>
      <c r="EH187" s="315">
        <v>747126</v>
      </c>
      <c r="EI187" s="315">
        <v>729839</v>
      </c>
      <c r="EJ187" s="315">
        <v>17287</v>
      </c>
      <c r="EK187" s="315">
        <v>72606</v>
      </c>
      <c r="EL187" s="315">
        <v>40543</v>
      </c>
      <c r="EM187" s="315">
        <v>32063</v>
      </c>
      <c r="EN187" s="315">
        <v>31131</v>
      </c>
      <c r="EO187" s="315">
        <v>932</v>
      </c>
      <c r="EP187" s="315">
        <v>19769</v>
      </c>
      <c r="EQ187" s="315">
        <v>9968</v>
      </c>
      <c r="ER187" s="315">
        <v>9801</v>
      </c>
      <c r="ES187" s="315">
        <v>9539</v>
      </c>
      <c r="ET187" s="315">
        <v>262</v>
      </c>
      <c r="EU187" s="315">
        <v>1019</v>
      </c>
      <c r="EV187" s="315">
        <v>313</v>
      </c>
      <c r="EW187" s="315">
        <v>706</v>
      </c>
      <c r="EX187" s="315">
        <v>686</v>
      </c>
      <c r="EY187" s="315">
        <v>20</v>
      </c>
      <c r="EZ187" s="315">
        <v>853690</v>
      </c>
      <c r="FA187" s="315">
        <v>501450</v>
      </c>
      <c r="FB187" s="315">
        <v>352240</v>
      </c>
      <c r="FC187" s="315">
        <v>342543</v>
      </c>
      <c r="FD187" s="315">
        <v>9697</v>
      </c>
      <c r="FE187" s="315">
        <v>523364</v>
      </c>
      <c r="FF187" s="315">
        <v>273555</v>
      </c>
      <c r="FG187" s="315">
        <v>249809</v>
      </c>
      <c r="FH187" s="315">
        <v>243433</v>
      </c>
      <c r="FI187" s="315">
        <v>6376</v>
      </c>
      <c r="FJ187" s="315">
        <v>121418</v>
      </c>
      <c r="FK187" s="315">
        <v>18911</v>
      </c>
      <c r="FL187" s="315">
        <v>102507</v>
      </c>
      <c r="FM187" s="315">
        <v>102507</v>
      </c>
      <c r="FN187" s="315"/>
      <c r="FO187" s="315"/>
      <c r="FP187" s="315"/>
      <c r="FQ187" s="315">
        <v>34</v>
      </c>
      <c r="FR187" s="315">
        <v>431540</v>
      </c>
      <c r="FS187" s="315">
        <v>-20091</v>
      </c>
      <c r="FT187" s="315">
        <v>411449</v>
      </c>
      <c r="FU187" s="315"/>
      <c r="FV187" s="315"/>
      <c r="FW187" s="315"/>
      <c r="FX187" s="315">
        <v>105084</v>
      </c>
      <c r="FY187" s="315">
        <v>111369</v>
      </c>
      <c r="FZ187" s="315"/>
      <c r="GA187" s="315"/>
      <c r="GB187" s="315"/>
      <c r="GC187" s="315">
        <v>67435</v>
      </c>
      <c r="GD187" s="315">
        <v>96</v>
      </c>
      <c r="GE187" s="315"/>
      <c r="GF187" s="315">
        <v>67339</v>
      </c>
      <c r="GG187" s="315">
        <v>127561</v>
      </c>
      <c r="GH187" s="315">
        <v>6252</v>
      </c>
      <c r="GI187" s="315">
        <v>581</v>
      </c>
      <c r="GJ187" s="315">
        <v>120728</v>
      </c>
      <c r="GL187"/>
      <c r="GM187"/>
      <c r="GN187"/>
      <c r="GO187"/>
    </row>
    <row r="188" spans="1:197">
      <c r="A188" s="96" t="s">
        <v>28</v>
      </c>
      <c r="B188" s="96">
        <v>1</v>
      </c>
      <c r="C188" s="97" t="s">
        <v>217</v>
      </c>
      <c r="D188" s="314">
        <v>15253333</v>
      </c>
      <c r="E188" s="314">
        <v>-1550584</v>
      </c>
      <c r="F188" s="314">
        <v>-112676</v>
      </c>
      <c r="G188" s="314">
        <v>13590073</v>
      </c>
      <c r="H188" s="314">
        <v>9615234</v>
      </c>
      <c r="I188" s="314">
        <v>3974839</v>
      </c>
      <c r="J188" s="314">
        <v>3854290</v>
      </c>
      <c r="K188" s="314">
        <v>120549</v>
      </c>
      <c r="L188" s="314">
        <v>10796903</v>
      </c>
      <c r="M188" s="314">
        <v>9233780</v>
      </c>
      <c r="N188" s="314">
        <v>63964</v>
      </c>
      <c r="O188" s="314">
        <v>0</v>
      </c>
      <c r="P188" s="314">
        <v>63964</v>
      </c>
      <c r="Q188" s="314">
        <v>24691</v>
      </c>
      <c r="R188" s="314">
        <v>1474468</v>
      </c>
      <c r="S188" s="314">
        <v>-301579</v>
      </c>
      <c r="T188" s="314">
        <v>-296935</v>
      </c>
      <c r="U188" s="314">
        <v>-8247</v>
      </c>
      <c r="V188" s="314">
        <v>-145784</v>
      </c>
      <c r="W188" s="314">
        <v>0</v>
      </c>
      <c r="X188" s="314">
        <v>-132927</v>
      </c>
      <c r="Y188" s="314">
        <v>-9977</v>
      </c>
      <c r="Z188" s="314">
        <v>-2018</v>
      </c>
      <c r="AA188" s="314">
        <v>-2626</v>
      </c>
      <c r="AB188" s="314">
        <v>0</v>
      </c>
      <c r="AC188" s="314">
        <v>-112676</v>
      </c>
      <c r="AD188" s="314">
        <v>10382648</v>
      </c>
      <c r="AE188" s="314">
        <v>8286746</v>
      </c>
      <c r="AF188" s="314">
        <v>2095902</v>
      </c>
      <c r="AG188" s="314">
        <v>2029601</v>
      </c>
      <c r="AH188" s="314">
        <v>66301</v>
      </c>
      <c r="AI188" s="314">
        <v>9231765</v>
      </c>
      <c r="AJ188" s="314">
        <v>1908885</v>
      </c>
      <c r="AK188" s="314">
        <v>3311110</v>
      </c>
      <c r="AL188" s="314">
        <v>3935707</v>
      </c>
      <c r="AM188" s="314">
        <v>929776</v>
      </c>
      <c r="AN188" s="314">
        <v>400905</v>
      </c>
      <c r="AO188" s="314">
        <v>61609</v>
      </c>
      <c r="AP188" s="314"/>
      <c r="AQ188" s="314">
        <v>81567</v>
      </c>
      <c r="AR188" s="314">
        <v>-232971</v>
      </c>
      <c r="AS188" s="314">
        <v>22673</v>
      </c>
      <c r="AT188" s="314">
        <v>0</v>
      </c>
      <c r="AU188" s="314">
        <v>-112676</v>
      </c>
      <c r="AV188" s="314">
        <v>812956</v>
      </c>
      <c r="AW188" s="314">
        <v>36907</v>
      </c>
      <c r="AX188" s="314">
        <v>117356</v>
      </c>
      <c r="AY188" s="314">
        <v>16085</v>
      </c>
      <c r="AZ188" s="314">
        <v>22609</v>
      </c>
      <c r="BA188" s="314">
        <v>10100</v>
      </c>
      <c r="BB188" s="314">
        <v>68562</v>
      </c>
      <c r="BC188" s="314">
        <v>69762</v>
      </c>
      <c r="BD188" s="314">
        <v>588931</v>
      </c>
      <c r="BE188" s="314">
        <v>-400100</v>
      </c>
      <c r="BF188" s="314">
        <v>-399052</v>
      </c>
      <c r="BG188" s="314">
        <v>-388791</v>
      </c>
      <c r="BH188" s="314">
        <v>-10261</v>
      </c>
      <c r="BI188" s="314">
        <v>0</v>
      </c>
      <c r="BJ188" s="314">
        <v>-380682</v>
      </c>
      <c r="BK188" s="314">
        <v>-18370</v>
      </c>
      <c r="BL188" s="314">
        <v>-1022</v>
      </c>
      <c r="BM188" s="314">
        <v>-26</v>
      </c>
      <c r="BN188" s="314">
        <v>412856</v>
      </c>
      <c r="BO188" s="314">
        <v>394829</v>
      </c>
      <c r="BP188" s="314">
        <v>167467</v>
      </c>
      <c r="BQ188" s="314">
        <v>26220</v>
      </c>
      <c r="BR188" s="314"/>
      <c r="BS188" s="314">
        <v>36119</v>
      </c>
      <c r="BT188" s="314">
        <v>3236</v>
      </c>
      <c r="BU188" s="314">
        <v>106</v>
      </c>
      <c r="BV188" s="314">
        <v>13349</v>
      </c>
      <c r="BW188" s="314">
        <v>19428</v>
      </c>
      <c r="BX188" s="314">
        <v>-271435</v>
      </c>
      <c r="BY188" s="314">
        <v>59501</v>
      </c>
      <c r="BZ188" s="314">
        <v>155</v>
      </c>
      <c r="CA188" s="314">
        <v>304286</v>
      </c>
      <c r="CB188" s="314">
        <v>-13515</v>
      </c>
      <c r="CC188" s="314">
        <v>-13283</v>
      </c>
      <c r="CD188" s="314">
        <v>-232</v>
      </c>
      <c r="CE188" s="314">
        <v>290771</v>
      </c>
      <c r="CF188" s="314">
        <v>207743</v>
      </c>
      <c r="CG188" s="314">
        <v>98</v>
      </c>
      <c r="CH188" s="314">
        <v>82930</v>
      </c>
      <c r="CI188" s="314">
        <v>1323106</v>
      </c>
      <c r="CJ188" s="314">
        <v>524813</v>
      </c>
      <c r="CK188" s="314">
        <v>798293</v>
      </c>
      <c r="CL188" s="314">
        <v>239755</v>
      </c>
      <c r="CM188" s="314">
        <v>258536</v>
      </c>
      <c r="CN188" s="314">
        <v>300002</v>
      </c>
      <c r="CO188" s="314">
        <v>0</v>
      </c>
      <c r="CP188" s="314">
        <v>0</v>
      </c>
      <c r="CQ188" s="314">
        <v>300002</v>
      </c>
      <c r="CR188" s="314">
        <v>-825527</v>
      </c>
      <c r="CS188" s="314">
        <v>-269024</v>
      </c>
      <c r="CT188" s="314">
        <v>-9182</v>
      </c>
      <c r="CU188" s="314">
        <v>-175028</v>
      </c>
      <c r="CV188" s="314">
        <v>-740</v>
      </c>
      <c r="CW188" s="314">
        <v>-84074</v>
      </c>
      <c r="CX188" s="314">
        <v>-556503</v>
      </c>
      <c r="CY188" s="314">
        <v>0</v>
      </c>
      <c r="CZ188" s="314">
        <v>-553505</v>
      </c>
      <c r="DA188" s="314">
        <v>-2998</v>
      </c>
      <c r="DB188" s="314">
        <v>0</v>
      </c>
      <c r="DC188" s="314">
        <v>0</v>
      </c>
      <c r="DD188" s="314">
        <v>497579</v>
      </c>
      <c r="DE188" s="314">
        <v>-593550</v>
      </c>
      <c r="DF188" s="314">
        <v>1091129</v>
      </c>
      <c r="DG188" s="314">
        <v>1055611</v>
      </c>
      <c r="DH188" s="314">
        <v>35518</v>
      </c>
      <c r="DI188" s="314">
        <v>1679098</v>
      </c>
      <c r="DJ188" s="314">
        <v>46637</v>
      </c>
      <c r="DK188" s="314">
        <v>23473</v>
      </c>
      <c r="DL188" s="314">
        <v>914</v>
      </c>
      <c r="DM188" s="314">
        <v>848944</v>
      </c>
      <c r="DN188" s="314">
        <v>641553</v>
      </c>
      <c r="DO188" s="314">
        <v>117499</v>
      </c>
      <c r="DP188" s="314"/>
      <c r="DQ188" s="314"/>
      <c r="DR188" s="314">
        <v>78</v>
      </c>
      <c r="DS188" s="314">
        <v>-3629</v>
      </c>
      <c r="DT188" s="314">
        <v>-301</v>
      </c>
      <c r="DU188" s="314">
        <v>-8</v>
      </c>
      <c r="DV188" s="314">
        <v>-2</v>
      </c>
      <c r="DW188" s="314">
        <v>-3204</v>
      </c>
      <c r="DX188" s="314">
        <v>-502</v>
      </c>
      <c r="DY188" s="314">
        <v>-1904</v>
      </c>
      <c r="DZ188" s="314">
        <v>-798</v>
      </c>
      <c r="EA188" s="314">
        <v>-77</v>
      </c>
      <c r="EB188" s="314">
        <v>-35</v>
      </c>
      <c r="EC188" s="314"/>
      <c r="ED188" s="314"/>
      <c r="EE188" s="314">
        <v>-2</v>
      </c>
      <c r="EF188" s="314">
        <v>1675469</v>
      </c>
      <c r="EG188" s="314">
        <v>887661</v>
      </c>
      <c r="EH188" s="314">
        <v>787808</v>
      </c>
      <c r="EI188" s="314">
        <v>769078</v>
      </c>
      <c r="EJ188" s="314">
        <v>18730</v>
      </c>
      <c r="EK188" s="314">
        <v>46336</v>
      </c>
      <c r="EL188" s="314">
        <v>19222</v>
      </c>
      <c r="EM188" s="314">
        <v>27114</v>
      </c>
      <c r="EN188" s="314">
        <v>26297</v>
      </c>
      <c r="EO188" s="314">
        <v>817</v>
      </c>
      <c r="EP188" s="314">
        <v>23465</v>
      </c>
      <c r="EQ188" s="314">
        <v>14623</v>
      </c>
      <c r="ER188" s="314">
        <v>8842</v>
      </c>
      <c r="ES188" s="314">
        <v>8591</v>
      </c>
      <c r="ET188" s="314">
        <v>251</v>
      </c>
      <c r="EU188" s="314">
        <v>912</v>
      </c>
      <c r="EV188" s="314">
        <v>306</v>
      </c>
      <c r="EW188" s="314">
        <v>606</v>
      </c>
      <c r="EX188" s="314">
        <v>588</v>
      </c>
      <c r="EY188" s="314">
        <v>18</v>
      </c>
      <c r="EZ188" s="314">
        <v>845740</v>
      </c>
      <c r="FA188" s="314">
        <v>493859</v>
      </c>
      <c r="FB188" s="314">
        <v>351881</v>
      </c>
      <c r="FC188" s="314">
        <v>341726</v>
      </c>
      <c r="FD188" s="314">
        <v>10155</v>
      </c>
      <c r="FE188" s="314">
        <v>641476</v>
      </c>
      <c r="FF188" s="314">
        <v>356680</v>
      </c>
      <c r="FG188" s="314">
        <v>284796</v>
      </c>
      <c r="FH188" s="314">
        <v>277307</v>
      </c>
      <c r="FI188" s="314">
        <v>7489</v>
      </c>
      <c r="FJ188" s="314">
        <v>117464</v>
      </c>
      <c r="FK188" s="314">
        <v>2895</v>
      </c>
      <c r="FL188" s="314">
        <v>114569</v>
      </c>
      <c r="FM188" s="314">
        <v>114569</v>
      </c>
      <c r="FN188" s="314"/>
      <c r="FO188" s="314"/>
      <c r="FP188" s="314"/>
      <c r="FQ188" s="314">
        <v>76</v>
      </c>
      <c r="FR188" s="314">
        <v>336984</v>
      </c>
      <c r="FS188" s="314">
        <v>-6234</v>
      </c>
      <c r="FT188" s="314">
        <v>330750</v>
      </c>
      <c r="FU188" s="314"/>
      <c r="FV188" s="314"/>
      <c r="FW188" s="314"/>
      <c r="FX188" s="314">
        <v>107163</v>
      </c>
      <c r="FY188" s="314">
        <v>115745</v>
      </c>
      <c r="FZ188" s="314"/>
      <c r="GA188" s="314"/>
      <c r="GB188" s="314"/>
      <c r="GC188" s="314">
        <v>49346</v>
      </c>
      <c r="GD188" s="314">
        <v>87</v>
      </c>
      <c r="GE188" s="314"/>
      <c r="GF188" s="314">
        <v>49259</v>
      </c>
      <c r="GG188" s="314">
        <v>58496</v>
      </c>
      <c r="GH188" s="314">
        <v>6596</v>
      </c>
      <c r="GI188" s="314">
        <v>579</v>
      </c>
      <c r="GJ188" s="314">
        <v>51321</v>
      </c>
      <c r="GL188"/>
      <c r="GM188"/>
      <c r="GN188"/>
      <c r="GO188"/>
    </row>
    <row r="189" spans="1:197">
      <c r="A189" s="98" t="s">
        <v>28</v>
      </c>
      <c r="B189" s="98">
        <v>2</v>
      </c>
      <c r="C189" s="98" t="s">
        <v>218</v>
      </c>
      <c r="D189" s="315">
        <v>21793545</v>
      </c>
      <c r="E189" s="315">
        <v>-1619103</v>
      </c>
      <c r="F189" s="315">
        <v>-13266</v>
      </c>
      <c r="G189" s="315">
        <v>20161176</v>
      </c>
      <c r="H189" s="315">
        <v>16186339</v>
      </c>
      <c r="I189" s="315">
        <v>3974837</v>
      </c>
      <c r="J189" s="315">
        <v>3854290</v>
      </c>
      <c r="K189" s="315">
        <v>120547</v>
      </c>
      <c r="L189" s="315">
        <v>4698078</v>
      </c>
      <c r="M189" s="315">
        <v>3756604</v>
      </c>
      <c r="N189" s="315">
        <v>73664</v>
      </c>
      <c r="O189" s="315">
        <v>0</v>
      </c>
      <c r="P189" s="315">
        <v>73664</v>
      </c>
      <c r="Q189" s="315">
        <v>53194</v>
      </c>
      <c r="R189" s="315">
        <v>814616</v>
      </c>
      <c r="S189" s="315">
        <v>-285610</v>
      </c>
      <c r="T189" s="315">
        <v>-274323</v>
      </c>
      <c r="U189" s="315">
        <v>-116791</v>
      </c>
      <c r="V189" s="315">
        <v>-32745</v>
      </c>
      <c r="W189" s="315">
        <v>0</v>
      </c>
      <c r="X189" s="315">
        <v>-106215</v>
      </c>
      <c r="Y189" s="315">
        <v>-18572</v>
      </c>
      <c r="Z189" s="315">
        <v>-4935</v>
      </c>
      <c r="AA189" s="315">
        <v>-6352</v>
      </c>
      <c r="AB189" s="315">
        <v>0</v>
      </c>
      <c r="AC189" s="315">
        <v>-13266</v>
      </c>
      <c r="AD189" s="315">
        <v>4399202</v>
      </c>
      <c r="AE189" s="315">
        <v>2303300</v>
      </c>
      <c r="AF189" s="315">
        <v>2095902</v>
      </c>
      <c r="AG189" s="315">
        <v>2029601</v>
      </c>
      <c r="AH189" s="315">
        <v>66301</v>
      </c>
      <c r="AI189" s="315">
        <v>3751052</v>
      </c>
      <c r="AJ189" s="315">
        <v>1341343</v>
      </c>
      <c r="AK189" s="315">
        <v>2276942</v>
      </c>
      <c r="AL189" s="315">
        <v>27178</v>
      </c>
      <c r="AM189" s="315">
        <v>274714</v>
      </c>
      <c r="AN189" s="315">
        <v>51272</v>
      </c>
      <c r="AO189" s="315">
        <v>22726</v>
      </c>
      <c r="AP189" s="315"/>
      <c r="AQ189" s="315">
        <v>465104</v>
      </c>
      <c r="AR189" s="315">
        <v>-200659</v>
      </c>
      <c r="AS189" s="315">
        <v>48259</v>
      </c>
      <c r="AT189" s="315">
        <v>0</v>
      </c>
      <c r="AU189" s="315">
        <v>-13266</v>
      </c>
      <c r="AV189" s="315">
        <v>1089769</v>
      </c>
      <c r="AW189" s="315">
        <v>55729</v>
      </c>
      <c r="AX189" s="315">
        <v>120824</v>
      </c>
      <c r="AY189" s="315">
        <v>40495</v>
      </c>
      <c r="AZ189" s="315">
        <v>16430</v>
      </c>
      <c r="BA189" s="315">
        <v>10331</v>
      </c>
      <c r="BB189" s="315">
        <v>53568</v>
      </c>
      <c r="BC189" s="315">
        <v>132497</v>
      </c>
      <c r="BD189" s="315">
        <v>780719</v>
      </c>
      <c r="BE189" s="315">
        <v>-271821</v>
      </c>
      <c r="BF189" s="315">
        <v>-267673</v>
      </c>
      <c r="BG189" s="315">
        <v>-257366</v>
      </c>
      <c r="BH189" s="315">
        <v>-10307</v>
      </c>
      <c r="BI189" s="315">
        <v>0</v>
      </c>
      <c r="BJ189" s="315">
        <v>-250543</v>
      </c>
      <c r="BK189" s="315">
        <v>-17130</v>
      </c>
      <c r="BL189" s="315">
        <v>-3292</v>
      </c>
      <c r="BM189" s="315">
        <v>-856</v>
      </c>
      <c r="BN189" s="315">
        <v>817948</v>
      </c>
      <c r="BO189" s="315">
        <v>751457</v>
      </c>
      <c r="BP189" s="315">
        <v>18347</v>
      </c>
      <c r="BQ189" s="315">
        <v>9675</v>
      </c>
      <c r="BR189" s="315"/>
      <c r="BS189" s="315">
        <v>52723</v>
      </c>
      <c r="BT189" s="315">
        <v>544</v>
      </c>
      <c r="BU189" s="315">
        <v>20</v>
      </c>
      <c r="BV189" s="315">
        <v>3439</v>
      </c>
      <c r="BW189" s="315">
        <v>48720</v>
      </c>
      <c r="BX189" s="315">
        <v>-136542</v>
      </c>
      <c r="BY189" s="315">
        <v>122190</v>
      </c>
      <c r="BZ189" s="315">
        <v>98</v>
      </c>
      <c r="CA189" s="315">
        <v>629652</v>
      </c>
      <c r="CB189" s="315">
        <v>-12424</v>
      </c>
      <c r="CC189" s="315">
        <v>-11724</v>
      </c>
      <c r="CD189" s="315">
        <v>-700</v>
      </c>
      <c r="CE189" s="315">
        <v>617228</v>
      </c>
      <c r="CF189" s="315">
        <v>86153</v>
      </c>
      <c r="CG189" s="315">
        <v>8</v>
      </c>
      <c r="CH189" s="315">
        <v>531067</v>
      </c>
      <c r="CI189" s="315">
        <v>13352925</v>
      </c>
      <c r="CJ189" s="315">
        <v>540183</v>
      </c>
      <c r="CK189" s="315">
        <v>12812742</v>
      </c>
      <c r="CL189" s="315">
        <v>7296330</v>
      </c>
      <c r="CM189" s="315">
        <v>5160322</v>
      </c>
      <c r="CN189" s="315">
        <v>356090</v>
      </c>
      <c r="CO189" s="315">
        <v>0</v>
      </c>
      <c r="CP189" s="315">
        <v>0</v>
      </c>
      <c r="CQ189" s="315">
        <v>356090</v>
      </c>
      <c r="CR189" s="315">
        <v>-1012899</v>
      </c>
      <c r="CS189" s="315">
        <v>-271389</v>
      </c>
      <c r="CT189" s="315">
        <v>-69175</v>
      </c>
      <c r="CU189" s="315">
        <v>-150646</v>
      </c>
      <c r="CV189" s="315">
        <v>-1247</v>
      </c>
      <c r="CW189" s="315">
        <v>-50321</v>
      </c>
      <c r="CX189" s="315">
        <v>-741510</v>
      </c>
      <c r="CY189" s="315">
        <v>0</v>
      </c>
      <c r="CZ189" s="315">
        <v>-737856</v>
      </c>
      <c r="DA189" s="315">
        <v>-3654</v>
      </c>
      <c r="DB189" s="315">
        <v>0</v>
      </c>
      <c r="DC189" s="315">
        <v>0</v>
      </c>
      <c r="DD189" s="315">
        <v>12340026</v>
      </c>
      <c r="DE189" s="315">
        <v>11248899</v>
      </c>
      <c r="DF189" s="315">
        <v>1091127</v>
      </c>
      <c r="DG189" s="315">
        <v>1055611</v>
      </c>
      <c r="DH189" s="315">
        <v>35516</v>
      </c>
      <c r="DI189" s="315">
        <v>1625454</v>
      </c>
      <c r="DJ189" s="315">
        <v>115898</v>
      </c>
      <c r="DK189" s="315">
        <v>20794</v>
      </c>
      <c r="DL189" s="315">
        <v>2924</v>
      </c>
      <c r="DM189" s="315">
        <v>736995</v>
      </c>
      <c r="DN189" s="315">
        <v>647540</v>
      </c>
      <c r="DO189" s="315">
        <v>101209</v>
      </c>
      <c r="DP189" s="315"/>
      <c r="DQ189" s="315"/>
      <c r="DR189" s="315">
        <v>94</v>
      </c>
      <c r="DS189" s="315">
        <v>-24016</v>
      </c>
      <c r="DT189" s="315">
        <v>-2179</v>
      </c>
      <c r="DU189" s="315">
        <v>-50</v>
      </c>
      <c r="DV189" s="315">
        <v>-8</v>
      </c>
      <c r="DW189" s="315">
        <v>-21660</v>
      </c>
      <c r="DX189" s="315">
        <v>-596</v>
      </c>
      <c r="DY189" s="315">
        <v>-19302</v>
      </c>
      <c r="DZ189" s="315">
        <v>-1762</v>
      </c>
      <c r="EA189" s="315">
        <v>0</v>
      </c>
      <c r="EB189" s="315">
        <v>-22</v>
      </c>
      <c r="EC189" s="315"/>
      <c r="ED189" s="315"/>
      <c r="EE189" s="315">
        <v>-97</v>
      </c>
      <c r="EF189" s="315">
        <v>1601438</v>
      </c>
      <c r="EG189" s="315">
        <v>813630</v>
      </c>
      <c r="EH189" s="315">
        <v>787808</v>
      </c>
      <c r="EI189" s="315">
        <v>769078</v>
      </c>
      <c r="EJ189" s="315">
        <v>18730</v>
      </c>
      <c r="EK189" s="315">
        <v>113719</v>
      </c>
      <c r="EL189" s="315">
        <v>86606</v>
      </c>
      <c r="EM189" s="315">
        <v>27113</v>
      </c>
      <c r="EN189" s="315">
        <v>26296</v>
      </c>
      <c r="EO189" s="315">
        <v>817</v>
      </c>
      <c r="EP189" s="315">
        <v>20744</v>
      </c>
      <c r="EQ189" s="315">
        <v>11902</v>
      </c>
      <c r="ER189" s="315">
        <v>8842</v>
      </c>
      <c r="ES189" s="315">
        <v>8592</v>
      </c>
      <c r="ET189" s="315">
        <v>250</v>
      </c>
      <c r="EU189" s="315">
        <v>2916</v>
      </c>
      <c r="EV189" s="315">
        <v>2309</v>
      </c>
      <c r="EW189" s="315">
        <v>607</v>
      </c>
      <c r="EX189" s="315">
        <v>588</v>
      </c>
      <c r="EY189" s="315">
        <v>19</v>
      </c>
      <c r="EZ189" s="315">
        <v>715335</v>
      </c>
      <c r="FA189" s="315">
        <v>363454</v>
      </c>
      <c r="FB189" s="315">
        <v>351881</v>
      </c>
      <c r="FC189" s="315">
        <v>341726</v>
      </c>
      <c r="FD189" s="315">
        <v>10155</v>
      </c>
      <c r="FE189" s="315">
        <v>647540</v>
      </c>
      <c r="FF189" s="315">
        <v>362743</v>
      </c>
      <c r="FG189" s="315">
        <v>284797</v>
      </c>
      <c r="FH189" s="315">
        <v>277308</v>
      </c>
      <c r="FI189" s="315">
        <v>7489</v>
      </c>
      <c r="FJ189" s="315">
        <v>101187</v>
      </c>
      <c r="FK189" s="315">
        <v>-13381</v>
      </c>
      <c r="FL189" s="315">
        <v>114568</v>
      </c>
      <c r="FM189" s="315">
        <v>114568</v>
      </c>
      <c r="FN189" s="315"/>
      <c r="FO189" s="315"/>
      <c r="FP189" s="315"/>
      <c r="FQ189" s="315">
        <v>-3</v>
      </c>
      <c r="FR189" s="315">
        <v>397667</v>
      </c>
      <c r="FS189" s="315">
        <v>-12333</v>
      </c>
      <c r="FT189" s="315">
        <v>385334</v>
      </c>
      <c r="FU189" s="315"/>
      <c r="FV189" s="315"/>
      <c r="FW189" s="315"/>
      <c r="FX189" s="315">
        <v>119475</v>
      </c>
      <c r="FY189" s="315">
        <v>124424</v>
      </c>
      <c r="FZ189" s="315"/>
      <c r="GA189" s="315"/>
      <c r="GB189" s="315"/>
      <c r="GC189" s="315">
        <v>70183</v>
      </c>
      <c r="GD189" s="315">
        <v>610</v>
      </c>
      <c r="GE189" s="315"/>
      <c r="GF189" s="315">
        <v>69573</v>
      </c>
      <c r="GG189" s="315">
        <v>71252</v>
      </c>
      <c r="GH189" s="315">
        <v>5624</v>
      </c>
      <c r="GI189" s="315">
        <v>81</v>
      </c>
      <c r="GJ189" s="315">
        <v>65547</v>
      </c>
      <c r="GL189"/>
      <c r="GM189"/>
      <c r="GN189"/>
      <c r="GO189"/>
    </row>
    <row r="190" spans="1:197">
      <c r="A190" s="98" t="s">
        <v>28</v>
      </c>
      <c r="B190" s="98">
        <v>3</v>
      </c>
      <c r="C190" s="98" t="s">
        <v>219</v>
      </c>
      <c r="D190" s="315">
        <v>11138683</v>
      </c>
      <c r="E190" s="315">
        <v>-3998888</v>
      </c>
      <c r="F190" s="315">
        <v>-13266</v>
      </c>
      <c r="G190" s="315">
        <v>7126529</v>
      </c>
      <c r="H190" s="315">
        <v>3151686</v>
      </c>
      <c r="I190" s="315">
        <v>3974843</v>
      </c>
      <c r="J190" s="315">
        <v>3854291</v>
      </c>
      <c r="K190" s="315">
        <v>120552</v>
      </c>
      <c r="L190" s="315">
        <v>4681757</v>
      </c>
      <c r="M190" s="315">
        <v>4147121</v>
      </c>
      <c r="N190" s="315">
        <v>66072</v>
      </c>
      <c r="O190" s="315">
        <v>0</v>
      </c>
      <c r="P190" s="315">
        <v>66072</v>
      </c>
      <c r="Q190" s="315">
        <v>127044</v>
      </c>
      <c r="R190" s="315">
        <v>341520</v>
      </c>
      <c r="S190" s="315">
        <v>-257278</v>
      </c>
      <c r="T190" s="315">
        <v>-242819</v>
      </c>
      <c r="U190" s="315">
        <v>-146677</v>
      </c>
      <c r="V190" s="315">
        <v>-7042</v>
      </c>
      <c r="W190" s="315">
        <v>0</v>
      </c>
      <c r="X190" s="315">
        <v>-70499</v>
      </c>
      <c r="Y190" s="315">
        <v>-18601</v>
      </c>
      <c r="Z190" s="315">
        <v>-7120</v>
      </c>
      <c r="AA190" s="315">
        <v>-7339</v>
      </c>
      <c r="AB190" s="315">
        <v>0</v>
      </c>
      <c r="AC190" s="315">
        <v>-13266</v>
      </c>
      <c r="AD190" s="315">
        <v>4411213</v>
      </c>
      <c r="AE190" s="315">
        <v>2315308</v>
      </c>
      <c r="AF190" s="315">
        <v>2095905</v>
      </c>
      <c r="AG190" s="315">
        <v>2029602</v>
      </c>
      <c r="AH190" s="315">
        <v>66303</v>
      </c>
      <c r="AI190" s="315">
        <v>4141906</v>
      </c>
      <c r="AJ190" s="315">
        <v>1321402</v>
      </c>
      <c r="AK190" s="315">
        <v>2720670</v>
      </c>
      <c r="AL190" s="315">
        <v>8475</v>
      </c>
      <c r="AM190" s="315">
        <v>250342</v>
      </c>
      <c r="AN190" s="315">
        <v>53417</v>
      </c>
      <c r="AO190" s="315">
        <v>29903</v>
      </c>
      <c r="AP190" s="315"/>
      <c r="AQ190" s="315">
        <v>5734</v>
      </c>
      <c r="AR190" s="315">
        <v>-176747</v>
      </c>
      <c r="AS190" s="315">
        <v>119924</v>
      </c>
      <c r="AT190" s="315">
        <v>0</v>
      </c>
      <c r="AU190" s="315">
        <v>-13266</v>
      </c>
      <c r="AV190" s="315">
        <v>342302</v>
      </c>
      <c r="AW190" s="315">
        <v>26835</v>
      </c>
      <c r="AX190" s="315">
        <v>80750</v>
      </c>
      <c r="AY190" s="315">
        <v>10249</v>
      </c>
      <c r="AZ190" s="315">
        <v>8482</v>
      </c>
      <c r="BA190" s="315">
        <v>6092</v>
      </c>
      <c r="BB190" s="315">
        <v>55927</v>
      </c>
      <c r="BC190" s="315">
        <v>88760</v>
      </c>
      <c r="BD190" s="315">
        <v>145957</v>
      </c>
      <c r="BE190" s="315">
        <v>-884346</v>
      </c>
      <c r="BF190" s="315">
        <v>-253362</v>
      </c>
      <c r="BG190" s="315">
        <v>-221482</v>
      </c>
      <c r="BH190" s="315">
        <v>-31880</v>
      </c>
      <c r="BI190" s="315">
        <v>0</v>
      </c>
      <c r="BJ190" s="315">
        <v>-184085</v>
      </c>
      <c r="BK190" s="315">
        <v>-69277</v>
      </c>
      <c r="BL190" s="315">
        <v>-3703</v>
      </c>
      <c r="BM190" s="315">
        <v>-627281</v>
      </c>
      <c r="BN190" s="315">
        <v>-542044</v>
      </c>
      <c r="BO190" s="315">
        <v>-513108</v>
      </c>
      <c r="BP190" s="315">
        <v>17755</v>
      </c>
      <c r="BQ190" s="315">
        <v>12730</v>
      </c>
      <c r="BR190" s="315"/>
      <c r="BS190" s="315">
        <v>23962</v>
      </c>
      <c r="BT190" s="315">
        <v>343</v>
      </c>
      <c r="BU190" s="315">
        <v>466</v>
      </c>
      <c r="BV190" s="315">
        <v>2151</v>
      </c>
      <c r="BW190" s="315">
        <v>21002</v>
      </c>
      <c r="BX190" s="315">
        <v>-140732</v>
      </c>
      <c r="BY190" s="315">
        <v>56880</v>
      </c>
      <c r="BZ190" s="315">
        <v>469</v>
      </c>
      <c r="CA190" s="315">
        <v>210617</v>
      </c>
      <c r="CB190" s="315">
        <v>-525589</v>
      </c>
      <c r="CC190" s="315">
        <v>-12359</v>
      </c>
      <c r="CD190" s="315">
        <v>-513230</v>
      </c>
      <c r="CE190" s="315">
        <v>-314972</v>
      </c>
      <c r="CF190" s="315">
        <v>167849</v>
      </c>
      <c r="CG190" s="315">
        <v>15</v>
      </c>
      <c r="CH190" s="315">
        <v>-482836</v>
      </c>
      <c r="CI190" s="315">
        <v>3991076</v>
      </c>
      <c r="CJ190" s="315">
        <v>553755</v>
      </c>
      <c r="CK190" s="315">
        <v>3437321</v>
      </c>
      <c r="CL190" s="315">
        <v>2904820</v>
      </c>
      <c r="CM190" s="315">
        <v>73801</v>
      </c>
      <c r="CN190" s="315">
        <v>458700</v>
      </c>
      <c r="CO190" s="315">
        <v>0</v>
      </c>
      <c r="CP190" s="315">
        <v>156954</v>
      </c>
      <c r="CQ190" s="315">
        <v>301746</v>
      </c>
      <c r="CR190" s="315">
        <v>-2251036</v>
      </c>
      <c r="CS190" s="315">
        <v>-632367</v>
      </c>
      <c r="CT190" s="315">
        <v>-158267</v>
      </c>
      <c r="CU190" s="315">
        <v>-102967</v>
      </c>
      <c r="CV190" s="315">
        <v>-1381</v>
      </c>
      <c r="CW190" s="315">
        <v>-369752</v>
      </c>
      <c r="CX190" s="315">
        <v>-1556684</v>
      </c>
      <c r="CY190" s="315">
        <v>-851263</v>
      </c>
      <c r="CZ190" s="315">
        <v>-702371</v>
      </c>
      <c r="DA190" s="315">
        <v>-3050</v>
      </c>
      <c r="DB190" s="315">
        <v>0</v>
      </c>
      <c r="DC190" s="315">
        <v>-61985</v>
      </c>
      <c r="DD190" s="315">
        <v>1740040</v>
      </c>
      <c r="DE190" s="315">
        <v>648911</v>
      </c>
      <c r="DF190" s="315">
        <v>1091129</v>
      </c>
      <c r="DG190" s="315">
        <v>1055611</v>
      </c>
      <c r="DH190" s="315">
        <v>35518</v>
      </c>
      <c r="DI190" s="315">
        <v>1441611</v>
      </c>
      <c r="DJ190" s="315">
        <v>98461</v>
      </c>
      <c r="DK190" s="315">
        <v>22415</v>
      </c>
      <c r="DL190" s="315">
        <v>1510</v>
      </c>
      <c r="DM190" s="315">
        <v>779496</v>
      </c>
      <c r="DN190" s="315">
        <v>423027</v>
      </c>
      <c r="DO190" s="315">
        <v>116650</v>
      </c>
      <c r="DP190" s="315"/>
      <c r="DQ190" s="315"/>
      <c r="DR190" s="315">
        <v>52</v>
      </c>
      <c r="DS190" s="315">
        <v>-63514</v>
      </c>
      <c r="DT190" s="315">
        <v>-1489</v>
      </c>
      <c r="DU190" s="315">
        <v>-2763</v>
      </c>
      <c r="DV190" s="315">
        <v>-32</v>
      </c>
      <c r="DW190" s="315">
        <v>-45663</v>
      </c>
      <c r="DX190" s="315">
        <v>-320</v>
      </c>
      <c r="DY190" s="315">
        <v>-6018</v>
      </c>
      <c r="DZ190" s="315">
        <v>-39325</v>
      </c>
      <c r="EA190" s="315">
        <v>-13125</v>
      </c>
      <c r="EB190" s="315">
        <v>-134</v>
      </c>
      <c r="EC190" s="315"/>
      <c r="ED190" s="315"/>
      <c r="EE190" s="315">
        <v>-308</v>
      </c>
      <c r="EF190" s="315">
        <v>1378097</v>
      </c>
      <c r="EG190" s="315">
        <v>590288</v>
      </c>
      <c r="EH190" s="315">
        <v>787809</v>
      </c>
      <c r="EI190" s="315">
        <v>769078</v>
      </c>
      <c r="EJ190" s="315">
        <v>18731</v>
      </c>
      <c r="EK190" s="315">
        <v>96972</v>
      </c>
      <c r="EL190" s="315">
        <v>69858</v>
      </c>
      <c r="EM190" s="315">
        <v>27114</v>
      </c>
      <c r="EN190" s="315">
        <v>26297</v>
      </c>
      <c r="EO190" s="315">
        <v>817</v>
      </c>
      <c r="EP190" s="315">
        <v>19652</v>
      </c>
      <c r="EQ190" s="315">
        <v>10810</v>
      </c>
      <c r="ER190" s="315">
        <v>8842</v>
      </c>
      <c r="ES190" s="315">
        <v>8591</v>
      </c>
      <c r="ET190" s="315">
        <v>251</v>
      </c>
      <c r="EU190" s="315">
        <v>1478</v>
      </c>
      <c r="EV190" s="315">
        <v>871</v>
      </c>
      <c r="EW190" s="315">
        <v>607</v>
      </c>
      <c r="EX190" s="315">
        <v>588</v>
      </c>
      <c r="EY190" s="315">
        <v>19</v>
      </c>
      <c r="EZ190" s="315">
        <v>733833</v>
      </c>
      <c r="FA190" s="315">
        <v>381952</v>
      </c>
      <c r="FB190" s="315">
        <v>351881</v>
      </c>
      <c r="FC190" s="315">
        <v>341726</v>
      </c>
      <c r="FD190" s="315">
        <v>10155</v>
      </c>
      <c r="FE190" s="315">
        <v>409902</v>
      </c>
      <c r="FF190" s="315">
        <v>125106</v>
      </c>
      <c r="FG190" s="315">
        <v>284796</v>
      </c>
      <c r="FH190" s="315">
        <v>277307</v>
      </c>
      <c r="FI190" s="315">
        <v>7489</v>
      </c>
      <c r="FJ190" s="315">
        <v>116516</v>
      </c>
      <c r="FK190" s="315">
        <v>1947</v>
      </c>
      <c r="FL190" s="315">
        <v>114569</v>
      </c>
      <c r="FM190" s="315">
        <v>114569</v>
      </c>
      <c r="FN190" s="315"/>
      <c r="FO190" s="315"/>
      <c r="FP190" s="315"/>
      <c r="FQ190" s="315">
        <v>-256</v>
      </c>
      <c r="FR190" s="315">
        <v>471320</v>
      </c>
      <c r="FS190" s="315">
        <v>-17125</v>
      </c>
      <c r="FT190" s="315">
        <v>454195</v>
      </c>
      <c r="FU190" s="315"/>
      <c r="FV190" s="315"/>
      <c r="FW190" s="315"/>
      <c r="FX190" s="315">
        <v>121636</v>
      </c>
      <c r="FY190" s="315">
        <v>113017</v>
      </c>
      <c r="FZ190" s="315"/>
      <c r="GA190" s="315"/>
      <c r="GB190" s="315"/>
      <c r="GC190" s="315">
        <v>66278</v>
      </c>
      <c r="GD190" s="315">
        <v>4862</v>
      </c>
      <c r="GE190" s="315"/>
      <c r="GF190" s="315">
        <v>61416</v>
      </c>
      <c r="GG190" s="315">
        <v>153264</v>
      </c>
      <c r="GH190" s="315">
        <v>5260</v>
      </c>
      <c r="GI190" s="315">
        <v>9247</v>
      </c>
      <c r="GJ190" s="315">
        <v>138757</v>
      </c>
      <c r="GL190"/>
      <c r="GM190"/>
      <c r="GN190"/>
      <c r="GO190"/>
    </row>
    <row r="191" spans="1:197">
      <c r="A191" s="98" t="s">
        <v>28</v>
      </c>
      <c r="B191" s="98">
        <v>4</v>
      </c>
      <c r="C191" s="98" t="s">
        <v>220</v>
      </c>
      <c r="D191" s="315">
        <v>24331992</v>
      </c>
      <c r="E191" s="315">
        <v>-4168866</v>
      </c>
      <c r="F191" s="315">
        <v>-13266</v>
      </c>
      <c r="G191" s="315">
        <v>20149860</v>
      </c>
      <c r="H191" s="315">
        <v>16175023</v>
      </c>
      <c r="I191" s="315">
        <v>3974837</v>
      </c>
      <c r="J191" s="315">
        <v>3854289</v>
      </c>
      <c r="K191" s="315">
        <v>120548</v>
      </c>
      <c r="L191" s="315">
        <v>9036327</v>
      </c>
      <c r="M191" s="315">
        <v>7626901</v>
      </c>
      <c r="N191" s="315">
        <v>66130</v>
      </c>
      <c r="O191" s="315">
        <v>0</v>
      </c>
      <c r="P191" s="315">
        <v>66130</v>
      </c>
      <c r="Q191" s="315">
        <v>39486</v>
      </c>
      <c r="R191" s="315">
        <v>1303810</v>
      </c>
      <c r="S191" s="315">
        <v>-886175</v>
      </c>
      <c r="T191" s="315">
        <v>-876175</v>
      </c>
      <c r="U191" s="315">
        <v>-134008</v>
      </c>
      <c r="V191" s="315">
        <v>-455</v>
      </c>
      <c r="W191" s="315">
        <v>-693361</v>
      </c>
      <c r="X191" s="315">
        <v>0</v>
      </c>
      <c r="Y191" s="315">
        <v>-48351</v>
      </c>
      <c r="Z191" s="315">
        <v>-3980</v>
      </c>
      <c r="AA191" s="315">
        <v>-6020</v>
      </c>
      <c r="AB191" s="315">
        <v>0</v>
      </c>
      <c r="AC191" s="315">
        <v>-13266</v>
      </c>
      <c r="AD191" s="315">
        <v>8136886</v>
      </c>
      <c r="AE191" s="315">
        <v>6040984</v>
      </c>
      <c r="AF191" s="315">
        <v>2095902</v>
      </c>
      <c r="AG191" s="315">
        <v>2029601</v>
      </c>
      <c r="AH191" s="315">
        <v>66301</v>
      </c>
      <c r="AI191" s="315">
        <v>7621910</v>
      </c>
      <c r="AJ191" s="315">
        <v>1330578</v>
      </c>
      <c r="AK191" s="315">
        <v>2710893</v>
      </c>
      <c r="AL191" s="315">
        <v>3479587</v>
      </c>
      <c r="AM191" s="315">
        <v>338923</v>
      </c>
      <c r="AN191" s="315">
        <v>390359</v>
      </c>
      <c r="AO191" s="315">
        <v>33376</v>
      </c>
      <c r="AP191" s="315"/>
      <c r="AQ191" s="315">
        <v>540123</v>
      </c>
      <c r="AR191" s="315">
        <v>-810045</v>
      </c>
      <c r="AS191" s="315">
        <v>35506</v>
      </c>
      <c r="AT191" s="315">
        <v>0</v>
      </c>
      <c r="AU191" s="315">
        <v>-13266</v>
      </c>
      <c r="AV191" s="315">
        <v>3726296</v>
      </c>
      <c r="AW191" s="315">
        <v>2928133</v>
      </c>
      <c r="AX191" s="315">
        <v>121413</v>
      </c>
      <c r="AY191" s="315">
        <v>21885</v>
      </c>
      <c r="AZ191" s="315">
        <v>49546</v>
      </c>
      <c r="BA191" s="315">
        <v>14560</v>
      </c>
      <c r="BB191" s="315">
        <v>35422</v>
      </c>
      <c r="BC191" s="315">
        <v>224809</v>
      </c>
      <c r="BD191" s="315">
        <v>451941</v>
      </c>
      <c r="BE191" s="315">
        <v>-161940</v>
      </c>
      <c r="BF191" s="315">
        <v>-156994</v>
      </c>
      <c r="BG191" s="315">
        <v>-121359</v>
      </c>
      <c r="BH191" s="315">
        <v>-35635</v>
      </c>
      <c r="BI191" s="315">
        <v>0</v>
      </c>
      <c r="BJ191" s="315">
        <v>-110463.00000000001</v>
      </c>
      <c r="BK191" s="315">
        <v>-46530.999999999985</v>
      </c>
      <c r="BL191" s="315">
        <v>-1185</v>
      </c>
      <c r="BM191" s="315">
        <v>-3761</v>
      </c>
      <c r="BN191" s="315">
        <v>3564356</v>
      </c>
      <c r="BO191" s="315">
        <v>272048</v>
      </c>
      <c r="BP191" s="315">
        <v>161464</v>
      </c>
      <c r="BQ191" s="315">
        <v>14203</v>
      </c>
      <c r="BR191" s="315"/>
      <c r="BS191" s="315">
        <v>2927328</v>
      </c>
      <c r="BT191" s="315">
        <v>920719</v>
      </c>
      <c r="BU191" s="315">
        <v>1217272</v>
      </c>
      <c r="BV191" s="315">
        <v>776043</v>
      </c>
      <c r="BW191" s="315">
        <v>13294</v>
      </c>
      <c r="BX191" s="315">
        <v>54</v>
      </c>
      <c r="BY191" s="315">
        <v>189174</v>
      </c>
      <c r="BZ191" s="315">
        <v>85</v>
      </c>
      <c r="CA191" s="315">
        <v>231958</v>
      </c>
      <c r="CB191" s="315">
        <v>-16556</v>
      </c>
      <c r="CC191" s="315">
        <v>-5175</v>
      </c>
      <c r="CD191" s="315">
        <v>-11381</v>
      </c>
      <c r="CE191" s="315">
        <v>215402</v>
      </c>
      <c r="CF191" s="315">
        <v>104994</v>
      </c>
      <c r="CG191" s="315">
        <v>10260</v>
      </c>
      <c r="CH191" s="315">
        <v>100148</v>
      </c>
      <c r="CI191" s="315">
        <v>8848669</v>
      </c>
      <c r="CJ191" s="315">
        <v>560254</v>
      </c>
      <c r="CK191" s="315">
        <v>8288415</v>
      </c>
      <c r="CL191" s="315">
        <v>3619820</v>
      </c>
      <c r="CM191" s="315">
        <v>4277357</v>
      </c>
      <c r="CN191" s="315">
        <v>391238</v>
      </c>
      <c r="CO191" s="315">
        <v>0</v>
      </c>
      <c r="CP191" s="315">
        <v>0</v>
      </c>
      <c r="CQ191" s="315">
        <v>391238</v>
      </c>
      <c r="CR191" s="315">
        <v>-3039874</v>
      </c>
      <c r="CS191" s="315">
        <v>-1200332</v>
      </c>
      <c r="CT191" s="315">
        <v>-1092385</v>
      </c>
      <c r="CU191" s="315">
        <v>-50391</v>
      </c>
      <c r="CV191" s="315">
        <v>-1324</v>
      </c>
      <c r="CW191" s="315">
        <v>-56232</v>
      </c>
      <c r="CX191" s="315">
        <v>-1584007</v>
      </c>
      <c r="CY191" s="315">
        <v>-1009009</v>
      </c>
      <c r="CZ191" s="315">
        <v>-563026</v>
      </c>
      <c r="DA191" s="315">
        <v>-11972</v>
      </c>
      <c r="DB191" s="315">
        <v>-255535</v>
      </c>
      <c r="DC191" s="315">
        <v>0</v>
      </c>
      <c r="DD191" s="315">
        <v>5808795</v>
      </c>
      <c r="DE191" s="315">
        <v>4717668</v>
      </c>
      <c r="DF191" s="315">
        <v>1091127</v>
      </c>
      <c r="DG191" s="315">
        <v>1055611</v>
      </c>
      <c r="DH191" s="315">
        <v>35516</v>
      </c>
      <c r="DI191" s="315">
        <v>1806862</v>
      </c>
      <c r="DJ191" s="315">
        <v>28928</v>
      </c>
      <c r="DK191" s="315">
        <v>17574</v>
      </c>
      <c r="DL191" s="315">
        <v>630</v>
      </c>
      <c r="DM191" s="315">
        <v>994360</v>
      </c>
      <c r="DN191" s="315">
        <v>616696</v>
      </c>
      <c r="DO191" s="315">
        <v>148611</v>
      </c>
      <c r="DP191" s="315"/>
      <c r="DQ191" s="315"/>
      <c r="DR191" s="315">
        <v>63</v>
      </c>
      <c r="DS191" s="315">
        <v>-50303</v>
      </c>
      <c r="DT191" s="315">
        <v>-19084</v>
      </c>
      <c r="DU191" s="315">
        <v>-4492</v>
      </c>
      <c r="DV191" s="315">
        <v>-1</v>
      </c>
      <c r="DW191" s="315">
        <v>-6670</v>
      </c>
      <c r="DX191" s="315">
        <v>-97</v>
      </c>
      <c r="DY191" s="315">
        <v>-6208</v>
      </c>
      <c r="DZ191" s="315">
        <v>-365</v>
      </c>
      <c r="EA191" s="315">
        <v>-19377</v>
      </c>
      <c r="EB191" s="315">
        <v>-611</v>
      </c>
      <c r="EC191" s="315"/>
      <c r="ED191" s="315"/>
      <c r="EE191" s="315">
        <v>-68</v>
      </c>
      <c r="EF191" s="315">
        <v>1756559</v>
      </c>
      <c r="EG191" s="315">
        <v>968751</v>
      </c>
      <c r="EH191" s="315">
        <v>787808</v>
      </c>
      <c r="EI191" s="315">
        <v>769077</v>
      </c>
      <c r="EJ191" s="315">
        <v>18731</v>
      </c>
      <c r="EK191" s="315">
        <v>9844</v>
      </c>
      <c r="EL191" s="315">
        <v>-17270</v>
      </c>
      <c r="EM191" s="315">
        <v>27114</v>
      </c>
      <c r="EN191" s="315">
        <v>26297</v>
      </c>
      <c r="EO191" s="315">
        <v>817</v>
      </c>
      <c r="EP191" s="315">
        <v>13082</v>
      </c>
      <c r="EQ191" s="315">
        <v>4240</v>
      </c>
      <c r="ER191" s="315">
        <v>8842</v>
      </c>
      <c r="ES191" s="315">
        <v>8591</v>
      </c>
      <c r="ET191" s="315">
        <v>251</v>
      </c>
      <c r="EU191" s="315">
        <v>629</v>
      </c>
      <c r="EV191" s="315">
        <v>23</v>
      </c>
      <c r="EW191" s="315">
        <v>606</v>
      </c>
      <c r="EX191" s="315">
        <v>588</v>
      </c>
      <c r="EY191" s="315">
        <v>18</v>
      </c>
      <c r="EZ191" s="315">
        <v>987690</v>
      </c>
      <c r="FA191" s="315">
        <v>635808</v>
      </c>
      <c r="FB191" s="315">
        <v>351882</v>
      </c>
      <c r="FC191" s="315">
        <v>341726</v>
      </c>
      <c r="FD191" s="315">
        <v>10156</v>
      </c>
      <c r="FE191" s="315">
        <v>597319</v>
      </c>
      <c r="FF191" s="315">
        <v>312523</v>
      </c>
      <c r="FG191" s="315">
        <v>284796</v>
      </c>
      <c r="FH191" s="315">
        <v>277307</v>
      </c>
      <c r="FI191" s="315">
        <v>7489</v>
      </c>
      <c r="FJ191" s="315">
        <v>148000</v>
      </c>
      <c r="FK191" s="315">
        <v>33432</v>
      </c>
      <c r="FL191" s="315">
        <v>114568</v>
      </c>
      <c r="FM191" s="315">
        <v>114568</v>
      </c>
      <c r="FN191" s="315"/>
      <c r="FO191" s="315"/>
      <c r="FP191" s="315"/>
      <c r="FQ191" s="315">
        <v>-5</v>
      </c>
      <c r="FR191" s="315">
        <v>681880</v>
      </c>
      <c r="FS191" s="315">
        <v>-14018</v>
      </c>
      <c r="FT191" s="315">
        <v>667862</v>
      </c>
      <c r="FU191" s="315"/>
      <c r="FV191" s="315"/>
      <c r="FW191" s="315"/>
      <c r="FX191" s="315">
        <v>118904</v>
      </c>
      <c r="FY191" s="315">
        <v>129654</v>
      </c>
      <c r="FZ191" s="315"/>
      <c r="GA191" s="315"/>
      <c r="GB191" s="315"/>
      <c r="GC191" s="315">
        <v>344822</v>
      </c>
      <c r="GD191" s="315">
        <v>282060</v>
      </c>
      <c r="GE191" s="315"/>
      <c r="GF191" s="315">
        <v>62762</v>
      </c>
      <c r="GG191" s="315">
        <v>74482</v>
      </c>
      <c r="GH191" s="315">
        <v>6913</v>
      </c>
      <c r="GI191" s="315">
        <v>787</v>
      </c>
      <c r="GJ191" s="315">
        <v>66782</v>
      </c>
      <c r="GL191"/>
      <c r="GM191"/>
      <c r="GN191"/>
      <c r="GO191"/>
    </row>
    <row r="192" spans="1:197">
      <c r="A192" s="98" t="s">
        <v>28</v>
      </c>
      <c r="B192" s="98">
        <v>5</v>
      </c>
      <c r="C192" s="98" t="s">
        <v>221</v>
      </c>
      <c r="D192" s="315">
        <v>11201291</v>
      </c>
      <c r="E192" s="315">
        <v>-5725683</v>
      </c>
      <c r="F192" s="315">
        <v>-13267</v>
      </c>
      <c r="G192" s="315">
        <v>5462341</v>
      </c>
      <c r="H192" s="315">
        <v>1487500</v>
      </c>
      <c r="I192" s="315">
        <v>3974841</v>
      </c>
      <c r="J192" s="315">
        <v>3854291</v>
      </c>
      <c r="K192" s="315">
        <v>120550</v>
      </c>
      <c r="L192" s="315">
        <v>4417603</v>
      </c>
      <c r="M192" s="315">
        <v>3828152</v>
      </c>
      <c r="N192" s="315">
        <v>169431</v>
      </c>
      <c r="O192" s="315">
        <v>108044</v>
      </c>
      <c r="P192" s="315">
        <v>61387</v>
      </c>
      <c r="Q192" s="315">
        <v>29258</v>
      </c>
      <c r="R192" s="315">
        <v>390762</v>
      </c>
      <c r="S192" s="315">
        <v>-3073788</v>
      </c>
      <c r="T192" s="315">
        <v>-3062033</v>
      </c>
      <c r="U192" s="315">
        <v>-160348</v>
      </c>
      <c r="V192" s="315">
        <v>-162</v>
      </c>
      <c r="W192" s="315">
        <v>-2864344</v>
      </c>
      <c r="X192" s="315">
        <v>0</v>
      </c>
      <c r="Y192" s="315">
        <v>-37179</v>
      </c>
      <c r="Z192" s="315">
        <v>-4113</v>
      </c>
      <c r="AA192" s="315">
        <v>-7642</v>
      </c>
      <c r="AB192" s="315">
        <v>0</v>
      </c>
      <c r="AC192" s="315">
        <v>-13267</v>
      </c>
      <c r="AD192" s="315">
        <v>1330548</v>
      </c>
      <c r="AE192" s="315">
        <v>-765354</v>
      </c>
      <c r="AF192" s="315">
        <v>2095902</v>
      </c>
      <c r="AG192" s="315">
        <v>2029601</v>
      </c>
      <c r="AH192" s="315">
        <v>66301</v>
      </c>
      <c r="AI192" s="315">
        <v>3821645</v>
      </c>
      <c r="AJ192" s="315">
        <v>1346375</v>
      </c>
      <c r="AK192" s="315">
        <v>2323578</v>
      </c>
      <c r="AL192" s="315">
        <v>18310</v>
      </c>
      <c r="AM192" s="315">
        <v>288860</v>
      </c>
      <c r="AN192" s="315">
        <v>58788</v>
      </c>
      <c r="AO192" s="315">
        <v>28140</v>
      </c>
      <c r="AP192" s="315"/>
      <c r="AQ192" s="315">
        <v>13839</v>
      </c>
      <c r="AR192" s="315">
        <v>-2892602</v>
      </c>
      <c r="AS192" s="315">
        <v>25145</v>
      </c>
      <c r="AT192" s="315">
        <v>0</v>
      </c>
      <c r="AU192" s="315">
        <v>-13267</v>
      </c>
      <c r="AV192" s="315">
        <v>355946</v>
      </c>
      <c r="AW192" s="315">
        <v>24815</v>
      </c>
      <c r="AX192" s="315">
        <v>111016</v>
      </c>
      <c r="AY192" s="315">
        <v>29304</v>
      </c>
      <c r="AZ192" s="315">
        <v>27455</v>
      </c>
      <c r="BA192" s="315">
        <v>13890</v>
      </c>
      <c r="BB192" s="315">
        <v>40367</v>
      </c>
      <c r="BC192" s="315">
        <v>67243</v>
      </c>
      <c r="BD192" s="315">
        <v>152872</v>
      </c>
      <c r="BE192" s="315">
        <v>-229642</v>
      </c>
      <c r="BF192" s="315">
        <v>-130774</v>
      </c>
      <c r="BG192" s="315">
        <v>-114219</v>
      </c>
      <c r="BH192" s="315">
        <v>-16555</v>
      </c>
      <c r="BI192" s="315">
        <v>0</v>
      </c>
      <c r="BJ192" s="315">
        <v>-98428</v>
      </c>
      <c r="BK192" s="315">
        <v>-32346</v>
      </c>
      <c r="BL192" s="315">
        <v>-2370</v>
      </c>
      <c r="BM192" s="315">
        <v>-96498</v>
      </c>
      <c r="BN192" s="315">
        <v>126304</v>
      </c>
      <c r="BO192" s="315">
        <v>24375</v>
      </c>
      <c r="BP192" s="315">
        <v>19626</v>
      </c>
      <c r="BQ192" s="315">
        <v>11912</v>
      </c>
      <c r="BR192" s="315"/>
      <c r="BS192" s="315">
        <v>22831</v>
      </c>
      <c r="BT192" s="315">
        <v>2344</v>
      </c>
      <c r="BU192" s="315">
        <v>1656</v>
      </c>
      <c r="BV192" s="315">
        <v>4115</v>
      </c>
      <c r="BW192" s="315">
        <v>14716</v>
      </c>
      <c r="BX192" s="315">
        <v>-3203</v>
      </c>
      <c r="BY192" s="315">
        <v>50688</v>
      </c>
      <c r="BZ192" s="315">
        <v>75</v>
      </c>
      <c r="CA192" s="315">
        <v>90226</v>
      </c>
      <c r="CB192" s="315">
        <v>-96057</v>
      </c>
      <c r="CC192" s="315">
        <v>-17104</v>
      </c>
      <c r="CD192" s="315">
        <v>-78953</v>
      </c>
      <c r="CE192" s="315">
        <v>-5831</v>
      </c>
      <c r="CF192" s="315">
        <v>82987</v>
      </c>
      <c r="CG192" s="315">
        <v>32</v>
      </c>
      <c r="CH192" s="315">
        <v>-88850</v>
      </c>
      <c r="CI192" s="315">
        <v>4299768</v>
      </c>
      <c r="CJ192" s="315">
        <v>624722</v>
      </c>
      <c r="CK192" s="315">
        <v>3675046</v>
      </c>
      <c r="CL192" s="315">
        <v>3144733</v>
      </c>
      <c r="CM192" s="315">
        <v>97785</v>
      </c>
      <c r="CN192" s="315">
        <v>432528</v>
      </c>
      <c r="CO192" s="315">
        <v>0</v>
      </c>
      <c r="CP192" s="315">
        <v>0</v>
      </c>
      <c r="CQ192" s="315">
        <v>432528</v>
      </c>
      <c r="CR192" s="315">
        <v>-2264534</v>
      </c>
      <c r="CS192" s="315">
        <v>-883990</v>
      </c>
      <c r="CT192" s="315">
        <v>-725684</v>
      </c>
      <c r="CU192" s="315">
        <v>-43980</v>
      </c>
      <c r="CV192" s="315">
        <v>-1657</v>
      </c>
      <c r="CW192" s="315">
        <v>-112669</v>
      </c>
      <c r="CX192" s="315">
        <v>-1380544</v>
      </c>
      <c r="CY192" s="315">
        <v>-979087</v>
      </c>
      <c r="CZ192" s="315">
        <v>-399584</v>
      </c>
      <c r="DA192" s="315">
        <v>-1873</v>
      </c>
      <c r="DB192" s="315">
        <v>0</v>
      </c>
      <c r="DC192" s="315">
        <v>0</v>
      </c>
      <c r="DD192" s="315">
        <v>2035234</v>
      </c>
      <c r="DE192" s="315">
        <v>944105</v>
      </c>
      <c r="DF192" s="315">
        <v>1091129</v>
      </c>
      <c r="DG192" s="315">
        <v>1055611</v>
      </c>
      <c r="DH192" s="315">
        <v>35518</v>
      </c>
      <c r="DI192" s="315">
        <v>1608177</v>
      </c>
      <c r="DJ192" s="315">
        <v>63764</v>
      </c>
      <c r="DK192" s="315">
        <v>19370</v>
      </c>
      <c r="DL192" s="315">
        <v>2039</v>
      </c>
      <c r="DM192" s="315">
        <v>808122</v>
      </c>
      <c r="DN192" s="315">
        <v>594597</v>
      </c>
      <c r="DO192" s="315">
        <v>120231</v>
      </c>
      <c r="DP192" s="315"/>
      <c r="DQ192" s="315"/>
      <c r="DR192" s="315">
        <v>54</v>
      </c>
      <c r="DS192" s="315">
        <v>-33059</v>
      </c>
      <c r="DT192" s="315">
        <v>-2837</v>
      </c>
      <c r="DU192" s="315">
        <v>-17</v>
      </c>
      <c r="DV192" s="315">
        <v>-6</v>
      </c>
      <c r="DW192" s="315">
        <v>-23210</v>
      </c>
      <c r="DX192" s="315">
        <v>-7745</v>
      </c>
      <c r="DY192" s="315">
        <v>-12955</v>
      </c>
      <c r="DZ192" s="315">
        <v>-2510</v>
      </c>
      <c r="EA192" s="315">
        <v>0</v>
      </c>
      <c r="EB192" s="315">
        <v>-6974</v>
      </c>
      <c r="EC192" s="315"/>
      <c r="ED192" s="315"/>
      <c r="EE192" s="315">
        <v>-15</v>
      </c>
      <c r="EF192" s="315">
        <v>1575118</v>
      </c>
      <c r="EG192" s="315">
        <v>787308</v>
      </c>
      <c r="EH192" s="315">
        <v>787810</v>
      </c>
      <c r="EI192" s="315">
        <v>769079</v>
      </c>
      <c r="EJ192" s="315">
        <v>18731</v>
      </c>
      <c r="EK192" s="315">
        <v>60927</v>
      </c>
      <c r="EL192" s="315">
        <v>33814</v>
      </c>
      <c r="EM192" s="315">
        <v>27113</v>
      </c>
      <c r="EN192" s="315">
        <v>26296</v>
      </c>
      <c r="EO192" s="315">
        <v>817</v>
      </c>
      <c r="EP192" s="315">
        <v>19353</v>
      </c>
      <c r="EQ192" s="315">
        <v>10510</v>
      </c>
      <c r="ER192" s="315">
        <v>8843</v>
      </c>
      <c r="ES192" s="315">
        <v>8592</v>
      </c>
      <c r="ET192" s="315">
        <v>251</v>
      </c>
      <c r="EU192" s="315">
        <v>2033</v>
      </c>
      <c r="EV192" s="315">
        <v>1426</v>
      </c>
      <c r="EW192" s="315">
        <v>607</v>
      </c>
      <c r="EX192" s="315">
        <v>588</v>
      </c>
      <c r="EY192" s="315">
        <v>19</v>
      </c>
      <c r="EZ192" s="315">
        <v>784912</v>
      </c>
      <c r="FA192" s="315">
        <v>433031</v>
      </c>
      <c r="FB192" s="315">
        <v>351881</v>
      </c>
      <c r="FC192" s="315">
        <v>341726</v>
      </c>
      <c r="FD192" s="315">
        <v>10155</v>
      </c>
      <c r="FE192" s="315">
        <v>594597</v>
      </c>
      <c r="FF192" s="315">
        <v>309800</v>
      </c>
      <c r="FG192" s="315">
        <v>284797</v>
      </c>
      <c r="FH192" s="315">
        <v>277308</v>
      </c>
      <c r="FI192" s="315">
        <v>7489</v>
      </c>
      <c r="FJ192" s="315">
        <v>113257</v>
      </c>
      <c r="FK192" s="315">
        <v>-1312</v>
      </c>
      <c r="FL192" s="315">
        <v>114569</v>
      </c>
      <c r="FM192" s="315">
        <v>114569</v>
      </c>
      <c r="FN192" s="315"/>
      <c r="FO192" s="315"/>
      <c r="FP192" s="315"/>
      <c r="FQ192" s="315">
        <v>39</v>
      </c>
      <c r="FR192" s="315">
        <v>429571</v>
      </c>
      <c r="FS192" s="315">
        <v>-28603</v>
      </c>
      <c r="FT192" s="315">
        <v>400968</v>
      </c>
      <c r="FU192" s="315"/>
      <c r="FV192" s="315"/>
      <c r="FW192" s="315"/>
      <c r="FX192" s="315">
        <v>110770</v>
      </c>
      <c r="FY192" s="315">
        <v>124546</v>
      </c>
      <c r="FZ192" s="315"/>
      <c r="GA192" s="315"/>
      <c r="GB192" s="315"/>
      <c r="GC192" s="315">
        <v>73372</v>
      </c>
      <c r="GD192" s="315">
        <v>2030</v>
      </c>
      <c r="GE192" s="315"/>
      <c r="GF192" s="315">
        <v>71342</v>
      </c>
      <c r="GG192" s="315">
        <v>92280</v>
      </c>
      <c r="GH192" s="315">
        <v>9705</v>
      </c>
      <c r="GI192" s="315">
        <v>570</v>
      </c>
      <c r="GJ192" s="315">
        <v>82005</v>
      </c>
      <c r="GL192"/>
      <c r="GM192"/>
      <c r="GN192"/>
      <c r="GO192"/>
    </row>
    <row r="193" spans="1:197">
      <c r="A193" s="98" t="s">
        <v>28</v>
      </c>
      <c r="B193" s="98">
        <v>6</v>
      </c>
      <c r="C193" s="98" t="s">
        <v>222</v>
      </c>
      <c r="D193" s="315">
        <v>13284998</v>
      </c>
      <c r="E193" s="315">
        <v>-6630283</v>
      </c>
      <c r="F193" s="315">
        <v>-14007</v>
      </c>
      <c r="G193" s="315">
        <v>6640708</v>
      </c>
      <c r="H193" s="315">
        <v>2665873</v>
      </c>
      <c r="I193" s="315">
        <v>3974835</v>
      </c>
      <c r="J193" s="315">
        <v>3854289</v>
      </c>
      <c r="K193" s="315">
        <v>120546</v>
      </c>
      <c r="L193" s="315">
        <v>5568791</v>
      </c>
      <c r="M193" s="315">
        <v>4007234</v>
      </c>
      <c r="N193" s="315">
        <v>871575</v>
      </c>
      <c r="O193" s="315">
        <v>805250</v>
      </c>
      <c r="P193" s="315">
        <v>66325</v>
      </c>
      <c r="Q193" s="315">
        <v>65408</v>
      </c>
      <c r="R193" s="315">
        <v>624574</v>
      </c>
      <c r="S193" s="315">
        <v>-3892585</v>
      </c>
      <c r="T193" s="315">
        <v>-3879445</v>
      </c>
      <c r="U193" s="315">
        <v>-140002</v>
      </c>
      <c r="V193" s="315">
        <v>-69</v>
      </c>
      <c r="W193" s="315">
        <v>-3710086</v>
      </c>
      <c r="X193" s="315">
        <v>0</v>
      </c>
      <c r="Y193" s="315">
        <v>-29288</v>
      </c>
      <c r="Z193" s="315">
        <v>-8576</v>
      </c>
      <c r="AA193" s="315">
        <v>-4564</v>
      </c>
      <c r="AB193" s="315">
        <v>0</v>
      </c>
      <c r="AC193" s="315">
        <v>-14007</v>
      </c>
      <c r="AD193" s="315">
        <v>1662199</v>
      </c>
      <c r="AE193" s="315">
        <v>-433703</v>
      </c>
      <c r="AF193" s="315">
        <v>2095902</v>
      </c>
      <c r="AG193" s="315">
        <v>2029601</v>
      </c>
      <c r="AH193" s="315">
        <v>66301</v>
      </c>
      <c r="AI193" s="315">
        <v>4003785</v>
      </c>
      <c r="AJ193" s="315">
        <v>1595883</v>
      </c>
      <c r="AK193" s="315">
        <v>2282039</v>
      </c>
      <c r="AL193" s="315">
        <v>8587</v>
      </c>
      <c r="AM193" s="315">
        <v>524242</v>
      </c>
      <c r="AN193" s="315">
        <v>54500</v>
      </c>
      <c r="AO193" s="315">
        <v>34869</v>
      </c>
      <c r="AP193" s="315"/>
      <c r="AQ193" s="315">
        <v>9848</v>
      </c>
      <c r="AR193" s="315">
        <v>-3007870</v>
      </c>
      <c r="AS193" s="315">
        <v>56832</v>
      </c>
      <c r="AT193" s="315">
        <v>0</v>
      </c>
      <c r="AU193" s="315">
        <v>-14007</v>
      </c>
      <c r="AV193" s="315">
        <v>494930</v>
      </c>
      <c r="AW193" s="315">
        <v>65333</v>
      </c>
      <c r="AX193" s="315">
        <v>49677</v>
      </c>
      <c r="AY193" s="315">
        <v>4077</v>
      </c>
      <c r="AZ193" s="315">
        <v>804</v>
      </c>
      <c r="BA193" s="315">
        <v>7773</v>
      </c>
      <c r="BB193" s="315">
        <v>37023</v>
      </c>
      <c r="BC193" s="315">
        <v>124526</v>
      </c>
      <c r="BD193" s="315">
        <v>255394</v>
      </c>
      <c r="BE193" s="315">
        <v>-122636</v>
      </c>
      <c r="BF193" s="315">
        <v>-84432</v>
      </c>
      <c r="BG193" s="315">
        <v>-74102</v>
      </c>
      <c r="BH193" s="315">
        <v>-10330</v>
      </c>
      <c r="BI193" s="315">
        <v>0</v>
      </c>
      <c r="BJ193" s="315">
        <v>-64171.000000000007</v>
      </c>
      <c r="BK193" s="315">
        <v>-20260.999999999993</v>
      </c>
      <c r="BL193" s="315">
        <v>-2416</v>
      </c>
      <c r="BM193" s="315">
        <v>-35788</v>
      </c>
      <c r="BN193" s="315">
        <v>372294</v>
      </c>
      <c r="BO193" s="315">
        <v>186918</v>
      </c>
      <c r="BP193" s="315">
        <v>17236</v>
      </c>
      <c r="BQ193" s="315">
        <v>14845</v>
      </c>
      <c r="BR193" s="315"/>
      <c r="BS193" s="315">
        <v>63308</v>
      </c>
      <c r="BT193" s="315">
        <v>9004</v>
      </c>
      <c r="BU193" s="315">
        <v>38486</v>
      </c>
      <c r="BV193" s="315">
        <v>1379</v>
      </c>
      <c r="BW193" s="315">
        <v>14439</v>
      </c>
      <c r="BX193" s="315">
        <v>-24425</v>
      </c>
      <c r="BY193" s="315">
        <v>114196</v>
      </c>
      <c r="BZ193" s="315">
        <v>216</v>
      </c>
      <c r="CA193" s="315">
        <v>519295</v>
      </c>
      <c r="CB193" s="315">
        <v>-39700</v>
      </c>
      <c r="CC193" s="315">
        <v>-10419</v>
      </c>
      <c r="CD193" s="315">
        <v>-29281</v>
      </c>
      <c r="CE193" s="315">
        <v>479595</v>
      </c>
      <c r="CF193" s="315">
        <v>507547</v>
      </c>
      <c r="CG193" s="315">
        <v>47</v>
      </c>
      <c r="CH193" s="315">
        <v>-27999</v>
      </c>
      <c r="CI193" s="315">
        <v>4444157</v>
      </c>
      <c r="CJ193" s="315">
        <v>651160</v>
      </c>
      <c r="CK193" s="315">
        <v>3792997</v>
      </c>
      <c r="CL193" s="315">
        <v>3296787</v>
      </c>
      <c r="CM193" s="315">
        <v>99728</v>
      </c>
      <c r="CN193" s="315">
        <v>396482</v>
      </c>
      <c r="CO193" s="315">
        <v>0</v>
      </c>
      <c r="CP193" s="315">
        <v>0</v>
      </c>
      <c r="CQ193" s="315">
        <v>396482</v>
      </c>
      <c r="CR193" s="315">
        <v>-2393231</v>
      </c>
      <c r="CS193" s="315">
        <v>-926026</v>
      </c>
      <c r="CT193" s="315">
        <v>-745184</v>
      </c>
      <c r="CU193" s="315">
        <v>-42045</v>
      </c>
      <c r="CV193" s="315">
        <v>-1898</v>
      </c>
      <c r="CW193" s="315">
        <v>-136899</v>
      </c>
      <c r="CX193" s="315">
        <v>-1413066</v>
      </c>
      <c r="CY193" s="315">
        <v>-1196761</v>
      </c>
      <c r="CZ193" s="315">
        <v>-214383</v>
      </c>
      <c r="DA193" s="315">
        <v>-1922</v>
      </c>
      <c r="DB193" s="315">
        <v>0</v>
      </c>
      <c r="DC193" s="315">
        <v>-54139</v>
      </c>
      <c r="DD193" s="315">
        <v>2050926</v>
      </c>
      <c r="DE193" s="315">
        <v>959798</v>
      </c>
      <c r="DF193" s="315">
        <v>1091128</v>
      </c>
      <c r="DG193" s="315">
        <v>1055611</v>
      </c>
      <c r="DH193" s="315">
        <v>35517</v>
      </c>
      <c r="DI193" s="315">
        <v>1848975</v>
      </c>
      <c r="DJ193" s="315">
        <v>68504</v>
      </c>
      <c r="DK193" s="315">
        <v>24925</v>
      </c>
      <c r="DL193" s="315">
        <v>1046</v>
      </c>
      <c r="DM193" s="315">
        <v>841511</v>
      </c>
      <c r="DN193" s="315">
        <v>813640</v>
      </c>
      <c r="DO193" s="315">
        <v>99271</v>
      </c>
      <c r="DP193" s="315"/>
      <c r="DQ193" s="315"/>
      <c r="DR193" s="315">
        <v>78</v>
      </c>
      <c r="DS193" s="315">
        <v>-40992</v>
      </c>
      <c r="DT193" s="315">
        <v>-1453</v>
      </c>
      <c r="DU193" s="315">
        <v>-27</v>
      </c>
      <c r="DV193" s="315">
        <v>-29</v>
      </c>
      <c r="DW193" s="315">
        <v>-30609</v>
      </c>
      <c r="DX193" s="315">
        <v>-24943</v>
      </c>
      <c r="DY193" s="315">
        <v>-5269</v>
      </c>
      <c r="DZ193" s="315">
        <v>-397</v>
      </c>
      <c r="EA193" s="315">
        <v>-8719</v>
      </c>
      <c r="EB193" s="315">
        <v>-12</v>
      </c>
      <c r="EC193" s="315"/>
      <c r="ED193" s="315"/>
      <c r="EE193" s="315">
        <v>-143</v>
      </c>
      <c r="EF193" s="315">
        <v>1807983</v>
      </c>
      <c r="EG193" s="315">
        <v>1020178</v>
      </c>
      <c r="EH193" s="315">
        <v>787805</v>
      </c>
      <c r="EI193" s="315">
        <v>769077</v>
      </c>
      <c r="EJ193" s="315">
        <v>18728</v>
      </c>
      <c r="EK193" s="315">
        <v>67051</v>
      </c>
      <c r="EL193" s="315">
        <v>39937</v>
      </c>
      <c r="EM193" s="315">
        <v>27114</v>
      </c>
      <c r="EN193" s="315">
        <v>26297</v>
      </c>
      <c r="EO193" s="315">
        <v>817</v>
      </c>
      <c r="EP193" s="315">
        <v>24898</v>
      </c>
      <c r="EQ193" s="315">
        <v>16057</v>
      </c>
      <c r="ER193" s="315">
        <v>8841</v>
      </c>
      <c r="ES193" s="315">
        <v>8591</v>
      </c>
      <c r="ET193" s="315">
        <v>250</v>
      </c>
      <c r="EU193" s="315">
        <v>1017</v>
      </c>
      <c r="EV193" s="315">
        <v>411</v>
      </c>
      <c r="EW193" s="315">
        <v>606</v>
      </c>
      <c r="EX193" s="315">
        <v>588</v>
      </c>
      <c r="EY193" s="315">
        <v>18</v>
      </c>
      <c r="EZ193" s="315">
        <v>810902</v>
      </c>
      <c r="FA193" s="315">
        <v>459022</v>
      </c>
      <c r="FB193" s="315">
        <v>351880</v>
      </c>
      <c r="FC193" s="315">
        <v>341726</v>
      </c>
      <c r="FD193" s="315">
        <v>10154</v>
      </c>
      <c r="FE193" s="315">
        <v>804921</v>
      </c>
      <c r="FF193" s="315">
        <v>520125</v>
      </c>
      <c r="FG193" s="315">
        <v>284796</v>
      </c>
      <c r="FH193" s="315">
        <v>277307</v>
      </c>
      <c r="FI193" s="315">
        <v>7489</v>
      </c>
      <c r="FJ193" s="315">
        <v>99259</v>
      </c>
      <c r="FK193" s="315">
        <v>-15309</v>
      </c>
      <c r="FL193" s="315">
        <v>114568</v>
      </c>
      <c r="FM193" s="315">
        <v>114568</v>
      </c>
      <c r="FN193" s="315"/>
      <c r="FO193" s="315"/>
      <c r="FP193" s="315"/>
      <c r="FQ193" s="315">
        <v>-65</v>
      </c>
      <c r="FR193" s="315">
        <v>408850</v>
      </c>
      <c r="FS193" s="315">
        <v>-141139</v>
      </c>
      <c r="FT193" s="315">
        <v>267711</v>
      </c>
      <c r="FU193" s="315"/>
      <c r="FV193" s="315"/>
      <c r="FW193" s="315"/>
      <c r="FX193" s="315">
        <v>122818</v>
      </c>
      <c r="FY193" s="315">
        <v>119066</v>
      </c>
      <c r="FZ193" s="315"/>
      <c r="GA193" s="315"/>
      <c r="GB193" s="315"/>
      <c r="GC193" s="315">
        <v>-56319</v>
      </c>
      <c r="GD193" s="315">
        <v>-125359</v>
      </c>
      <c r="GE193" s="315"/>
      <c r="GF193" s="315">
        <v>69040</v>
      </c>
      <c r="GG193" s="315">
        <v>82146</v>
      </c>
      <c r="GH193" s="315">
        <v>6965</v>
      </c>
      <c r="GI193" s="315">
        <v>366</v>
      </c>
      <c r="GJ193" s="315">
        <v>74815</v>
      </c>
      <c r="GL193"/>
      <c r="GM193"/>
      <c r="GN193"/>
      <c r="GO193"/>
    </row>
    <row r="194" spans="1:197">
      <c r="A194" s="98" t="s">
        <v>28</v>
      </c>
      <c r="B194" s="98">
        <v>7</v>
      </c>
      <c r="C194" s="98" t="s">
        <v>223</v>
      </c>
      <c r="D194" s="315">
        <v>28580902</v>
      </c>
      <c r="E194" s="315">
        <v>-5273353</v>
      </c>
      <c r="F194" s="315">
        <v>-13266</v>
      </c>
      <c r="G194" s="315">
        <v>23294283</v>
      </c>
      <c r="H194" s="315">
        <v>19306758</v>
      </c>
      <c r="I194" s="315">
        <v>3987525</v>
      </c>
      <c r="J194" s="315">
        <v>3866974</v>
      </c>
      <c r="K194" s="315">
        <v>120551</v>
      </c>
      <c r="L194" s="315">
        <v>13649027</v>
      </c>
      <c r="M194" s="315">
        <v>9067010</v>
      </c>
      <c r="N194" s="315">
        <v>2956209</v>
      </c>
      <c r="O194" s="315">
        <v>2890132</v>
      </c>
      <c r="P194" s="315">
        <v>66077</v>
      </c>
      <c r="Q194" s="315">
        <v>49821</v>
      </c>
      <c r="R194" s="315">
        <v>1575987</v>
      </c>
      <c r="S194" s="315">
        <v>-2117782</v>
      </c>
      <c r="T194" s="315">
        <v>-2104685</v>
      </c>
      <c r="U194" s="315">
        <v>-130822</v>
      </c>
      <c r="V194" s="315">
        <v>-53</v>
      </c>
      <c r="W194" s="315">
        <v>-1945657</v>
      </c>
      <c r="X194" s="315">
        <v>0</v>
      </c>
      <c r="Y194" s="315">
        <v>-28153</v>
      </c>
      <c r="Z194" s="315">
        <v>-8173</v>
      </c>
      <c r="AA194" s="315">
        <v>-4924</v>
      </c>
      <c r="AB194" s="315">
        <v>0</v>
      </c>
      <c r="AC194" s="315">
        <v>-13266</v>
      </c>
      <c r="AD194" s="315">
        <v>11517979</v>
      </c>
      <c r="AE194" s="315">
        <v>6961615</v>
      </c>
      <c r="AF194" s="315">
        <v>4556364</v>
      </c>
      <c r="AG194" s="315">
        <v>4490061</v>
      </c>
      <c r="AH194" s="315">
        <v>66303</v>
      </c>
      <c r="AI194" s="315">
        <v>9063750</v>
      </c>
      <c r="AJ194" s="315">
        <v>2155978</v>
      </c>
      <c r="AK194" s="315">
        <v>2960058</v>
      </c>
      <c r="AL194" s="315">
        <v>3820855</v>
      </c>
      <c r="AM194" s="315">
        <v>530174</v>
      </c>
      <c r="AN194" s="315">
        <v>400068</v>
      </c>
      <c r="AO194" s="315">
        <v>43961</v>
      </c>
      <c r="AP194" s="315"/>
      <c r="AQ194" s="315">
        <v>600582</v>
      </c>
      <c r="AR194" s="315">
        <v>851524</v>
      </c>
      <c r="AS194" s="315">
        <v>41648</v>
      </c>
      <c r="AT194" s="315">
        <v>-462</v>
      </c>
      <c r="AU194" s="315">
        <v>-13266</v>
      </c>
      <c r="AV194" s="315">
        <v>1602936</v>
      </c>
      <c r="AW194" s="315">
        <v>17871</v>
      </c>
      <c r="AX194" s="315">
        <v>271439</v>
      </c>
      <c r="AY194" s="315">
        <v>89180</v>
      </c>
      <c r="AZ194" s="315">
        <v>61019</v>
      </c>
      <c r="BA194" s="315">
        <v>89318</v>
      </c>
      <c r="BB194" s="315">
        <v>31922</v>
      </c>
      <c r="BC194" s="315">
        <v>164126</v>
      </c>
      <c r="BD194" s="315">
        <v>1149500</v>
      </c>
      <c r="BE194" s="315">
        <v>-105031</v>
      </c>
      <c r="BF194" s="315">
        <v>-103652</v>
      </c>
      <c r="BG194" s="315">
        <v>-59997</v>
      </c>
      <c r="BH194" s="315">
        <v>-43655</v>
      </c>
      <c r="BI194" s="315">
        <v>0</v>
      </c>
      <c r="BJ194" s="315">
        <v>-49426</v>
      </c>
      <c r="BK194" s="315">
        <v>-54226</v>
      </c>
      <c r="BL194" s="315">
        <v>-981</v>
      </c>
      <c r="BM194" s="315">
        <v>-398</v>
      </c>
      <c r="BN194" s="315">
        <v>1497905</v>
      </c>
      <c r="BO194" s="315">
        <v>964641</v>
      </c>
      <c r="BP194" s="315">
        <v>165278</v>
      </c>
      <c r="BQ194" s="315">
        <v>18712</v>
      </c>
      <c r="BR194" s="315"/>
      <c r="BS194" s="315">
        <v>17355</v>
      </c>
      <c r="BT194" s="315">
        <v>195</v>
      </c>
      <c r="BU194" s="315">
        <v>0</v>
      </c>
      <c r="BV194" s="315">
        <v>1074</v>
      </c>
      <c r="BW194" s="315">
        <v>16086</v>
      </c>
      <c r="BX194" s="315">
        <v>211442</v>
      </c>
      <c r="BY194" s="315">
        <v>120471</v>
      </c>
      <c r="BZ194" s="315">
        <v>6</v>
      </c>
      <c r="CA194" s="315">
        <v>808156</v>
      </c>
      <c r="CB194" s="315">
        <v>-5301</v>
      </c>
      <c r="CC194" s="315">
        <v>-4975</v>
      </c>
      <c r="CD194" s="315">
        <v>-326</v>
      </c>
      <c r="CE194" s="315">
        <v>802855</v>
      </c>
      <c r="CF194" s="315">
        <v>111870</v>
      </c>
      <c r="CG194" s="315">
        <v>7</v>
      </c>
      <c r="CH194" s="315">
        <v>690978</v>
      </c>
      <c r="CI194" s="315">
        <v>10355928</v>
      </c>
      <c r="CJ194" s="315">
        <v>646530</v>
      </c>
      <c r="CK194" s="315">
        <v>9709398</v>
      </c>
      <c r="CL194" s="315">
        <v>4046703</v>
      </c>
      <c r="CM194" s="315">
        <v>5280017</v>
      </c>
      <c r="CN194" s="315">
        <v>382678</v>
      </c>
      <c r="CO194" s="315">
        <v>1257</v>
      </c>
      <c r="CP194" s="315">
        <v>0</v>
      </c>
      <c r="CQ194" s="315">
        <v>381421</v>
      </c>
      <c r="CR194" s="315">
        <v>-2951703</v>
      </c>
      <c r="CS194" s="315">
        <v>-1395793</v>
      </c>
      <c r="CT194" s="315">
        <v>-1279079</v>
      </c>
      <c r="CU194" s="315">
        <v>-23636</v>
      </c>
      <c r="CV194" s="315">
        <v>-1043</v>
      </c>
      <c r="CW194" s="315">
        <v>-92035</v>
      </c>
      <c r="CX194" s="315">
        <v>-1327293</v>
      </c>
      <c r="CY194" s="315">
        <v>-1112424</v>
      </c>
      <c r="CZ194" s="315">
        <v>-213586</v>
      </c>
      <c r="DA194" s="315">
        <v>-1283</v>
      </c>
      <c r="DB194" s="315">
        <v>-228617</v>
      </c>
      <c r="DC194" s="315">
        <v>0</v>
      </c>
      <c r="DD194" s="315">
        <v>7404225</v>
      </c>
      <c r="DE194" s="315">
        <v>8772981</v>
      </c>
      <c r="DF194" s="315">
        <v>-1368756</v>
      </c>
      <c r="DG194" s="315">
        <v>-1404273</v>
      </c>
      <c r="DH194" s="315">
        <v>35517</v>
      </c>
      <c r="DI194" s="315">
        <v>1718731</v>
      </c>
      <c r="DJ194" s="315">
        <v>44281</v>
      </c>
      <c r="DK194" s="315">
        <v>23656</v>
      </c>
      <c r="DL194" s="315">
        <v>1334</v>
      </c>
      <c r="DM194" s="315">
        <v>888409</v>
      </c>
      <c r="DN194" s="315">
        <v>640838</v>
      </c>
      <c r="DO194" s="315">
        <v>120149</v>
      </c>
      <c r="DP194" s="315"/>
      <c r="DQ194" s="315"/>
      <c r="DR194" s="315">
        <v>64</v>
      </c>
      <c r="DS194" s="315">
        <v>-42772</v>
      </c>
      <c r="DT194" s="315">
        <v>-11895</v>
      </c>
      <c r="DU194" s="315">
        <v>-3282</v>
      </c>
      <c r="DV194" s="315">
        <v>-6</v>
      </c>
      <c r="DW194" s="315">
        <v>-23395</v>
      </c>
      <c r="DX194" s="315">
        <v>-19367</v>
      </c>
      <c r="DY194" s="315">
        <v>-2432</v>
      </c>
      <c r="DZ194" s="315">
        <v>-1596</v>
      </c>
      <c r="EA194" s="315">
        <v>-4046</v>
      </c>
      <c r="EB194" s="315">
        <v>-144</v>
      </c>
      <c r="EC194" s="315"/>
      <c r="ED194" s="315"/>
      <c r="EE194" s="315">
        <v>-4</v>
      </c>
      <c r="EF194" s="315">
        <v>1675959</v>
      </c>
      <c r="EG194" s="315">
        <v>876042</v>
      </c>
      <c r="EH194" s="315">
        <v>799917</v>
      </c>
      <c r="EI194" s="315">
        <v>781186</v>
      </c>
      <c r="EJ194" s="315">
        <v>18731</v>
      </c>
      <c r="EK194" s="315">
        <v>32386</v>
      </c>
      <c r="EL194" s="315">
        <v>47062</v>
      </c>
      <c r="EM194" s="315">
        <v>-14676</v>
      </c>
      <c r="EN194" s="315">
        <v>-15493</v>
      </c>
      <c r="EO194" s="315">
        <v>817</v>
      </c>
      <c r="EP194" s="315">
        <v>20374</v>
      </c>
      <c r="EQ194" s="315">
        <v>15136</v>
      </c>
      <c r="ER194" s="315">
        <v>5238</v>
      </c>
      <c r="ES194" s="315">
        <v>4987</v>
      </c>
      <c r="ET194" s="315">
        <v>251</v>
      </c>
      <c r="EU194" s="315">
        <v>1328</v>
      </c>
      <c r="EV194" s="315">
        <v>1833</v>
      </c>
      <c r="EW194" s="315">
        <v>-505</v>
      </c>
      <c r="EX194" s="315">
        <v>-523</v>
      </c>
      <c r="EY194" s="315">
        <v>18</v>
      </c>
      <c r="EZ194" s="315">
        <v>865014</v>
      </c>
      <c r="FA194" s="315">
        <v>704762</v>
      </c>
      <c r="FB194" s="315">
        <v>160252</v>
      </c>
      <c r="FC194" s="315">
        <v>150096</v>
      </c>
      <c r="FD194" s="315">
        <v>10156</v>
      </c>
      <c r="FE194" s="315">
        <v>636792</v>
      </c>
      <c r="FF194" s="315">
        <v>146185</v>
      </c>
      <c r="FG194" s="315">
        <v>490607</v>
      </c>
      <c r="FH194" s="315">
        <v>483118</v>
      </c>
      <c r="FI194" s="315">
        <v>7489</v>
      </c>
      <c r="FJ194" s="315">
        <v>120005</v>
      </c>
      <c r="FK194" s="315">
        <v>-38996</v>
      </c>
      <c r="FL194" s="315">
        <v>159001</v>
      </c>
      <c r="FM194" s="315">
        <v>159001</v>
      </c>
      <c r="FN194" s="315"/>
      <c r="FO194" s="315"/>
      <c r="FP194" s="315"/>
      <c r="FQ194" s="315">
        <v>60</v>
      </c>
      <c r="FR194" s="315">
        <v>446124</v>
      </c>
      <c r="FS194" s="315">
        <v>-50764</v>
      </c>
      <c r="FT194" s="315">
        <v>395360</v>
      </c>
      <c r="FU194" s="315"/>
      <c r="FV194" s="315"/>
      <c r="FW194" s="315"/>
      <c r="FX194" s="315">
        <v>121680</v>
      </c>
      <c r="FY194" s="315">
        <v>120863</v>
      </c>
      <c r="FZ194" s="315"/>
      <c r="GA194" s="315"/>
      <c r="GB194" s="315"/>
      <c r="GC194" s="315">
        <v>21790</v>
      </c>
      <c r="GD194" s="315">
        <v>-40571</v>
      </c>
      <c r="GE194" s="315"/>
      <c r="GF194" s="315">
        <v>62361</v>
      </c>
      <c r="GG194" s="315">
        <v>131027</v>
      </c>
      <c r="GH194" s="315">
        <v>8855</v>
      </c>
      <c r="GI194" s="315">
        <v>1776</v>
      </c>
      <c r="GJ194" s="315">
        <v>120396</v>
      </c>
      <c r="GL194"/>
      <c r="GM194"/>
      <c r="GN194"/>
      <c r="GO194"/>
    </row>
    <row r="195" spans="1:197">
      <c r="A195" s="98" t="s">
        <v>28</v>
      </c>
      <c r="B195" s="98">
        <v>8</v>
      </c>
      <c r="C195" s="98" t="s">
        <v>224</v>
      </c>
      <c r="D195" s="315">
        <v>10050333</v>
      </c>
      <c r="E195" s="315">
        <v>-4120448</v>
      </c>
      <c r="F195" s="315">
        <v>-13266</v>
      </c>
      <c r="G195" s="315">
        <v>5916619</v>
      </c>
      <c r="H195" s="315">
        <v>1940680</v>
      </c>
      <c r="I195" s="315">
        <v>3975939</v>
      </c>
      <c r="J195" s="315">
        <v>3854290</v>
      </c>
      <c r="K195" s="315">
        <v>121649</v>
      </c>
      <c r="L195" s="315">
        <v>968259</v>
      </c>
      <c r="M195" s="315">
        <v>622159</v>
      </c>
      <c r="N195" s="315">
        <v>245010</v>
      </c>
      <c r="O195" s="315">
        <v>20334</v>
      </c>
      <c r="P195" s="315">
        <v>224676</v>
      </c>
      <c r="Q195" s="315">
        <v>55550</v>
      </c>
      <c r="R195" s="315">
        <v>45540</v>
      </c>
      <c r="S195" s="315">
        <v>-535363</v>
      </c>
      <c r="T195" s="315">
        <v>-528555</v>
      </c>
      <c r="U195" s="315">
        <v>-140583</v>
      </c>
      <c r="V195" s="315">
        <v>-45</v>
      </c>
      <c r="W195" s="315">
        <v>-371288</v>
      </c>
      <c r="X195" s="315">
        <v>0</v>
      </c>
      <c r="Y195" s="315">
        <v>-16639</v>
      </c>
      <c r="Z195" s="315">
        <v>-3058</v>
      </c>
      <c r="AA195" s="315">
        <v>-3750</v>
      </c>
      <c r="AB195" s="315">
        <v>0</v>
      </c>
      <c r="AC195" s="315">
        <v>-13266</v>
      </c>
      <c r="AD195" s="315">
        <v>419630</v>
      </c>
      <c r="AE195" s="315">
        <v>-1715787</v>
      </c>
      <c r="AF195" s="315">
        <v>2135417</v>
      </c>
      <c r="AG195" s="315">
        <v>2029601</v>
      </c>
      <c r="AH195" s="315">
        <v>105816</v>
      </c>
      <c r="AI195" s="315">
        <v>619106</v>
      </c>
      <c r="AJ195" s="315">
        <v>311141</v>
      </c>
      <c r="AK195" s="315">
        <v>179917</v>
      </c>
      <c r="AL195" s="315">
        <v>19237</v>
      </c>
      <c r="AM195" s="315">
        <v>13261</v>
      </c>
      <c r="AN195" s="315">
        <v>15018</v>
      </c>
      <c r="AO195" s="315">
        <v>2400</v>
      </c>
      <c r="AP195" s="315"/>
      <c r="AQ195" s="315">
        <v>14164</v>
      </c>
      <c r="AR195" s="315">
        <v>-283545</v>
      </c>
      <c r="AS195" s="315">
        <v>52492</v>
      </c>
      <c r="AT195" s="315">
        <v>0</v>
      </c>
      <c r="AU195" s="315">
        <v>-13266</v>
      </c>
      <c r="AV195" s="315">
        <v>5530328</v>
      </c>
      <c r="AW195" s="315">
        <v>13810</v>
      </c>
      <c r="AX195" s="315">
        <v>5137811</v>
      </c>
      <c r="AY195" s="315">
        <v>2066075</v>
      </c>
      <c r="AZ195" s="315">
        <v>973128</v>
      </c>
      <c r="BA195" s="315">
        <v>2009071</v>
      </c>
      <c r="BB195" s="315">
        <v>89537</v>
      </c>
      <c r="BC195" s="315">
        <v>371230</v>
      </c>
      <c r="BD195" s="315">
        <v>7477</v>
      </c>
      <c r="BE195" s="315">
        <v>-1136267</v>
      </c>
      <c r="BF195" s="315">
        <v>-409446</v>
      </c>
      <c r="BG195" s="315">
        <v>-35966</v>
      </c>
      <c r="BH195" s="315">
        <v>-373480</v>
      </c>
      <c r="BI195" s="315">
        <v>-42765</v>
      </c>
      <c r="BJ195" s="315">
        <v>-322910</v>
      </c>
      <c r="BK195" s="315">
        <v>-43771</v>
      </c>
      <c r="BL195" s="315">
        <v>-723</v>
      </c>
      <c r="BM195" s="315">
        <v>-726098</v>
      </c>
      <c r="BN195" s="315">
        <v>4394061</v>
      </c>
      <c r="BO195" s="315">
        <v>-722038</v>
      </c>
      <c r="BP195" s="315">
        <v>2136</v>
      </c>
      <c r="BQ195" s="315">
        <v>1023</v>
      </c>
      <c r="BR195" s="315"/>
      <c r="BS195" s="315">
        <v>13345</v>
      </c>
      <c r="BT195" s="315">
        <v>685</v>
      </c>
      <c r="BU195" s="315">
        <v>5</v>
      </c>
      <c r="BV195" s="315">
        <v>1224</v>
      </c>
      <c r="BW195" s="315">
        <v>11431</v>
      </c>
      <c r="BX195" s="315">
        <v>5101845</v>
      </c>
      <c r="BY195" s="315">
        <v>-2250</v>
      </c>
      <c r="BZ195" s="315">
        <v>0</v>
      </c>
      <c r="CA195" s="315">
        <v>192598</v>
      </c>
      <c r="CB195" s="315">
        <v>-600326</v>
      </c>
      <c r="CC195" s="315">
        <v>-6246</v>
      </c>
      <c r="CD195" s="315">
        <v>-594080</v>
      </c>
      <c r="CE195" s="315">
        <v>-407728</v>
      </c>
      <c r="CF195" s="315">
        <v>16153</v>
      </c>
      <c r="CG195" s="315">
        <v>7</v>
      </c>
      <c r="CH195" s="315">
        <v>-423888</v>
      </c>
      <c r="CI195" s="315">
        <v>1238923</v>
      </c>
      <c r="CJ195" s="315">
        <v>788205</v>
      </c>
      <c r="CK195" s="315">
        <v>450718</v>
      </c>
      <c r="CL195" s="315">
        <v>89473</v>
      </c>
      <c r="CM195" s="315">
        <v>40264</v>
      </c>
      <c r="CN195" s="315">
        <v>320981</v>
      </c>
      <c r="CO195" s="315">
        <v>0</v>
      </c>
      <c r="CP195" s="315">
        <v>0</v>
      </c>
      <c r="CQ195" s="315">
        <v>320981</v>
      </c>
      <c r="CR195" s="315">
        <v>-1816921</v>
      </c>
      <c r="CS195" s="315">
        <v>-948666</v>
      </c>
      <c r="CT195" s="315">
        <v>-887041</v>
      </c>
      <c r="CU195" s="315">
        <v>-9252</v>
      </c>
      <c r="CV195" s="315">
        <v>-331</v>
      </c>
      <c r="CW195" s="315">
        <v>-52042</v>
      </c>
      <c r="CX195" s="315">
        <v>-868255</v>
      </c>
      <c r="CY195" s="315">
        <v>-738522</v>
      </c>
      <c r="CZ195" s="315">
        <v>-128524</v>
      </c>
      <c r="DA195" s="315">
        <v>-1209</v>
      </c>
      <c r="DB195" s="315">
        <v>0</v>
      </c>
      <c r="DC195" s="315">
        <v>0</v>
      </c>
      <c r="DD195" s="315">
        <v>-577998</v>
      </c>
      <c r="DE195" s="315">
        <v>-1628686</v>
      </c>
      <c r="DF195" s="315">
        <v>1050688</v>
      </c>
      <c r="DG195" s="315">
        <v>1055611</v>
      </c>
      <c r="DH195" s="315">
        <v>-4923</v>
      </c>
      <c r="DI195" s="315">
        <v>1780505</v>
      </c>
      <c r="DJ195" s="315">
        <v>96374</v>
      </c>
      <c r="DK195" s="315">
        <v>26828</v>
      </c>
      <c r="DL195" s="315">
        <v>2512</v>
      </c>
      <c r="DM195" s="315">
        <v>900359</v>
      </c>
      <c r="DN195" s="315">
        <v>640330</v>
      </c>
      <c r="DO195" s="315">
        <v>113884</v>
      </c>
      <c r="DP195" s="315"/>
      <c r="DQ195" s="315"/>
      <c r="DR195" s="315">
        <v>218</v>
      </c>
      <c r="DS195" s="315">
        <v>-22969</v>
      </c>
      <c r="DT195" s="315">
        <v>-936</v>
      </c>
      <c r="DU195" s="315">
        <v>-38</v>
      </c>
      <c r="DV195" s="315">
        <v>-3</v>
      </c>
      <c r="DW195" s="315">
        <v>-21940</v>
      </c>
      <c r="DX195" s="315">
        <v>-9779</v>
      </c>
      <c r="DY195" s="315">
        <v>-11438</v>
      </c>
      <c r="DZ195" s="315">
        <v>-723</v>
      </c>
      <c r="EA195" s="315">
        <v>-48</v>
      </c>
      <c r="EB195" s="315">
        <v>-4</v>
      </c>
      <c r="EC195" s="315"/>
      <c r="ED195" s="315"/>
      <c r="EE195" s="315">
        <v>0</v>
      </c>
      <c r="EF195" s="315">
        <v>1757536</v>
      </c>
      <c r="EG195" s="315">
        <v>967702</v>
      </c>
      <c r="EH195" s="315">
        <v>789834</v>
      </c>
      <c r="EI195" s="315">
        <v>769078</v>
      </c>
      <c r="EJ195" s="315">
        <v>20756</v>
      </c>
      <c r="EK195" s="315">
        <v>95438</v>
      </c>
      <c r="EL195" s="315">
        <v>70164</v>
      </c>
      <c r="EM195" s="315">
        <v>25274</v>
      </c>
      <c r="EN195" s="315">
        <v>26296</v>
      </c>
      <c r="EO195" s="315">
        <v>-1022</v>
      </c>
      <c r="EP195" s="315">
        <v>26790</v>
      </c>
      <c r="EQ195" s="315">
        <v>18076</v>
      </c>
      <c r="ER195" s="315">
        <v>8714</v>
      </c>
      <c r="ES195" s="315">
        <v>8592</v>
      </c>
      <c r="ET195" s="315">
        <v>122</v>
      </c>
      <c r="EU195" s="315">
        <v>2509</v>
      </c>
      <c r="EV195" s="315">
        <v>1952</v>
      </c>
      <c r="EW195" s="315">
        <v>557</v>
      </c>
      <c r="EX195" s="315">
        <v>588</v>
      </c>
      <c r="EY195" s="315">
        <v>-31</v>
      </c>
      <c r="EZ195" s="315">
        <v>878419</v>
      </c>
      <c r="FA195" s="315">
        <v>533745</v>
      </c>
      <c r="FB195" s="315">
        <v>344674</v>
      </c>
      <c r="FC195" s="315">
        <v>341726</v>
      </c>
      <c r="FD195" s="315">
        <v>2948</v>
      </c>
      <c r="FE195" s="315">
        <v>640282</v>
      </c>
      <c r="FF195" s="315">
        <v>344235</v>
      </c>
      <c r="FG195" s="315">
        <v>296047</v>
      </c>
      <c r="FH195" s="315">
        <v>277308</v>
      </c>
      <c r="FI195" s="315">
        <v>18739</v>
      </c>
      <c r="FJ195" s="315">
        <v>113880</v>
      </c>
      <c r="FK195" s="315">
        <v>-688</v>
      </c>
      <c r="FL195" s="315">
        <v>114568</v>
      </c>
      <c r="FM195" s="315">
        <v>114568</v>
      </c>
      <c r="FN195" s="315"/>
      <c r="FO195" s="315"/>
      <c r="FP195" s="315"/>
      <c r="FQ195" s="315">
        <v>218</v>
      </c>
      <c r="FR195" s="315">
        <v>339720</v>
      </c>
      <c r="FS195" s="315">
        <v>-8602</v>
      </c>
      <c r="FT195" s="315">
        <v>331118</v>
      </c>
      <c r="FU195" s="315"/>
      <c r="FV195" s="315"/>
      <c r="FW195" s="315"/>
      <c r="FX195" s="315">
        <v>152440</v>
      </c>
      <c r="FY195" s="315">
        <v>4496</v>
      </c>
      <c r="FZ195" s="315"/>
      <c r="GA195" s="315"/>
      <c r="GB195" s="315"/>
      <c r="GC195" s="315">
        <v>78139</v>
      </c>
      <c r="GD195" s="315">
        <v>23188</v>
      </c>
      <c r="GE195" s="315"/>
      <c r="GF195" s="315">
        <v>54951</v>
      </c>
      <c r="GG195" s="315">
        <v>96043</v>
      </c>
      <c r="GH195" s="315">
        <v>6434</v>
      </c>
      <c r="GI195" s="315">
        <v>615</v>
      </c>
      <c r="GJ195" s="315">
        <v>88994</v>
      </c>
      <c r="GL195"/>
      <c r="GM195"/>
      <c r="GN195"/>
      <c r="GO195"/>
    </row>
    <row r="196" spans="1:197">
      <c r="A196" s="98" t="s">
        <v>28</v>
      </c>
      <c r="B196" s="98">
        <v>9</v>
      </c>
      <c r="C196" s="98" t="s">
        <v>225</v>
      </c>
      <c r="D196" s="315">
        <v>19297587</v>
      </c>
      <c r="E196" s="315">
        <v>-2798661</v>
      </c>
      <c r="F196" s="315">
        <v>-13267</v>
      </c>
      <c r="G196" s="315">
        <v>16485659</v>
      </c>
      <c r="H196" s="315">
        <v>12510821</v>
      </c>
      <c r="I196" s="315">
        <v>3974838</v>
      </c>
      <c r="J196" s="315">
        <v>3854290</v>
      </c>
      <c r="K196" s="315">
        <v>120548</v>
      </c>
      <c r="L196" s="315">
        <v>7769819</v>
      </c>
      <c r="M196" s="315">
        <v>6925761</v>
      </c>
      <c r="N196" s="315">
        <v>72957</v>
      </c>
      <c r="O196" s="315">
        <v>18775</v>
      </c>
      <c r="P196" s="315">
        <v>54182</v>
      </c>
      <c r="Q196" s="315">
        <v>26558</v>
      </c>
      <c r="R196" s="315">
        <v>744543</v>
      </c>
      <c r="S196" s="315">
        <v>-579647</v>
      </c>
      <c r="T196" s="315">
        <v>-554520</v>
      </c>
      <c r="U196" s="315">
        <v>-153333</v>
      </c>
      <c r="V196" s="315">
        <v>-46</v>
      </c>
      <c r="W196" s="315">
        <v>-378084</v>
      </c>
      <c r="X196" s="315">
        <v>0</v>
      </c>
      <c r="Y196" s="315">
        <v>-23057</v>
      </c>
      <c r="Z196" s="315">
        <v>-6480</v>
      </c>
      <c r="AA196" s="315">
        <v>-18647</v>
      </c>
      <c r="AB196" s="315">
        <v>0</v>
      </c>
      <c r="AC196" s="315">
        <v>-13267</v>
      </c>
      <c r="AD196" s="315">
        <v>7176905</v>
      </c>
      <c r="AE196" s="315">
        <v>5081003</v>
      </c>
      <c r="AF196" s="315">
        <v>2095902</v>
      </c>
      <c r="AG196" s="315">
        <v>2029601</v>
      </c>
      <c r="AH196" s="315">
        <v>66301</v>
      </c>
      <c r="AI196" s="315">
        <v>6907799</v>
      </c>
      <c r="AJ196" s="315">
        <v>2319064</v>
      </c>
      <c r="AK196" s="315">
        <v>4496574</v>
      </c>
      <c r="AL196" s="315">
        <v>5115</v>
      </c>
      <c r="AM196" s="315">
        <v>599907</v>
      </c>
      <c r="AN196" s="315">
        <v>89126</v>
      </c>
      <c r="AO196" s="315">
        <v>45789</v>
      </c>
      <c r="AP196" s="315"/>
      <c r="AQ196" s="315">
        <v>9036</v>
      </c>
      <c r="AR196" s="315">
        <v>-481563</v>
      </c>
      <c r="AS196" s="315">
        <v>20078</v>
      </c>
      <c r="AT196" s="315">
        <v>0</v>
      </c>
      <c r="AU196" s="315">
        <v>-13267</v>
      </c>
      <c r="AV196" s="315">
        <v>777609</v>
      </c>
      <c r="AW196" s="315">
        <v>9979</v>
      </c>
      <c r="AX196" s="315">
        <v>243558</v>
      </c>
      <c r="AY196" s="315">
        <v>30672</v>
      </c>
      <c r="AZ196" s="315">
        <v>78316</v>
      </c>
      <c r="BA196" s="315">
        <v>4338</v>
      </c>
      <c r="BB196" s="315">
        <v>130232</v>
      </c>
      <c r="BC196" s="315">
        <v>217575</v>
      </c>
      <c r="BD196" s="315">
        <v>306497</v>
      </c>
      <c r="BE196" s="315">
        <v>-80880</v>
      </c>
      <c r="BF196" s="315">
        <v>-58601</v>
      </c>
      <c r="BG196" s="315">
        <v>-48633</v>
      </c>
      <c r="BH196" s="315">
        <v>-9968</v>
      </c>
      <c r="BI196" s="315">
        <v>0</v>
      </c>
      <c r="BJ196" s="315">
        <v>-30040.000000000004</v>
      </c>
      <c r="BK196" s="315">
        <v>-28560.999999999996</v>
      </c>
      <c r="BL196" s="315">
        <v>-1154</v>
      </c>
      <c r="BM196" s="315">
        <v>-21125</v>
      </c>
      <c r="BN196" s="315">
        <v>696729</v>
      </c>
      <c r="BO196" s="315">
        <v>232587</v>
      </c>
      <c r="BP196" s="315">
        <v>32840</v>
      </c>
      <c r="BQ196" s="315">
        <v>19489</v>
      </c>
      <c r="BR196" s="315"/>
      <c r="BS196" s="315">
        <v>9066</v>
      </c>
      <c r="BT196" s="315">
        <v>55</v>
      </c>
      <c r="BU196" s="315">
        <v>1</v>
      </c>
      <c r="BV196" s="315">
        <v>248</v>
      </c>
      <c r="BW196" s="315">
        <v>8762</v>
      </c>
      <c r="BX196" s="315">
        <v>194925</v>
      </c>
      <c r="BY196" s="315">
        <v>207607</v>
      </c>
      <c r="BZ196" s="315">
        <v>215</v>
      </c>
      <c r="CA196" s="315">
        <v>353157</v>
      </c>
      <c r="CB196" s="315">
        <v>-22633</v>
      </c>
      <c r="CC196" s="315">
        <v>-5349</v>
      </c>
      <c r="CD196" s="315">
        <v>-17284</v>
      </c>
      <c r="CE196" s="315">
        <v>330524</v>
      </c>
      <c r="CF196" s="315">
        <v>344098</v>
      </c>
      <c r="CG196" s="315">
        <v>-5</v>
      </c>
      <c r="CH196" s="315">
        <v>-13569</v>
      </c>
      <c r="CI196" s="315">
        <v>8134263</v>
      </c>
      <c r="CJ196" s="315">
        <v>659782</v>
      </c>
      <c r="CK196" s="315">
        <v>7474481</v>
      </c>
      <c r="CL196" s="315">
        <v>7084733</v>
      </c>
      <c r="CM196" s="315">
        <v>93243</v>
      </c>
      <c r="CN196" s="315">
        <v>296505</v>
      </c>
      <c r="CO196" s="315">
        <v>0</v>
      </c>
      <c r="CP196" s="315">
        <v>0</v>
      </c>
      <c r="CQ196" s="315">
        <v>296505</v>
      </c>
      <c r="CR196" s="315">
        <v>-2029328</v>
      </c>
      <c r="CS196" s="315">
        <v>-525370</v>
      </c>
      <c r="CT196" s="315">
        <v>-440116</v>
      </c>
      <c r="CU196" s="315">
        <v>-27114</v>
      </c>
      <c r="CV196" s="315">
        <v>-934</v>
      </c>
      <c r="CW196" s="315">
        <v>-57206</v>
      </c>
      <c r="CX196" s="315">
        <v>-1433641</v>
      </c>
      <c r="CY196" s="315">
        <v>-1358533</v>
      </c>
      <c r="CZ196" s="315">
        <v>-72803</v>
      </c>
      <c r="DA196" s="315">
        <v>-2305</v>
      </c>
      <c r="DB196" s="315">
        <v>0</v>
      </c>
      <c r="DC196" s="315">
        <v>-70317</v>
      </c>
      <c r="DD196" s="315">
        <v>6104935</v>
      </c>
      <c r="DE196" s="315">
        <v>5013807</v>
      </c>
      <c r="DF196" s="315">
        <v>1091128</v>
      </c>
      <c r="DG196" s="315">
        <v>1055611</v>
      </c>
      <c r="DH196" s="315">
        <v>35517</v>
      </c>
      <c r="DI196" s="315">
        <v>1727330</v>
      </c>
      <c r="DJ196" s="315">
        <v>94322</v>
      </c>
      <c r="DK196" s="315">
        <v>30015</v>
      </c>
      <c r="DL196" s="315">
        <v>1089</v>
      </c>
      <c r="DM196" s="315">
        <v>841166</v>
      </c>
      <c r="DN196" s="315">
        <v>642199</v>
      </c>
      <c r="DO196" s="315">
        <v>118493</v>
      </c>
      <c r="DP196" s="315"/>
      <c r="DQ196" s="315"/>
      <c r="DR196" s="315">
        <v>46</v>
      </c>
      <c r="DS196" s="315">
        <v>-32112</v>
      </c>
      <c r="DT196" s="315">
        <v>-1706</v>
      </c>
      <c r="DU196" s="315">
        <v>-22</v>
      </c>
      <c r="DV196" s="315">
        <v>-17</v>
      </c>
      <c r="DW196" s="315">
        <v>-18134</v>
      </c>
      <c r="DX196" s="315">
        <v>-9343</v>
      </c>
      <c r="DY196" s="315">
        <v>-8332</v>
      </c>
      <c r="DZ196" s="315">
        <v>-459</v>
      </c>
      <c r="EA196" s="315">
        <v>-12197</v>
      </c>
      <c r="EB196" s="315">
        <v>-25</v>
      </c>
      <c r="EC196" s="315"/>
      <c r="ED196" s="315"/>
      <c r="EE196" s="315">
        <v>-11</v>
      </c>
      <c r="EF196" s="315">
        <v>1695218</v>
      </c>
      <c r="EG196" s="315">
        <v>907410</v>
      </c>
      <c r="EH196" s="315">
        <v>787808</v>
      </c>
      <c r="EI196" s="315">
        <v>769078</v>
      </c>
      <c r="EJ196" s="315">
        <v>18730</v>
      </c>
      <c r="EK196" s="315">
        <v>92616</v>
      </c>
      <c r="EL196" s="315">
        <v>65502</v>
      </c>
      <c r="EM196" s="315">
        <v>27114</v>
      </c>
      <c r="EN196" s="315">
        <v>26297</v>
      </c>
      <c r="EO196" s="315">
        <v>817</v>
      </c>
      <c r="EP196" s="315">
        <v>29993</v>
      </c>
      <c r="EQ196" s="315">
        <v>21151</v>
      </c>
      <c r="ER196" s="315">
        <v>8842</v>
      </c>
      <c r="ES196" s="315">
        <v>8591</v>
      </c>
      <c r="ET196" s="315">
        <v>251</v>
      </c>
      <c r="EU196" s="315">
        <v>1072</v>
      </c>
      <c r="EV196" s="315">
        <v>466</v>
      </c>
      <c r="EW196" s="315">
        <v>606</v>
      </c>
      <c r="EX196" s="315">
        <v>588</v>
      </c>
      <c r="EY196" s="315">
        <v>18</v>
      </c>
      <c r="EZ196" s="315">
        <v>823032</v>
      </c>
      <c r="FA196" s="315">
        <v>471151</v>
      </c>
      <c r="FB196" s="315">
        <v>351881</v>
      </c>
      <c r="FC196" s="315">
        <v>341726</v>
      </c>
      <c r="FD196" s="315">
        <v>10155</v>
      </c>
      <c r="FE196" s="315">
        <v>630002</v>
      </c>
      <c r="FF196" s="315">
        <v>345206</v>
      </c>
      <c r="FG196" s="315">
        <v>284796</v>
      </c>
      <c r="FH196" s="315">
        <v>277307</v>
      </c>
      <c r="FI196" s="315">
        <v>7489</v>
      </c>
      <c r="FJ196" s="315">
        <v>118468</v>
      </c>
      <c r="FK196" s="315">
        <v>3899</v>
      </c>
      <c r="FL196" s="315">
        <v>114569</v>
      </c>
      <c r="FM196" s="315">
        <v>114569</v>
      </c>
      <c r="FN196" s="315"/>
      <c r="FO196" s="315"/>
      <c r="FP196" s="315"/>
      <c r="FQ196" s="315">
        <v>35</v>
      </c>
      <c r="FR196" s="315">
        <v>535409</v>
      </c>
      <c r="FS196" s="315">
        <v>-54061</v>
      </c>
      <c r="FT196" s="315">
        <v>481348</v>
      </c>
      <c r="FU196" s="315"/>
      <c r="FV196" s="315"/>
      <c r="FW196" s="315"/>
      <c r="FX196" s="315">
        <v>140912</v>
      </c>
      <c r="FY196" s="315">
        <v>241253</v>
      </c>
      <c r="FZ196" s="315"/>
      <c r="GA196" s="315"/>
      <c r="GB196" s="315"/>
      <c r="GC196" s="315">
        <v>9593</v>
      </c>
      <c r="GD196" s="315">
        <v>-41121</v>
      </c>
      <c r="GE196" s="315"/>
      <c r="GF196" s="315">
        <v>50714</v>
      </c>
      <c r="GG196" s="315">
        <v>89590</v>
      </c>
      <c r="GH196" s="315">
        <v>5611</v>
      </c>
      <c r="GI196" s="315">
        <v>257</v>
      </c>
      <c r="GJ196" s="315">
        <v>83722</v>
      </c>
      <c r="GL196"/>
      <c r="GM196"/>
      <c r="GN196"/>
      <c r="GO196"/>
    </row>
    <row r="197" spans="1:197">
      <c r="A197" s="98" t="s">
        <v>28</v>
      </c>
      <c r="B197" s="98">
        <v>10</v>
      </c>
      <c r="C197" s="98" t="s">
        <v>226</v>
      </c>
      <c r="D197" s="315">
        <v>26151542</v>
      </c>
      <c r="E197" s="315">
        <v>-3766376</v>
      </c>
      <c r="F197" s="315">
        <v>-13266</v>
      </c>
      <c r="G197" s="315">
        <v>22371900</v>
      </c>
      <c r="H197" s="315">
        <v>18397061</v>
      </c>
      <c r="I197" s="315">
        <v>3974839</v>
      </c>
      <c r="J197" s="315">
        <v>3854290</v>
      </c>
      <c r="K197" s="315">
        <v>120549</v>
      </c>
      <c r="L197" s="315">
        <v>8560711</v>
      </c>
      <c r="M197" s="315">
        <v>7112373</v>
      </c>
      <c r="N197" s="315">
        <v>95400</v>
      </c>
      <c r="O197" s="315">
        <v>30429</v>
      </c>
      <c r="P197" s="315">
        <v>64971</v>
      </c>
      <c r="Q197" s="315">
        <v>30812</v>
      </c>
      <c r="R197" s="315">
        <v>1322126</v>
      </c>
      <c r="S197" s="315">
        <v>-694555</v>
      </c>
      <c r="T197" s="315">
        <v>-681702</v>
      </c>
      <c r="U197" s="315">
        <v>-152658</v>
      </c>
      <c r="V197" s="315">
        <v>-48</v>
      </c>
      <c r="W197" s="315">
        <v>-508162</v>
      </c>
      <c r="X197" s="315">
        <v>0</v>
      </c>
      <c r="Y197" s="315">
        <v>-20834</v>
      </c>
      <c r="Z197" s="315">
        <v>-6507</v>
      </c>
      <c r="AA197" s="315">
        <v>-6346</v>
      </c>
      <c r="AB197" s="315">
        <v>0</v>
      </c>
      <c r="AC197" s="315">
        <v>-13266</v>
      </c>
      <c r="AD197" s="315">
        <v>7852890</v>
      </c>
      <c r="AE197" s="315">
        <v>5756986</v>
      </c>
      <c r="AF197" s="315">
        <v>2095904</v>
      </c>
      <c r="AG197" s="315">
        <v>2029602</v>
      </c>
      <c r="AH197" s="315">
        <v>66302</v>
      </c>
      <c r="AI197" s="315">
        <v>7107515</v>
      </c>
      <c r="AJ197" s="315">
        <v>1275801</v>
      </c>
      <c r="AK197" s="315">
        <v>2233286</v>
      </c>
      <c r="AL197" s="315">
        <v>3489250</v>
      </c>
      <c r="AM197" s="315">
        <v>362960</v>
      </c>
      <c r="AN197" s="315">
        <v>395188</v>
      </c>
      <c r="AO197" s="315">
        <v>31397</v>
      </c>
      <c r="AP197" s="315"/>
      <c r="AQ197" s="315">
        <v>531093</v>
      </c>
      <c r="AR197" s="315">
        <v>-586302</v>
      </c>
      <c r="AS197" s="315">
        <v>24305</v>
      </c>
      <c r="AT197" s="315">
        <v>0</v>
      </c>
      <c r="AU197" s="315">
        <v>-13266</v>
      </c>
      <c r="AV197" s="315">
        <v>5949408</v>
      </c>
      <c r="AW197" s="315">
        <v>5004894</v>
      </c>
      <c r="AX197" s="315">
        <v>114702</v>
      </c>
      <c r="AY197" s="315">
        <v>15323</v>
      </c>
      <c r="AZ197" s="315">
        <v>21512</v>
      </c>
      <c r="BA197" s="315">
        <v>8284</v>
      </c>
      <c r="BB197" s="315">
        <v>69583</v>
      </c>
      <c r="BC197" s="315">
        <v>219856</v>
      </c>
      <c r="BD197" s="315">
        <v>609956</v>
      </c>
      <c r="BE197" s="315">
        <v>-753376</v>
      </c>
      <c r="BF197" s="315">
        <v>-749883</v>
      </c>
      <c r="BG197" s="315">
        <v>-738242</v>
      </c>
      <c r="BH197" s="315">
        <v>-11641</v>
      </c>
      <c r="BI197" s="315">
        <v>-695536</v>
      </c>
      <c r="BJ197" s="315">
        <v>-22352.999999999996</v>
      </c>
      <c r="BK197" s="315">
        <v>-31994.000000000004</v>
      </c>
      <c r="BL197" s="315">
        <v>-3050</v>
      </c>
      <c r="BM197" s="315">
        <v>-443</v>
      </c>
      <c r="BN197" s="315">
        <v>5196032</v>
      </c>
      <c r="BO197" s="315">
        <v>431865</v>
      </c>
      <c r="BP197" s="315">
        <v>163729</v>
      </c>
      <c r="BQ197" s="315">
        <v>13360</v>
      </c>
      <c r="BR197" s="315"/>
      <c r="BS197" s="315">
        <v>5002409</v>
      </c>
      <c r="BT197" s="315">
        <v>1720545</v>
      </c>
      <c r="BU197" s="315">
        <v>2522283</v>
      </c>
      <c r="BV197" s="315">
        <v>748068</v>
      </c>
      <c r="BW197" s="315">
        <v>11513</v>
      </c>
      <c r="BX197" s="315">
        <v>-623540</v>
      </c>
      <c r="BY197" s="315">
        <v>208215</v>
      </c>
      <c r="BZ197" s="315">
        <v>-6</v>
      </c>
      <c r="CA197" s="315">
        <v>359838</v>
      </c>
      <c r="CB197" s="315">
        <v>-12773</v>
      </c>
      <c r="CC197" s="315">
        <v>-12410</v>
      </c>
      <c r="CD197" s="315">
        <v>-363</v>
      </c>
      <c r="CE197" s="315">
        <v>347065</v>
      </c>
      <c r="CF197" s="315">
        <v>101107</v>
      </c>
      <c r="CG197" s="315">
        <v>14895</v>
      </c>
      <c r="CH197" s="315">
        <v>231063</v>
      </c>
      <c r="CI197" s="315">
        <v>9115289</v>
      </c>
      <c r="CJ197" s="315">
        <v>773924</v>
      </c>
      <c r="CK197" s="315">
        <v>8341365</v>
      </c>
      <c r="CL197" s="315">
        <v>3312959</v>
      </c>
      <c r="CM197" s="315">
        <v>4655482</v>
      </c>
      <c r="CN197" s="315">
        <v>372924</v>
      </c>
      <c r="CO197" s="315">
        <v>0</v>
      </c>
      <c r="CP197" s="315">
        <v>0</v>
      </c>
      <c r="CQ197" s="315">
        <v>372924</v>
      </c>
      <c r="CR197" s="315">
        <v>-2179045</v>
      </c>
      <c r="CS197" s="315">
        <v>-481764</v>
      </c>
      <c r="CT197" s="315">
        <v>-412997</v>
      </c>
      <c r="CU197" s="315">
        <v>-11464</v>
      </c>
      <c r="CV197" s="315">
        <v>-593</v>
      </c>
      <c r="CW197" s="315">
        <v>-56710</v>
      </c>
      <c r="CX197" s="315">
        <v>-1388153</v>
      </c>
      <c r="CY197" s="315">
        <v>-1326943</v>
      </c>
      <c r="CZ197" s="315">
        <v>-55858</v>
      </c>
      <c r="DA197" s="315">
        <v>-5352</v>
      </c>
      <c r="DB197" s="315">
        <v>-309128</v>
      </c>
      <c r="DC197" s="315">
        <v>0</v>
      </c>
      <c r="DD197" s="315">
        <v>6936244</v>
      </c>
      <c r="DE197" s="315">
        <v>5845115</v>
      </c>
      <c r="DF197" s="315">
        <v>1091129</v>
      </c>
      <c r="DG197" s="315">
        <v>1055611</v>
      </c>
      <c r="DH197" s="315">
        <v>35518</v>
      </c>
      <c r="DI197" s="315">
        <v>1709429</v>
      </c>
      <c r="DJ197" s="315">
        <v>55899</v>
      </c>
      <c r="DK197" s="315">
        <v>34026</v>
      </c>
      <c r="DL197" s="315">
        <v>1107</v>
      </c>
      <c r="DM197" s="315">
        <v>862912</v>
      </c>
      <c r="DN197" s="315">
        <v>646316</v>
      </c>
      <c r="DO197" s="315">
        <v>109083</v>
      </c>
      <c r="DP197" s="315"/>
      <c r="DQ197" s="315"/>
      <c r="DR197" s="315">
        <v>86</v>
      </c>
      <c r="DS197" s="315">
        <v>-94638</v>
      </c>
      <c r="DT197" s="315">
        <v>-10474</v>
      </c>
      <c r="DU197" s="315">
        <v>-5270</v>
      </c>
      <c r="DV197" s="315">
        <v>-27</v>
      </c>
      <c r="DW197" s="315">
        <v>-14846</v>
      </c>
      <c r="DX197" s="315">
        <v>-8491</v>
      </c>
      <c r="DY197" s="315">
        <v>-5387</v>
      </c>
      <c r="DZ197" s="315">
        <v>-968</v>
      </c>
      <c r="EA197" s="315">
        <v>-57505</v>
      </c>
      <c r="EB197" s="315">
        <v>-6508</v>
      </c>
      <c r="EC197" s="315"/>
      <c r="ED197" s="315"/>
      <c r="EE197" s="315">
        <v>-8</v>
      </c>
      <c r="EF197" s="315">
        <v>1614791</v>
      </c>
      <c r="EG197" s="315">
        <v>826985</v>
      </c>
      <c r="EH197" s="315">
        <v>787806</v>
      </c>
      <c r="EI197" s="315">
        <v>769077</v>
      </c>
      <c r="EJ197" s="315">
        <v>18729</v>
      </c>
      <c r="EK197" s="315">
        <v>45425</v>
      </c>
      <c r="EL197" s="315">
        <v>18312</v>
      </c>
      <c r="EM197" s="315">
        <v>27113</v>
      </c>
      <c r="EN197" s="315">
        <v>26297</v>
      </c>
      <c r="EO197" s="315">
        <v>816</v>
      </c>
      <c r="EP197" s="315">
        <v>28756</v>
      </c>
      <c r="EQ197" s="315">
        <v>19915</v>
      </c>
      <c r="ER197" s="315">
        <v>8841</v>
      </c>
      <c r="ES197" s="315">
        <v>8591</v>
      </c>
      <c r="ET197" s="315">
        <v>250</v>
      </c>
      <c r="EU197" s="315">
        <v>1080</v>
      </c>
      <c r="EV197" s="315">
        <v>473</v>
      </c>
      <c r="EW197" s="315">
        <v>607</v>
      </c>
      <c r="EX197" s="315">
        <v>588</v>
      </c>
      <c r="EY197" s="315">
        <v>19</v>
      </c>
      <c r="EZ197" s="315">
        <v>848066</v>
      </c>
      <c r="FA197" s="315">
        <v>496185</v>
      </c>
      <c r="FB197" s="315">
        <v>351881</v>
      </c>
      <c r="FC197" s="315">
        <v>341726</v>
      </c>
      <c r="FD197" s="315">
        <v>10155</v>
      </c>
      <c r="FE197" s="315">
        <v>588811</v>
      </c>
      <c r="FF197" s="315">
        <v>304015</v>
      </c>
      <c r="FG197" s="315">
        <v>284796</v>
      </c>
      <c r="FH197" s="315">
        <v>277307</v>
      </c>
      <c r="FI197" s="315">
        <v>7489</v>
      </c>
      <c r="FJ197" s="315">
        <v>102575</v>
      </c>
      <c r="FK197" s="315">
        <v>-11993</v>
      </c>
      <c r="FL197" s="315">
        <v>114568</v>
      </c>
      <c r="FM197" s="315">
        <v>114568</v>
      </c>
      <c r="FN197" s="315"/>
      <c r="FO197" s="315"/>
      <c r="FP197" s="315"/>
      <c r="FQ197" s="315">
        <v>78</v>
      </c>
      <c r="FR197" s="315">
        <v>456867</v>
      </c>
      <c r="FS197" s="315">
        <v>-31989</v>
      </c>
      <c r="FT197" s="315">
        <v>424878</v>
      </c>
      <c r="FU197" s="315"/>
      <c r="FV197" s="315"/>
      <c r="FW197" s="315"/>
      <c r="FX197" s="315">
        <v>154381</v>
      </c>
      <c r="FY197" s="315">
        <v>110072</v>
      </c>
      <c r="FZ197" s="315"/>
      <c r="GA197" s="315"/>
      <c r="GB197" s="315"/>
      <c r="GC197" s="315">
        <v>36517</v>
      </c>
      <c r="GD197" s="315">
        <v>-20411</v>
      </c>
      <c r="GE197" s="315"/>
      <c r="GF197" s="315">
        <v>56928</v>
      </c>
      <c r="GG197" s="315">
        <v>123908</v>
      </c>
      <c r="GH197" s="315">
        <v>8295</v>
      </c>
      <c r="GI197" s="315">
        <v>28099</v>
      </c>
      <c r="GJ197" s="315">
        <v>87514</v>
      </c>
      <c r="GL197"/>
      <c r="GM197"/>
      <c r="GN197"/>
      <c r="GO197"/>
    </row>
    <row r="198" spans="1:197">
      <c r="A198" s="98" t="s">
        <v>28</v>
      </c>
      <c r="B198" s="98">
        <v>11</v>
      </c>
      <c r="C198" s="98" t="s">
        <v>227</v>
      </c>
      <c r="D198" s="315">
        <v>13340008</v>
      </c>
      <c r="E198" s="315">
        <v>-3334229</v>
      </c>
      <c r="F198" s="315">
        <v>-13266</v>
      </c>
      <c r="G198" s="315">
        <v>9992513</v>
      </c>
      <c r="H198" s="315">
        <v>6017673</v>
      </c>
      <c r="I198" s="315">
        <v>3974840</v>
      </c>
      <c r="J198" s="315">
        <v>3854291</v>
      </c>
      <c r="K198" s="315">
        <v>120549</v>
      </c>
      <c r="L198" s="315">
        <v>6065725</v>
      </c>
      <c r="M198" s="315">
        <v>3624955</v>
      </c>
      <c r="N198" s="315">
        <v>1997259</v>
      </c>
      <c r="O198" s="315">
        <v>1925159</v>
      </c>
      <c r="P198" s="315">
        <v>72100</v>
      </c>
      <c r="Q198" s="315">
        <v>43619</v>
      </c>
      <c r="R198" s="315">
        <v>399892</v>
      </c>
      <c r="S198" s="315">
        <v>-748071</v>
      </c>
      <c r="T198" s="315">
        <v>-712741</v>
      </c>
      <c r="U198" s="315">
        <v>-160214</v>
      </c>
      <c r="V198" s="315">
        <v>-38</v>
      </c>
      <c r="W198" s="315">
        <v>-529891</v>
      </c>
      <c r="X198" s="315">
        <v>0</v>
      </c>
      <c r="Y198" s="315">
        <v>-22598</v>
      </c>
      <c r="Z198" s="315">
        <v>-30992</v>
      </c>
      <c r="AA198" s="315">
        <v>-4338</v>
      </c>
      <c r="AB198" s="315">
        <v>0</v>
      </c>
      <c r="AC198" s="315">
        <v>-13266</v>
      </c>
      <c r="AD198" s="315">
        <v>5304388</v>
      </c>
      <c r="AE198" s="315">
        <v>3208485</v>
      </c>
      <c r="AF198" s="315">
        <v>2095903</v>
      </c>
      <c r="AG198" s="315">
        <v>2029601</v>
      </c>
      <c r="AH198" s="315">
        <v>66302</v>
      </c>
      <c r="AI198" s="315">
        <v>3621640</v>
      </c>
      <c r="AJ198" s="315">
        <v>1311230</v>
      </c>
      <c r="AK198" s="315">
        <v>2168796</v>
      </c>
      <c r="AL198" s="315">
        <v>12975</v>
      </c>
      <c r="AM198" s="315">
        <v>300646</v>
      </c>
      <c r="AN198" s="315">
        <v>56129</v>
      </c>
      <c r="AO198" s="315">
        <v>29192</v>
      </c>
      <c r="AP198" s="315"/>
      <c r="AQ198" s="315">
        <v>12902</v>
      </c>
      <c r="AR198" s="315">
        <v>1284518</v>
      </c>
      <c r="AS198" s="315">
        <v>12627</v>
      </c>
      <c r="AT198" s="315">
        <v>0</v>
      </c>
      <c r="AU198" s="315">
        <v>-13266</v>
      </c>
      <c r="AV198" s="315">
        <v>473751</v>
      </c>
      <c r="AW198" s="315">
        <v>34059</v>
      </c>
      <c r="AX198" s="315">
        <v>123786</v>
      </c>
      <c r="AY198" s="315">
        <v>29155</v>
      </c>
      <c r="AZ198" s="315">
        <v>16691</v>
      </c>
      <c r="BA198" s="315">
        <v>9024</v>
      </c>
      <c r="BB198" s="315">
        <v>68916</v>
      </c>
      <c r="BC198" s="315">
        <v>156724</v>
      </c>
      <c r="BD198" s="315">
        <v>159182</v>
      </c>
      <c r="BE198" s="315">
        <v>-519611</v>
      </c>
      <c r="BF198" s="315">
        <v>-517293</v>
      </c>
      <c r="BG198" s="315">
        <v>-505208</v>
      </c>
      <c r="BH198" s="315">
        <v>-12085</v>
      </c>
      <c r="BI198" s="315">
        <v>-451323.00000000006</v>
      </c>
      <c r="BJ198" s="315">
        <v>-15150</v>
      </c>
      <c r="BK198" s="315">
        <v>-50819.999999999942</v>
      </c>
      <c r="BL198" s="315">
        <v>-1189</v>
      </c>
      <c r="BM198" s="315">
        <v>-1129</v>
      </c>
      <c r="BN198" s="315">
        <v>-45860</v>
      </c>
      <c r="BO198" s="315">
        <v>125907</v>
      </c>
      <c r="BP198" s="315">
        <v>19365</v>
      </c>
      <c r="BQ198" s="315">
        <v>12418</v>
      </c>
      <c r="BR198" s="315"/>
      <c r="BS198" s="315">
        <v>33236</v>
      </c>
      <c r="BT198" s="315">
        <v>7516</v>
      </c>
      <c r="BU198" s="315">
        <v>70</v>
      </c>
      <c r="BV198" s="315">
        <v>2232</v>
      </c>
      <c r="BW198" s="315">
        <v>23418</v>
      </c>
      <c r="BX198" s="315">
        <v>-381422</v>
      </c>
      <c r="BY198" s="315">
        <v>144639</v>
      </c>
      <c r="BZ198" s="315">
        <v>-3</v>
      </c>
      <c r="CA198" s="315">
        <v>106522</v>
      </c>
      <c r="CB198" s="315">
        <v>-20416</v>
      </c>
      <c r="CC198" s="315">
        <v>-19095</v>
      </c>
      <c r="CD198" s="315">
        <v>-1321</v>
      </c>
      <c r="CE198" s="315">
        <v>86106</v>
      </c>
      <c r="CF198" s="315">
        <v>85984</v>
      </c>
      <c r="CG198" s="315">
        <v>54</v>
      </c>
      <c r="CH198" s="315">
        <v>68</v>
      </c>
      <c r="CI198" s="315">
        <v>4591555</v>
      </c>
      <c r="CJ198" s="315">
        <v>798749</v>
      </c>
      <c r="CK198" s="315">
        <v>3792806</v>
      </c>
      <c r="CL198" s="315">
        <v>3331183</v>
      </c>
      <c r="CM198" s="315">
        <v>85908</v>
      </c>
      <c r="CN198" s="315">
        <v>375715</v>
      </c>
      <c r="CO198" s="315">
        <v>0</v>
      </c>
      <c r="CP198" s="315">
        <v>0</v>
      </c>
      <c r="CQ198" s="315">
        <v>375715</v>
      </c>
      <c r="CR198" s="315">
        <v>-1985394</v>
      </c>
      <c r="CS198" s="315">
        <v>-367032</v>
      </c>
      <c r="CT198" s="315">
        <v>-300587</v>
      </c>
      <c r="CU198" s="315">
        <v>-11045</v>
      </c>
      <c r="CV198" s="315">
        <v>-583</v>
      </c>
      <c r="CW198" s="315">
        <v>-54817</v>
      </c>
      <c r="CX198" s="315">
        <v>-1618362</v>
      </c>
      <c r="CY198" s="315">
        <v>-1587740</v>
      </c>
      <c r="CZ198" s="315">
        <v>-20027</v>
      </c>
      <c r="DA198" s="315">
        <v>-10595</v>
      </c>
      <c r="DB198" s="315">
        <v>0</v>
      </c>
      <c r="DC198" s="315">
        <v>0</v>
      </c>
      <c r="DD198" s="315">
        <v>2606161</v>
      </c>
      <c r="DE198" s="315">
        <v>1515034</v>
      </c>
      <c r="DF198" s="315">
        <v>1091127</v>
      </c>
      <c r="DG198" s="315">
        <v>1055611</v>
      </c>
      <c r="DH198" s="315">
        <v>35516</v>
      </c>
      <c r="DI198" s="315">
        <v>1683082</v>
      </c>
      <c r="DJ198" s="315">
        <v>93203</v>
      </c>
      <c r="DK198" s="315">
        <v>31336</v>
      </c>
      <c r="DL198" s="315">
        <v>1918</v>
      </c>
      <c r="DM198" s="315">
        <v>817132</v>
      </c>
      <c r="DN198" s="315">
        <v>633959</v>
      </c>
      <c r="DO198" s="315">
        <v>105484</v>
      </c>
      <c r="DP198" s="315"/>
      <c r="DQ198" s="315"/>
      <c r="DR198" s="315">
        <v>50</v>
      </c>
      <c r="DS198" s="315">
        <v>-24590</v>
      </c>
      <c r="DT198" s="315">
        <v>-961</v>
      </c>
      <c r="DU198" s="315">
        <v>-130</v>
      </c>
      <c r="DV198" s="315">
        <v>-6</v>
      </c>
      <c r="DW198" s="315">
        <v>-23368</v>
      </c>
      <c r="DX198" s="315">
        <v>-9885</v>
      </c>
      <c r="DY198" s="315">
        <v>-12186</v>
      </c>
      <c r="DZ198" s="315">
        <v>-1297</v>
      </c>
      <c r="EA198" s="315">
        <v>0</v>
      </c>
      <c r="EB198" s="315">
        <v>-11</v>
      </c>
      <c r="EC198" s="315"/>
      <c r="ED198" s="315"/>
      <c r="EE198" s="315">
        <v>-114</v>
      </c>
      <c r="EF198" s="315">
        <v>1658492</v>
      </c>
      <c r="EG198" s="315">
        <v>870682</v>
      </c>
      <c r="EH198" s="315">
        <v>787810</v>
      </c>
      <c r="EI198" s="315">
        <v>769079</v>
      </c>
      <c r="EJ198" s="315">
        <v>18731</v>
      </c>
      <c r="EK198" s="315">
        <v>92242</v>
      </c>
      <c r="EL198" s="315">
        <v>65129</v>
      </c>
      <c r="EM198" s="315">
        <v>27113</v>
      </c>
      <c r="EN198" s="315">
        <v>26296</v>
      </c>
      <c r="EO198" s="315">
        <v>817</v>
      </c>
      <c r="EP198" s="315">
        <v>31206</v>
      </c>
      <c r="EQ198" s="315">
        <v>22363</v>
      </c>
      <c r="ER198" s="315">
        <v>8843</v>
      </c>
      <c r="ES198" s="315">
        <v>8592</v>
      </c>
      <c r="ET198" s="315">
        <v>251</v>
      </c>
      <c r="EU198" s="315">
        <v>1912</v>
      </c>
      <c r="EV198" s="315">
        <v>1305</v>
      </c>
      <c r="EW198" s="315">
        <v>607</v>
      </c>
      <c r="EX198" s="315">
        <v>588</v>
      </c>
      <c r="EY198" s="315">
        <v>19</v>
      </c>
      <c r="EZ198" s="315">
        <v>793764</v>
      </c>
      <c r="FA198" s="315">
        <v>441883</v>
      </c>
      <c r="FB198" s="315">
        <v>351881</v>
      </c>
      <c r="FC198" s="315">
        <v>341726</v>
      </c>
      <c r="FD198" s="315">
        <v>10155</v>
      </c>
      <c r="FE198" s="315">
        <v>633959</v>
      </c>
      <c r="FF198" s="315">
        <v>349162</v>
      </c>
      <c r="FG198" s="315">
        <v>284797</v>
      </c>
      <c r="FH198" s="315">
        <v>277308</v>
      </c>
      <c r="FI198" s="315">
        <v>7489</v>
      </c>
      <c r="FJ198" s="315">
        <v>105473</v>
      </c>
      <c r="FK198" s="315">
        <v>-9096</v>
      </c>
      <c r="FL198" s="315">
        <v>114569</v>
      </c>
      <c r="FM198" s="315">
        <v>114569</v>
      </c>
      <c r="FN198" s="315"/>
      <c r="FO198" s="315"/>
      <c r="FP198" s="315"/>
      <c r="FQ198" s="315">
        <v>-64</v>
      </c>
      <c r="FR198" s="315">
        <v>419373</v>
      </c>
      <c r="FS198" s="315">
        <v>-36147</v>
      </c>
      <c r="FT198" s="315">
        <v>383226</v>
      </c>
      <c r="FU198" s="315"/>
      <c r="FV198" s="315"/>
      <c r="FW198" s="315"/>
      <c r="FX198" s="315">
        <v>140513</v>
      </c>
      <c r="FY198" s="315">
        <v>117121</v>
      </c>
      <c r="FZ198" s="315"/>
      <c r="GA198" s="315"/>
      <c r="GB198" s="315"/>
      <c r="GC198" s="315">
        <v>36699</v>
      </c>
      <c r="GD198" s="315">
        <v>-20774</v>
      </c>
      <c r="GE198" s="315"/>
      <c r="GF198" s="315">
        <v>57473</v>
      </c>
      <c r="GG198" s="315">
        <v>88893</v>
      </c>
      <c r="GH198" s="315">
        <v>6916</v>
      </c>
      <c r="GI198" s="315">
        <v>1321</v>
      </c>
      <c r="GJ198" s="315">
        <v>80656</v>
      </c>
      <c r="GL198"/>
      <c r="GM198"/>
      <c r="GN198"/>
      <c r="GO198"/>
    </row>
    <row r="199" spans="1:197">
      <c r="A199" s="98" t="s">
        <v>28</v>
      </c>
      <c r="B199" s="98">
        <v>12</v>
      </c>
      <c r="C199" s="98" t="s">
        <v>228</v>
      </c>
      <c r="D199" s="315">
        <v>14651694</v>
      </c>
      <c r="E199" s="315">
        <v>-6293852</v>
      </c>
      <c r="F199" s="315">
        <v>-13266</v>
      </c>
      <c r="G199" s="315">
        <v>8344576</v>
      </c>
      <c r="H199" s="315">
        <v>4369737</v>
      </c>
      <c r="I199" s="315">
        <v>3974839</v>
      </c>
      <c r="J199" s="315">
        <v>3854289</v>
      </c>
      <c r="K199" s="315">
        <v>120550</v>
      </c>
      <c r="L199" s="315">
        <v>4888910</v>
      </c>
      <c r="M199" s="315">
        <v>4284624</v>
      </c>
      <c r="N199" s="315">
        <v>90048</v>
      </c>
      <c r="O199" s="315">
        <v>30575</v>
      </c>
      <c r="P199" s="315">
        <v>59473</v>
      </c>
      <c r="Q199" s="315">
        <v>33644</v>
      </c>
      <c r="R199" s="315">
        <v>480594</v>
      </c>
      <c r="S199" s="315">
        <v>-493074</v>
      </c>
      <c r="T199" s="315">
        <v>-484392</v>
      </c>
      <c r="U199" s="315">
        <v>-155781</v>
      </c>
      <c r="V199" s="315">
        <v>-34</v>
      </c>
      <c r="W199" s="315">
        <v>-309243</v>
      </c>
      <c r="X199" s="315">
        <v>0</v>
      </c>
      <c r="Y199" s="315">
        <v>-19334</v>
      </c>
      <c r="Z199" s="315">
        <v>-4443</v>
      </c>
      <c r="AA199" s="315">
        <v>-4239</v>
      </c>
      <c r="AB199" s="315">
        <v>0</v>
      </c>
      <c r="AC199" s="315">
        <v>-13266</v>
      </c>
      <c r="AD199" s="315">
        <v>4382570</v>
      </c>
      <c r="AE199" s="315">
        <v>2286668</v>
      </c>
      <c r="AF199" s="315">
        <v>2095902</v>
      </c>
      <c r="AG199" s="315">
        <v>2029601</v>
      </c>
      <c r="AH199" s="315">
        <v>66301</v>
      </c>
      <c r="AI199" s="315">
        <v>4281883</v>
      </c>
      <c r="AJ199" s="315">
        <v>1814537</v>
      </c>
      <c r="AK199" s="315">
        <v>2317772</v>
      </c>
      <c r="AL199" s="315">
        <v>5579</v>
      </c>
      <c r="AM199" s="315">
        <v>376260</v>
      </c>
      <c r="AN199" s="315">
        <v>52431</v>
      </c>
      <c r="AO199" s="315">
        <v>41857</v>
      </c>
      <c r="AP199" s="315"/>
      <c r="AQ199" s="315">
        <v>8547</v>
      </c>
      <c r="AR199" s="315">
        <v>-394344</v>
      </c>
      <c r="AS199" s="315">
        <v>29201</v>
      </c>
      <c r="AT199" s="315">
        <v>1</v>
      </c>
      <c r="AU199" s="315">
        <v>-13266</v>
      </c>
      <c r="AV199" s="315">
        <v>2707099</v>
      </c>
      <c r="AW199" s="315">
        <v>2222771</v>
      </c>
      <c r="AX199" s="315">
        <v>159181</v>
      </c>
      <c r="AY199" s="315">
        <v>7903</v>
      </c>
      <c r="AZ199" s="315">
        <v>90474</v>
      </c>
      <c r="BA199" s="315">
        <v>8508</v>
      </c>
      <c r="BB199" s="315">
        <v>52296</v>
      </c>
      <c r="BC199" s="315">
        <v>115999</v>
      </c>
      <c r="BD199" s="315">
        <v>209148</v>
      </c>
      <c r="BE199" s="315">
        <v>-2999913</v>
      </c>
      <c r="BF199" s="315">
        <v>-2722588</v>
      </c>
      <c r="BG199" s="315">
        <v>-2658182</v>
      </c>
      <c r="BH199" s="315">
        <v>-64406</v>
      </c>
      <c r="BI199" s="315">
        <v>-2623196</v>
      </c>
      <c r="BJ199" s="315">
        <v>-12242</v>
      </c>
      <c r="BK199" s="315">
        <v>-87150</v>
      </c>
      <c r="BL199" s="315">
        <v>-1543</v>
      </c>
      <c r="BM199" s="315">
        <v>-275782</v>
      </c>
      <c r="BN199" s="315">
        <v>-292814</v>
      </c>
      <c r="BO199" s="315">
        <v>-101952</v>
      </c>
      <c r="BP199" s="315">
        <v>16742</v>
      </c>
      <c r="BQ199" s="315">
        <v>17820</v>
      </c>
      <c r="BR199" s="315"/>
      <c r="BS199" s="315">
        <v>2221811</v>
      </c>
      <c r="BT199" s="315">
        <v>770931</v>
      </c>
      <c r="BU199" s="315">
        <v>801292</v>
      </c>
      <c r="BV199" s="315">
        <v>634681</v>
      </c>
      <c r="BW199" s="315">
        <v>14907</v>
      </c>
      <c r="BX199" s="315">
        <v>-2499001</v>
      </c>
      <c r="BY199" s="315">
        <v>51593</v>
      </c>
      <c r="BZ199" s="315">
        <v>173</v>
      </c>
      <c r="CA199" s="315">
        <v>361418</v>
      </c>
      <c r="CB199" s="315">
        <v>-238466</v>
      </c>
      <c r="CC199" s="315">
        <v>-12827</v>
      </c>
      <c r="CD199" s="315">
        <v>-225639</v>
      </c>
      <c r="CE199" s="315">
        <v>122952</v>
      </c>
      <c r="CF199" s="315">
        <v>345566</v>
      </c>
      <c r="CG199" s="315">
        <v>8451</v>
      </c>
      <c r="CH199" s="315">
        <v>-231065</v>
      </c>
      <c r="CI199" s="315">
        <v>4654065</v>
      </c>
      <c r="CJ199" s="315">
        <v>720530</v>
      </c>
      <c r="CK199" s="315">
        <v>3933535</v>
      </c>
      <c r="CL199" s="315">
        <v>3466916</v>
      </c>
      <c r="CM199" s="315">
        <v>94475</v>
      </c>
      <c r="CN199" s="315">
        <v>372144</v>
      </c>
      <c r="CO199" s="315">
        <v>0</v>
      </c>
      <c r="CP199" s="315">
        <v>0</v>
      </c>
      <c r="CQ199" s="315">
        <v>372144</v>
      </c>
      <c r="CR199" s="315">
        <v>-2513878</v>
      </c>
      <c r="CS199" s="315">
        <v>-313838</v>
      </c>
      <c r="CT199" s="315">
        <v>-222168</v>
      </c>
      <c r="CU199" s="315">
        <v>-10338</v>
      </c>
      <c r="CV199" s="315">
        <v>-1124</v>
      </c>
      <c r="CW199" s="315">
        <v>-80208</v>
      </c>
      <c r="CX199" s="315">
        <v>-1880971</v>
      </c>
      <c r="CY199" s="315">
        <v>-1861717</v>
      </c>
      <c r="CZ199" s="315">
        <v>-12427</v>
      </c>
      <c r="DA199" s="315">
        <v>-6827</v>
      </c>
      <c r="DB199" s="315">
        <v>-244970</v>
      </c>
      <c r="DC199" s="315">
        <v>-74099</v>
      </c>
      <c r="DD199" s="315">
        <v>2140187</v>
      </c>
      <c r="DE199" s="315">
        <v>1049058</v>
      </c>
      <c r="DF199" s="315">
        <v>1091129</v>
      </c>
      <c r="DG199" s="315">
        <v>1055611</v>
      </c>
      <c r="DH199" s="315">
        <v>35518</v>
      </c>
      <c r="DI199" s="315">
        <v>1640767</v>
      </c>
      <c r="DJ199" s="315">
        <v>66122</v>
      </c>
      <c r="DK199" s="315">
        <v>24157</v>
      </c>
      <c r="DL199" s="315">
        <v>1173</v>
      </c>
      <c r="DM199" s="315">
        <v>841618</v>
      </c>
      <c r="DN199" s="315">
        <v>600277</v>
      </c>
      <c r="DO199" s="315">
        <v>107350</v>
      </c>
      <c r="DP199" s="315"/>
      <c r="DQ199" s="315"/>
      <c r="DR199" s="315">
        <v>70</v>
      </c>
      <c r="DS199" s="315">
        <v>-31228</v>
      </c>
      <c r="DT199" s="315">
        <v>-9113</v>
      </c>
      <c r="DU199" s="315">
        <v>-3717</v>
      </c>
      <c r="DV199" s="315">
        <v>-20</v>
      </c>
      <c r="DW199" s="315">
        <v>-15400</v>
      </c>
      <c r="DX199" s="315">
        <v>-4066</v>
      </c>
      <c r="DY199" s="315">
        <v>-10828</v>
      </c>
      <c r="DZ199" s="315">
        <v>-506</v>
      </c>
      <c r="EA199" s="315">
        <v>-2911</v>
      </c>
      <c r="EB199" s="315">
        <v>-21</v>
      </c>
      <c r="EC199" s="315"/>
      <c r="ED199" s="315"/>
      <c r="EE199" s="315">
        <v>-46</v>
      </c>
      <c r="EF199" s="315">
        <v>1609539</v>
      </c>
      <c r="EG199" s="315">
        <v>821731</v>
      </c>
      <c r="EH199" s="315">
        <v>787808</v>
      </c>
      <c r="EI199" s="315">
        <v>769077</v>
      </c>
      <c r="EJ199" s="315">
        <v>18731</v>
      </c>
      <c r="EK199" s="315">
        <v>57009</v>
      </c>
      <c r="EL199" s="315">
        <v>29895</v>
      </c>
      <c r="EM199" s="315">
        <v>27114</v>
      </c>
      <c r="EN199" s="315">
        <v>26297</v>
      </c>
      <c r="EO199" s="315">
        <v>817</v>
      </c>
      <c r="EP199" s="315">
        <v>20440</v>
      </c>
      <c r="EQ199" s="315">
        <v>11598</v>
      </c>
      <c r="ER199" s="315">
        <v>8842</v>
      </c>
      <c r="ES199" s="315">
        <v>8591</v>
      </c>
      <c r="ET199" s="315">
        <v>251</v>
      </c>
      <c r="EU199" s="315">
        <v>1153</v>
      </c>
      <c r="EV199" s="315">
        <v>547</v>
      </c>
      <c r="EW199" s="315">
        <v>606</v>
      </c>
      <c r="EX199" s="315">
        <v>588</v>
      </c>
      <c r="EY199" s="315">
        <v>18</v>
      </c>
      <c r="EZ199" s="315">
        <v>826218</v>
      </c>
      <c r="FA199" s="315">
        <v>474337</v>
      </c>
      <c r="FB199" s="315">
        <v>351881</v>
      </c>
      <c r="FC199" s="315">
        <v>341726</v>
      </c>
      <c r="FD199" s="315">
        <v>10155</v>
      </c>
      <c r="FE199" s="315">
        <v>597366</v>
      </c>
      <c r="FF199" s="315">
        <v>312569</v>
      </c>
      <c r="FG199" s="315">
        <v>284797</v>
      </c>
      <c r="FH199" s="315">
        <v>277307</v>
      </c>
      <c r="FI199" s="315">
        <v>7490</v>
      </c>
      <c r="FJ199" s="315">
        <v>107329</v>
      </c>
      <c r="FK199" s="315">
        <v>-7239</v>
      </c>
      <c r="FL199" s="315">
        <v>114568</v>
      </c>
      <c r="FM199" s="315">
        <v>114568</v>
      </c>
      <c r="FN199" s="315"/>
      <c r="FO199" s="315"/>
      <c r="FP199" s="315"/>
      <c r="FQ199" s="315">
        <v>24</v>
      </c>
      <c r="FR199" s="315">
        <v>399435</v>
      </c>
      <c r="FS199" s="315">
        <v>-17293</v>
      </c>
      <c r="FT199" s="315">
        <v>382142</v>
      </c>
      <c r="FU199" s="315"/>
      <c r="FV199" s="315"/>
      <c r="FW199" s="315"/>
      <c r="FX199" s="315">
        <v>110898</v>
      </c>
      <c r="FY199" s="315">
        <v>114747</v>
      </c>
      <c r="FZ199" s="315"/>
      <c r="GA199" s="315"/>
      <c r="GB199" s="315"/>
      <c r="GC199" s="315">
        <v>51461</v>
      </c>
      <c r="GD199" s="315">
        <v>136</v>
      </c>
      <c r="GE199" s="315"/>
      <c r="GF199" s="315">
        <v>51325</v>
      </c>
      <c r="GG199" s="315">
        <v>105036</v>
      </c>
      <c r="GH199" s="315">
        <v>11293</v>
      </c>
      <c r="GI199" s="315">
        <v>405</v>
      </c>
      <c r="GJ199" s="315">
        <v>93338</v>
      </c>
      <c r="GL199"/>
      <c r="GM199"/>
      <c r="GN199"/>
      <c r="GO199"/>
    </row>
    <row r="200" spans="1:197">
      <c r="A200" s="96" t="s">
        <v>29</v>
      </c>
      <c r="B200" s="96">
        <v>1</v>
      </c>
      <c r="C200" s="97" t="s">
        <v>217</v>
      </c>
      <c r="D200" s="314">
        <v>16912730</v>
      </c>
      <c r="E200" s="314">
        <v>-1569373</v>
      </c>
      <c r="F200" s="314">
        <v>-106650</v>
      </c>
      <c r="G200" s="314">
        <v>15236707</v>
      </c>
      <c r="H200" s="314">
        <v>9085551</v>
      </c>
      <c r="I200" s="314">
        <v>6151156</v>
      </c>
      <c r="J200" s="314">
        <v>6026851</v>
      </c>
      <c r="K200" s="314">
        <v>124305</v>
      </c>
      <c r="L200" s="314">
        <v>11077001</v>
      </c>
      <c r="M200" s="314">
        <v>9739308</v>
      </c>
      <c r="N200" s="314">
        <v>80683</v>
      </c>
      <c r="O200" s="314">
        <v>0</v>
      </c>
      <c r="P200" s="314">
        <v>80683</v>
      </c>
      <c r="Q200" s="314">
        <v>49237</v>
      </c>
      <c r="R200" s="314">
        <v>1207773</v>
      </c>
      <c r="S200" s="314">
        <v>-334782</v>
      </c>
      <c r="T200" s="314">
        <v>-324333</v>
      </c>
      <c r="U200" s="314">
        <v>0</v>
      </c>
      <c r="V200" s="314">
        <v>-139680</v>
      </c>
      <c r="W200" s="314">
        <v>0</v>
      </c>
      <c r="X200" s="314">
        <v>-171044</v>
      </c>
      <c r="Y200" s="314">
        <v>-13609</v>
      </c>
      <c r="Z200" s="314">
        <v>-6828</v>
      </c>
      <c r="AA200" s="314">
        <v>-3621</v>
      </c>
      <c r="AB200" s="314">
        <v>0</v>
      </c>
      <c r="AC200" s="314">
        <v>-106650</v>
      </c>
      <c r="AD200" s="314">
        <v>10635569</v>
      </c>
      <c r="AE200" s="314">
        <v>7548708</v>
      </c>
      <c r="AF200" s="314">
        <v>3086861</v>
      </c>
      <c r="AG200" s="314">
        <v>3021785</v>
      </c>
      <c r="AH200" s="314">
        <v>65076</v>
      </c>
      <c r="AI200" s="314">
        <v>9736474</v>
      </c>
      <c r="AJ200" s="314">
        <v>1911113</v>
      </c>
      <c r="AK200" s="314">
        <v>3541201</v>
      </c>
      <c r="AL200" s="314">
        <v>4169843</v>
      </c>
      <c r="AM200" s="314">
        <v>663742</v>
      </c>
      <c r="AN200" s="314">
        <v>411240</v>
      </c>
      <c r="AO200" s="314">
        <v>45717</v>
      </c>
      <c r="AP200" s="314"/>
      <c r="AQ200" s="314">
        <v>86287</v>
      </c>
      <c r="AR200" s="314">
        <v>-243650</v>
      </c>
      <c r="AS200" s="314">
        <v>42409</v>
      </c>
      <c r="AT200" s="314">
        <v>0</v>
      </c>
      <c r="AU200" s="314">
        <v>-106650</v>
      </c>
      <c r="AV200" s="314">
        <v>1274530</v>
      </c>
      <c r="AW200" s="314">
        <v>32105</v>
      </c>
      <c r="AX200" s="314">
        <v>71039</v>
      </c>
      <c r="AY200" s="314">
        <v>11310</v>
      </c>
      <c r="AZ200" s="314">
        <v>6413</v>
      </c>
      <c r="BA200" s="314">
        <v>8131</v>
      </c>
      <c r="BB200" s="314">
        <v>45185</v>
      </c>
      <c r="BC200" s="314">
        <v>127344</v>
      </c>
      <c r="BD200" s="314">
        <v>1044042</v>
      </c>
      <c r="BE200" s="314">
        <v>-383660</v>
      </c>
      <c r="BF200" s="314">
        <v>-382596</v>
      </c>
      <c r="BG200" s="314">
        <v>-335467</v>
      </c>
      <c r="BH200" s="314">
        <v>-47129</v>
      </c>
      <c r="BI200" s="314">
        <v>0</v>
      </c>
      <c r="BJ200" s="314">
        <v>-326039</v>
      </c>
      <c r="BK200" s="314">
        <v>-56557</v>
      </c>
      <c r="BL200" s="314">
        <v>-545</v>
      </c>
      <c r="BM200" s="314">
        <v>-519</v>
      </c>
      <c r="BN200" s="314">
        <v>890870</v>
      </c>
      <c r="BO200" s="314">
        <v>852738</v>
      </c>
      <c r="BP200" s="314">
        <v>171038</v>
      </c>
      <c r="BQ200" s="314">
        <v>19461</v>
      </c>
      <c r="BR200" s="314"/>
      <c r="BS200" s="314">
        <v>31833</v>
      </c>
      <c r="BT200" s="314">
        <v>2553</v>
      </c>
      <c r="BU200" s="314">
        <v>153</v>
      </c>
      <c r="BV200" s="314">
        <v>11356</v>
      </c>
      <c r="BW200" s="314">
        <v>17771</v>
      </c>
      <c r="BX200" s="314">
        <v>-264428</v>
      </c>
      <c r="BY200" s="314">
        <v>80215</v>
      </c>
      <c r="BZ200" s="314">
        <v>13</v>
      </c>
      <c r="CA200" s="314">
        <v>675198</v>
      </c>
      <c r="CB200" s="314">
        <v>-14827</v>
      </c>
      <c r="CC200" s="314">
        <v>-14182</v>
      </c>
      <c r="CD200" s="314">
        <v>-645</v>
      </c>
      <c r="CE200" s="314">
        <v>660371</v>
      </c>
      <c r="CF200" s="314">
        <v>165460</v>
      </c>
      <c r="CG200" s="314">
        <v>79</v>
      </c>
      <c r="CH200" s="314">
        <v>494832</v>
      </c>
      <c r="CI200" s="314">
        <v>1574477</v>
      </c>
      <c r="CJ200" s="314">
        <v>714900</v>
      </c>
      <c r="CK200" s="314">
        <v>859577</v>
      </c>
      <c r="CL200" s="314">
        <v>242996</v>
      </c>
      <c r="CM200" s="314">
        <v>301757</v>
      </c>
      <c r="CN200" s="314">
        <v>314824</v>
      </c>
      <c r="CO200" s="314">
        <v>0</v>
      </c>
      <c r="CP200" s="314">
        <v>0</v>
      </c>
      <c r="CQ200" s="314">
        <v>314824</v>
      </c>
      <c r="CR200" s="314">
        <v>-795220</v>
      </c>
      <c r="CS200" s="314">
        <v>-166544</v>
      </c>
      <c r="CT200" s="314">
        <v>0</v>
      </c>
      <c r="CU200" s="314">
        <v>-117548</v>
      </c>
      <c r="CV200" s="314">
        <v>-414</v>
      </c>
      <c r="CW200" s="314">
        <v>-48582</v>
      </c>
      <c r="CX200" s="314">
        <v>-628676</v>
      </c>
      <c r="CY200" s="314">
        <v>0</v>
      </c>
      <c r="CZ200" s="314">
        <v>-614418</v>
      </c>
      <c r="DA200" s="314">
        <v>-14258</v>
      </c>
      <c r="DB200" s="314">
        <v>0</v>
      </c>
      <c r="DC200" s="314">
        <v>0</v>
      </c>
      <c r="DD200" s="314">
        <v>779257</v>
      </c>
      <c r="DE200" s="314">
        <v>-1231532</v>
      </c>
      <c r="DF200" s="314">
        <v>2010789</v>
      </c>
      <c r="DG200" s="314">
        <v>1969686</v>
      </c>
      <c r="DH200" s="314">
        <v>41103</v>
      </c>
      <c r="DI200" s="314">
        <v>1749336</v>
      </c>
      <c r="DJ200" s="314">
        <v>52911</v>
      </c>
      <c r="DK200" s="314">
        <v>23075</v>
      </c>
      <c r="DL200" s="314">
        <v>911</v>
      </c>
      <c r="DM200" s="314">
        <v>821803</v>
      </c>
      <c r="DN200" s="314">
        <v>740297</v>
      </c>
      <c r="DO200" s="314">
        <v>109696</v>
      </c>
      <c r="DP200" s="314"/>
      <c r="DQ200" s="314"/>
      <c r="DR200" s="314">
        <v>643</v>
      </c>
      <c r="DS200" s="314">
        <v>-7564</v>
      </c>
      <c r="DT200" s="314">
        <v>-1096</v>
      </c>
      <c r="DU200" s="314">
        <v>-15</v>
      </c>
      <c r="DV200" s="314">
        <v>-27</v>
      </c>
      <c r="DW200" s="314">
        <v>-6339</v>
      </c>
      <c r="DX200" s="314">
        <v>-1728</v>
      </c>
      <c r="DY200" s="314">
        <v>-4262</v>
      </c>
      <c r="DZ200" s="314">
        <v>-349</v>
      </c>
      <c r="EA200" s="314">
        <v>0</v>
      </c>
      <c r="EB200" s="314">
        <v>-36</v>
      </c>
      <c r="EC200" s="314"/>
      <c r="ED200" s="314"/>
      <c r="EE200" s="314">
        <v>-51</v>
      </c>
      <c r="EF200" s="314">
        <v>1741772</v>
      </c>
      <c r="EG200" s="314">
        <v>688266</v>
      </c>
      <c r="EH200" s="314">
        <v>1053506</v>
      </c>
      <c r="EI200" s="314">
        <v>1035380</v>
      </c>
      <c r="EJ200" s="314">
        <v>18126</v>
      </c>
      <c r="EK200" s="314">
        <v>51815</v>
      </c>
      <c r="EL200" s="314">
        <v>11739</v>
      </c>
      <c r="EM200" s="314">
        <v>40076</v>
      </c>
      <c r="EN200" s="314">
        <v>39267</v>
      </c>
      <c r="EO200" s="314">
        <v>809</v>
      </c>
      <c r="EP200" s="314">
        <v>23060</v>
      </c>
      <c r="EQ200" s="314">
        <v>8955</v>
      </c>
      <c r="ER200" s="314">
        <v>14105</v>
      </c>
      <c r="ES200" s="314">
        <v>13831</v>
      </c>
      <c r="ET200" s="314">
        <v>274</v>
      </c>
      <c r="EU200" s="314">
        <v>884</v>
      </c>
      <c r="EV200" s="314">
        <v>-34</v>
      </c>
      <c r="EW200" s="314">
        <v>918</v>
      </c>
      <c r="EX200" s="314">
        <v>900</v>
      </c>
      <c r="EY200" s="314">
        <v>18</v>
      </c>
      <c r="EZ200" s="314">
        <v>815464</v>
      </c>
      <c r="FA200" s="314">
        <v>333438</v>
      </c>
      <c r="FB200" s="314">
        <v>482026</v>
      </c>
      <c r="FC200" s="314">
        <v>472625</v>
      </c>
      <c r="FD200" s="314">
        <v>9401</v>
      </c>
      <c r="FE200" s="314">
        <v>740297</v>
      </c>
      <c r="FF200" s="314">
        <v>340761</v>
      </c>
      <c r="FG200" s="314">
        <v>399536</v>
      </c>
      <c r="FH200" s="314">
        <v>391912</v>
      </c>
      <c r="FI200" s="314">
        <v>7624</v>
      </c>
      <c r="FJ200" s="314">
        <v>109660</v>
      </c>
      <c r="FK200" s="314">
        <v>-7185</v>
      </c>
      <c r="FL200" s="314">
        <v>116845</v>
      </c>
      <c r="FM200" s="314">
        <v>116845</v>
      </c>
      <c r="FN200" s="314"/>
      <c r="FO200" s="314"/>
      <c r="FP200" s="314"/>
      <c r="FQ200" s="314">
        <v>592</v>
      </c>
      <c r="FR200" s="314">
        <v>562188</v>
      </c>
      <c r="FS200" s="314">
        <v>-33320</v>
      </c>
      <c r="FT200" s="314">
        <v>528868</v>
      </c>
      <c r="FU200" s="314"/>
      <c r="FV200" s="314"/>
      <c r="FW200" s="314"/>
      <c r="FX200" s="314">
        <v>132338</v>
      </c>
      <c r="FY200" s="314">
        <v>116426</v>
      </c>
      <c r="FZ200" s="314"/>
      <c r="GA200" s="314"/>
      <c r="GB200" s="314"/>
      <c r="GC200" s="314">
        <v>24807</v>
      </c>
      <c r="GD200" s="314">
        <v>-23208</v>
      </c>
      <c r="GE200" s="314"/>
      <c r="GF200" s="314">
        <v>48015</v>
      </c>
      <c r="GG200" s="314">
        <v>255297</v>
      </c>
      <c r="GH200" s="314">
        <v>6160</v>
      </c>
      <c r="GI200" s="314">
        <v>611</v>
      </c>
      <c r="GJ200" s="314">
        <v>248526</v>
      </c>
      <c r="GL200"/>
      <c r="GM200"/>
      <c r="GN200"/>
      <c r="GO200"/>
    </row>
    <row r="201" spans="1:197">
      <c r="A201" s="98" t="s">
        <v>29</v>
      </c>
      <c r="B201" s="98">
        <v>2</v>
      </c>
      <c r="C201" s="98" t="s">
        <v>218</v>
      </c>
      <c r="D201" s="315">
        <v>21349741</v>
      </c>
      <c r="E201" s="315">
        <v>-2885498</v>
      </c>
      <c r="F201" s="315">
        <v>-13266</v>
      </c>
      <c r="G201" s="315">
        <v>18450977</v>
      </c>
      <c r="H201" s="315">
        <v>12299822</v>
      </c>
      <c r="I201" s="315">
        <v>6151155</v>
      </c>
      <c r="J201" s="315">
        <v>6026853</v>
      </c>
      <c r="K201" s="315">
        <v>124302</v>
      </c>
      <c r="L201" s="315">
        <v>4842482</v>
      </c>
      <c r="M201" s="315">
        <v>3832502</v>
      </c>
      <c r="N201" s="315">
        <v>77393</v>
      </c>
      <c r="O201" s="315">
        <v>0</v>
      </c>
      <c r="P201" s="315">
        <v>77393</v>
      </c>
      <c r="Q201" s="315">
        <v>34606</v>
      </c>
      <c r="R201" s="315">
        <v>897981</v>
      </c>
      <c r="S201" s="315">
        <v>-230243</v>
      </c>
      <c r="T201" s="315">
        <v>-217185</v>
      </c>
      <c r="U201" s="315">
        <v>-61787</v>
      </c>
      <c r="V201" s="315">
        <v>-23259</v>
      </c>
      <c r="W201" s="315">
        <v>0</v>
      </c>
      <c r="X201" s="315">
        <v>-108782</v>
      </c>
      <c r="Y201" s="315">
        <v>-23357</v>
      </c>
      <c r="Z201" s="315">
        <v>-4538</v>
      </c>
      <c r="AA201" s="315">
        <v>-8520</v>
      </c>
      <c r="AB201" s="315">
        <v>0</v>
      </c>
      <c r="AC201" s="315">
        <v>-13266</v>
      </c>
      <c r="AD201" s="315">
        <v>4598973</v>
      </c>
      <c r="AE201" s="315">
        <v>1512112</v>
      </c>
      <c r="AF201" s="315">
        <v>3086861</v>
      </c>
      <c r="AG201" s="315">
        <v>3021786</v>
      </c>
      <c r="AH201" s="315">
        <v>65075</v>
      </c>
      <c r="AI201" s="315">
        <v>3825082</v>
      </c>
      <c r="AJ201" s="315">
        <v>1358370</v>
      </c>
      <c r="AK201" s="315">
        <v>2297951</v>
      </c>
      <c r="AL201" s="315">
        <v>23822</v>
      </c>
      <c r="AM201" s="315">
        <v>348374</v>
      </c>
      <c r="AN201" s="315">
        <v>54963</v>
      </c>
      <c r="AO201" s="315">
        <v>27153</v>
      </c>
      <c r="AP201" s="315"/>
      <c r="AQ201" s="315">
        <v>466391</v>
      </c>
      <c r="AR201" s="315">
        <v>-139792</v>
      </c>
      <c r="AS201" s="315">
        <v>30068</v>
      </c>
      <c r="AT201" s="315">
        <v>0</v>
      </c>
      <c r="AU201" s="315">
        <v>-13266</v>
      </c>
      <c r="AV201" s="315">
        <v>502776</v>
      </c>
      <c r="AW201" s="315">
        <v>36614</v>
      </c>
      <c r="AX201" s="315">
        <v>168762</v>
      </c>
      <c r="AY201" s="315">
        <v>52202</v>
      </c>
      <c r="AZ201" s="315">
        <v>55870</v>
      </c>
      <c r="BA201" s="315">
        <v>10686</v>
      </c>
      <c r="BB201" s="315">
        <v>50004</v>
      </c>
      <c r="BC201" s="315">
        <v>109512</v>
      </c>
      <c r="BD201" s="315">
        <v>187888</v>
      </c>
      <c r="BE201" s="315">
        <v>-1039049</v>
      </c>
      <c r="BF201" s="315">
        <v>-518700</v>
      </c>
      <c r="BG201" s="315">
        <v>-478664</v>
      </c>
      <c r="BH201" s="315">
        <v>-40036</v>
      </c>
      <c r="BI201" s="315">
        <v>0</v>
      </c>
      <c r="BJ201" s="315">
        <v>-417038</v>
      </c>
      <c r="BK201" s="315">
        <v>-101662</v>
      </c>
      <c r="BL201" s="315">
        <v>-1597</v>
      </c>
      <c r="BM201" s="315">
        <v>-518752</v>
      </c>
      <c r="BN201" s="315">
        <v>-536273</v>
      </c>
      <c r="BO201" s="315">
        <v>-361997</v>
      </c>
      <c r="BP201" s="315">
        <v>18916</v>
      </c>
      <c r="BQ201" s="315">
        <v>11558</v>
      </c>
      <c r="BR201" s="315"/>
      <c r="BS201" s="315">
        <v>35442</v>
      </c>
      <c r="BT201" s="315">
        <v>13089</v>
      </c>
      <c r="BU201" s="315">
        <v>30</v>
      </c>
      <c r="BV201" s="315">
        <v>3158</v>
      </c>
      <c r="BW201" s="315">
        <v>19165</v>
      </c>
      <c r="BX201" s="315">
        <v>-309902</v>
      </c>
      <c r="BY201" s="315">
        <v>69476</v>
      </c>
      <c r="BZ201" s="315">
        <v>234</v>
      </c>
      <c r="CA201" s="315">
        <v>160043</v>
      </c>
      <c r="CB201" s="315">
        <v>-444380</v>
      </c>
      <c r="CC201" s="315">
        <v>-19947</v>
      </c>
      <c r="CD201" s="315">
        <v>-424433</v>
      </c>
      <c r="CE201" s="315">
        <v>-284337</v>
      </c>
      <c r="CF201" s="315">
        <v>139766</v>
      </c>
      <c r="CG201" s="315">
        <v>93</v>
      </c>
      <c r="CH201" s="315">
        <v>-424196</v>
      </c>
      <c r="CI201" s="315">
        <v>14003480</v>
      </c>
      <c r="CJ201" s="315">
        <v>741252</v>
      </c>
      <c r="CK201" s="315">
        <v>13262228</v>
      </c>
      <c r="CL201" s="315">
        <v>7653134</v>
      </c>
      <c r="CM201" s="315">
        <v>5256706</v>
      </c>
      <c r="CN201" s="315">
        <v>352388</v>
      </c>
      <c r="CO201" s="315">
        <v>0</v>
      </c>
      <c r="CP201" s="315">
        <v>0</v>
      </c>
      <c r="CQ201" s="315">
        <v>352388</v>
      </c>
      <c r="CR201" s="315">
        <v>-1099733</v>
      </c>
      <c r="CS201" s="315">
        <v>-254823</v>
      </c>
      <c r="CT201" s="315">
        <v>-2842</v>
      </c>
      <c r="CU201" s="315">
        <v>-128543</v>
      </c>
      <c r="CV201" s="315">
        <v>-1013</v>
      </c>
      <c r="CW201" s="315">
        <v>-122425</v>
      </c>
      <c r="CX201" s="315">
        <v>-844910</v>
      </c>
      <c r="CY201" s="315">
        <v>-781</v>
      </c>
      <c r="CZ201" s="315">
        <v>-818940</v>
      </c>
      <c r="DA201" s="315">
        <v>-25189</v>
      </c>
      <c r="DB201" s="315">
        <v>0</v>
      </c>
      <c r="DC201" s="315">
        <v>0</v>
      </c>
      <c r="DD201" s="315">
        <v>12903747</v>
      </c>
      <c r="DE201" s="315">
        <v>10892957</v>
      </c>
      <c r="DF201" s="315">
        <v>2010790</v>
      </c>
      <c r="DG201" s="315">
        <v>1969688</v>
      </c>
      <c r="DH201" s="315">
        <v>41102</v>
      </c>
      <c r="DI201" s="315">
        <v>1413180</v>
      </c>
      <c r="DJ201" s="315">
        <v>108002</v>
      </c>
      <c r="DK201" s="315">
        <v>21115</v>
      </c>
      <c r="DL201" s="315">
        <v>2356</v>
      </c>
      <c r="DM201" s="315">
        <v>727185</v>
      </c>
      <c r="DN201" s="315">
        <v>432687</v>
      </c>
      <c r="DO201" s="315">
        <v>121783</v>
      </c>
      <c r="DP201" s="315"/>
      <c r="DQ201" s="315"/>
      <c r="DR201" s="315">
        <v>52</v>
      </c>
      <c r="DS201" s="315">
        <v>-21602</v>
      </c>
      <c r="DT201" s="315">
        <v>-3171</v>
      </c>
      <c r="DU201" s="315">
        <v>-41</v>
      </c>
      <c r="DV201" s="315">
        <v>-20</v>
      </c>
      <c r="DW201" s="315">
        <v>-17968</v>
      </c>
      <c r="DX201" s="315">
        <v>-1616</v>
      </c>
      <c r="DY201" s="315">
        <v>-15097</v>
      </c>
      <c r="DZ201" s="315">
        <v>-1255</v>
      </c>
      <c r="EA201" s="315">
        <v>0</v>
      </c>
      <c r="EB201" s="315">
        <v>-273</v>
      </c>
      <c r="EC201" s="315"/>
      <c r="ED201" s="315"/>
      <c r="EE201" s="315">
        <v>-129</v>
      </c>
      <c r="EF201" s="315">
        <v>1391578</v>
      </c>
      <c r="EG201" s="315">
        <v>338074</v>
      </c>
      <c r="EH201" s="315">
        <v>1053504</v>
      </c>
      <c r="EI201" s="315">
        <v>1035379</v>
      </c>
      <c r="EJ201" s="315">
        <v>18125</v>
      </c>
      <c r="EK201" s="315">
        <v>104831</v>
      </c>
      <c r="EL201" s="315">
        <v>64756</v>
      </c>
      <c r="EM201" s="315">
        <v>40075</v>
      </c>
      <c r="EN201" s="315">
        <v>39267</v>
      </c>
      <c r="EO201" s="315">
        <v>808</v>
      </c>
      <c r="EP201" s="315">
        <v>21074</v>
      </c>
      <c r="EQ201" s="315">
        <v>6968</v>
      </c>
      <c r="ER201" s="315">
        <v>14106</v>
      </c>
      <c r="ES201" s="315">
        <v>13831</v>
      </c>
      <c r="ET201" s="315">
        <v>275</v>
      </c>
      <c r="EU201" s="315">
        <v>2336</v>
      </c>
      <c r="EV201" s="315">
        <v>1418</v>
      </c>
      <c r="EW201" s="315">
        <v>918</v>
      </c>
      <c r="EX201" s="315">
        <v>900</v>
      </c>
      <c r="EY201" s="315">
        <v>18</v>
      </c>
      <c r="EZ201" s="315">
        <v>709217</v>
      </c>
      <c r="FA201" s="315">
        <v>227193</v>
      </c>
      <c r="FB201" s="315">
        <v>482024</v>
      </c>
      <c r="FC201" s="315">
        <v>472624</v>
      </c>
      <c r="FD201" s="315">
        <v>9400</v>
      </c>
      <c r="FE201" s="315">
        <v>432687</v>
      </c>
      <c r="FF201" s="315">
        <v>33151</v>
      </c>
      <c r="FG201" s="315">
        <v>399536</v>
      </c>
      <c r="FH201" s="315">
        <v>391912</v>
      </c>
      <c r="FI201" s="315">
        <v>7624</v>
      </c>
      <c r="FJ201" s="315">
        <v>121510</v>
      </c>
      <c r="FK201" s="315">
        <v>4665</v>
      </c>
      <c r="FL201" s="315">
        <v>116845</v>
      </c>
      <c r="FM201" s="315">
        <v>116845</v>
      </c>
      <c r="FN201" s="315"/>
      <c r="FO201" s="315"/>
      <c r="FP201" s="315"/>
      <c r="FQ201" s="315">
        <v>-77</v>
      </c>
      <c r="FR201" s="315">
        <v>427780</v>
      </c>
      <c r="FS201" s="315">
        <v>-50491</v>
      </c>
      <c r="FT201" s="315">
        <v>377289</v>
      </c>
      <c r="FU201" s="315"/>
      <c r="FV201" s="315"/>
      <c r="FW201" s="315"/>
      <c r="FX201" s="315">
        <v>132576</v>
      </c>
      <c r="FY201" s="315">
        <v>128222</v>
      </c>
      <c r="FZ201" s="315"/>
      <c r="GA201" s="315"/>
      <c r="GB201" s="315"/>
      <c r="GC201" s="315">
        <v>37481</v>
      </c>
      <c r="GD201" s="315">
        <v>-25765</v>
      </c>
      <c r="GE201" s="315"/>
      <c r="GF201" s="315">
        <v>63246</v>
      </c>
      <c r="GG201" s="315">
        <v>79010</v>
      </c>
      <c r="GH201" s="315">
        <v>5892</v>
      </c>
      <c r="GI201" s="315">
        <v>1002</v>
      </c>
      <c r="GJ201" s="315">
        <v>72116</v>
      </c>
      <c r="GL201"/>
      <c r="GM201"/>
      <c r="GN201"/>
      <c r="GO201"/>
    </row>
    <row r="202" spans="1:197">
      <c r="A202" s="98" t="s">
        <v>29</v>
      </c>
      <c r="B202" s="98">
        <v>3</v>
      </c>
      <c r="C202" s="98" t="s">
        <v>219</v>
      </c>
      <c r="D202" s="315">
        <v>11402115</v>
      </c>
      <c r="E202" s="315">
        <v>-2996166</v>
      </c>
      <c r="F202" s="315">
        <v>-13266</v>
      </c>
      <c r="G202" s="315">
        <v>8392683</v>
      </c>
      <c r="H202" s="315">
        <v>2241530</v>
      </c>
      <c r="I202" s="315">
        <v>6151153</v>
      </c>
      <c r="J202" s="315">
        <v>6026849</v>
      </c>
      <c r="K202" s="315">
        <v>124304</v>
      </c>
      <c r="L202" s="315">
        <v>4638218</v>
      </c>
      <c r="M202" s="315">
        <v>4214472</v>
      </c>
      <c r="N202" s="315">
        <v>77059</v>
      </c>
      <c r="O202" s="315">
        <v>0</v>
      </c>
      <c r="P202" s="315">
        <v>77059</v>
      </c>
      <c r="Q202" s="315">
        <v>35239</v>
      </c>
      <c r="R202" s="315">
        <v>311448</v>
      </c>
      <c r="S202" s="315">
        <v>-183557</v>
      </c>
      <c r="T202" s="315">
        <v>-164804</v>
      </c>
      <c r="U202" s="315">
        <v>-63681</v>
      </c>
      <c r="V202" s="315">
        <v>-6487</v>
      </c>
      <c r="W202" s="315">
        <v>0</v>
      </c>
      <c r="X202" s="315">
        <v>-73860</v>
      </c>
      <c r="Y202" s="315">
        <v>-20776</v>
      </c>
      <c r="Z202" s="315">
        <v>-6321</v>
      </c>
      <c r="AA202" s="315">
        <v>-12432</v>
      </c>
      <c r="AB202" s="315">
        <v>0</v>
      </c>
      <c r="AC202" s="315">
        <v>-13266</v>
      </c>
      <c r="AD202" s="315">
        <v>4441395</v>
      </c>
      <c r="AE202" s="315">
        <v>1354533</v>
      </c>
      <c r="AF202" s="315">
        <v>3086862</v>
      </c>
      <c r="AG202" s="315">
        <v>3021785</v>
      </c>
      <c r="AH202" s="315">
        <v>65077</v>
      </c>
      <c r="AI202" s="315">
        <v>4204852</v>
      </c>
      <c r="AJ202" s="315">
        <v>1300623</v>
      </c>
      <c r="AK202" s="315">
        <v>2763168</v>
      </c>
      <c r="AL202" s="315">
        <v>8243</v>
      </c>
      <c r="AM202" s="315">
        <v>216952</v>
      </c>
      <c r="AN202" s="315">
        <v>56079</v>
      </c>
      <c r="AO202" s="315">
        <v>28489</v>
      </c>
      <c r="AP202" s="315"/>
      <c r="AQ202" s="315">
        <v>7116</v>
      </c>
      <c r="AR202" s="315">
        <v>-87745</v>
      </c>
      <c r="AS202" s="315">
        <v>28918</v>
      </c>
      <c r="AT202" s="315">
        <v>0</v>
      </c>
      <c r="AU202" s="315">
        <v>-13266</v>
      </c>
      <c r="AV202" s="315">
        <v>265769</v>
      </c>
      <c r="AW202" s="315">
        <v>13922</v>
      </c>
      <c r="AX202" s="315">
        <v>58376</v>
      </c>
      <c r="AY202" s="315">
        <v>12273</v>
      </c>
      <c r="AZ202" s="315">
        <v>7512</v>
      </c>
      <c r="BA202" s="315">
        <v>7069</v>
      </c>
      <c r="BB202" s="315">
        <v>31522</v>
      </c>
      <c r="BC202" s="315">
        <v>72792</v>
      </c>
      <c r="BD202" s="315">
        <v>120679</v>
      </c>
      <c r="BE202" s="315">
        <v>-223724</v>
      </c>
      <c r="BF202" s="315">
        <v>-176339</v>
      </c>
      <c r="BG202" s="315">
        <v>-132234</v>
      </c>
      <c r="BH202" s="315">
        <v>-44105</v>
      </c>
      <c r="BI202" s="315">
        <v>0</v>
      </c>
      <c r="BJ202" s="315">
        <v>-106622.99999999999</v>
      </c>
      <c r="BK202" s="315">
        <v>-69716.000000000015</v>
      </c>
      <c r="BL202" s="315">
        <v>-2458</v>
      </c>
      <c r="BM202" s="315">
        <v>-44927</v>
      </c>
      <c r="BN202" s="315">
        <v>42045</v>
      </c>
      <c r="BO202" s="315">
        <v>45428</v>
      </c>
      <c r="BP202" s="315">
        <v>16984</v>
      </c>
      <c r="BQ202" s="315">
        <v>12121</v>
      </c>
      <c r="BR202" s="315"/>
      <c r="BS202" s="315">
        <v>12597</v>
      </c>
      <c r="BT202" s="315">
        <v>492</v>
      </c>
      <c r="BU202" s="315">
        <v>2</v>
      </c>
      <c r="BV202" s="315">
        <v>1260</v>
      </c>
      <c r="BW202" s="315">
        <v>10843</v>
      </c>
      <c r="BX202" s="315">
        <v>-73858</v>
      </c>
      <c r="BY202" s="315">
        <v>28687</v>
      </c>
      <c r="BZ202" s="315">
        <v>86</v>
      </c>
      <c r="CA202" s="315">
        <v>105492</v>
      </c>
      <c r="CB202" s="315">
        <v>-57770</v>
      </c>
      <c r="CC202" s="315">
        <v>-13191</v>
      </c>
      <c r="CD202" s="315">
        <v>-44579</v>
      </c>
      <c r="CE202" s="315">
        <v>47722</v>
      </c>
      <c r="CF202" s="315">
        <v>99731</v>
      </c>
      <c r="CG202" s="315">
        <v>6</v>
      </c>
      <c r="CH202" s="315">
        <v>-52015</v>
      </c>
      <c r="CI202" s="315">
        <v>4496118</v>
      </c>
      <c r="CJ202" s="315">
        <v>741594</v>
      </c>
      <c r="CK202" s="315">
        <v>3754524</v>
      </c>
      <c r="CL202" s="315">
        <v>3222267</v>
      </c>
      <c r="CM202" s="315">
        <v>59297</v>
      </c>
      <c r="CN202" s="315">
        <v>472960</v>
      </c>
      <c r="CO202" s="315">
        <v>0</v>
      </c>
      <c r="CP202" s="315">
        <v>110694</v>
      </c>
      <c r="CQ202" s="315">
        <v>362266</v>
      </c>
      <c r="CR202" s="315">
        <v>-2429016</v>
      </c>
      <c r="CS202" s="315">
        <v>-765059</v>
      </c>
      <c r="CT202" s="315">
        <v>-578924</v>
      </c>
      <c r="CU202" s="315">
        <v>-106152</v>
      </c>
      <c r="CV202" s="315">
        <v>-669</v>
      </c>
      <c r="CW202" s="315">
        <v>-79314</v>
      </c>
      <c r="CX202" s="315">
        <v>-1594536</v>
      </c>
      <c r="CY202" s="315">
        <v>-893349</v>
      </c>
      <c r="CZ202" s="315">
        <v>-682554</v>
      </c>
      <c r="DA202" s="315">
        <v>-18633</v>
      </c>
      <c r="DB202" s="315">
        <v>0</v>
      </c>
      <c r="DC202" s="315">
        <v>-69421</v>
      </c>
      <c r="DD202" s="315">
        <v>2067102</v>
      </c>
      <c r="DE202" s="315">
        <v>56313</v>
      </c>
      <c r="DF202" s="315">
        <v>2010789</v>
      </c>
      <c r="DG202" s="315">
        <v>1969686</v>
      </c>
      <c r="DH202" s="315">
        <v>41103</v>
      </c>
      <c r="DI202" s="315">
        <v>1453651</v>
      </c>
      <c r="DJ202" s="315">
        <v>102292</v>
      </c>
      <c r="DK202" s="315">
        <v>21896</v>
      </c>
      <c r="DL202" s="315">
        <v>1547</v>
      </c>
      <c r="DM202" s="315">
        <v>750571</v>
      </c>
      <c r="DN202" s="315">
        <v>445696</v>
      </c>
      <c r="DO202" s="315">
        <v>131550</v>
      </c>
      <c r="DP202" s="315"/>
      <c r="DQ202" s="315"/>
      <c r="DR202" s="315">
        <v>99</v>
      </c>
      <c r="DS202" s="315">
        <v>-61451</v>
      </c>
      <c r="DT202" s="315">
        <v>-994</v>
      </c>
      <c r="DU202" s="315">
        <v>-4240</v>
      </c>
      <c r="DV202" s="315">
        <v>-8</v>
      </c>
      <c r="DW202" s="315">
        <v>-41918</v>
      </c>
      <c r="DX202" s="315">
        <v>-774</v>
      </c>
      <c r="DY202" s="315">
        <v>-6855</v>
      </c>
      <c r="DZ202" s="315">
        <v>-34289</v>
      </c>
      <c r="EA202" s="315">
        <v>-13330</v>
      </c>
      <c r="EB202" s="315">
        <v>-941</v>
      </c>
      <c r="EC202" s="315"/>
      <c r="ED202" s="315"/>
      <c r="EE202" s="315">
        <v>-20</v>
      </c>
      <c r="EF202" s="315">
        <v>1392200</v>
      </c>
      <c r="EG202" s="315">
        <v>338698</v>
      </c>
      <c r="EH202" s="315">
        <v>1053502</v>
      </c>
      <c r="EI202" s="315">
        <v>1035378</v>
      </c>
      <c r="EJ202" s="315">
        <v>18124</v>
      </c>
      <c r="EK202" s="315">
        <v>101298</v>
      </c>
      <c r="EL202" s="315">
        <v>61223</v>
      </c>
      <c r="EM202" s="315">
        <v>40075</v>
      </c>
      <c r="EN202" s="315">
        <v>39267</v>
      </c>
      <c r="EO202" s="315">
        <v>808</v>
      </c>
      <c r="EP202" s="315">
        <v>17656</v>
      </c>
      <c r="EQ202" s="315">
        <v>3550</v>
      </c>
      <c r="ER202" s="315">
        <v>14106</v>
      </c>
      <c r="ES202" s="315">
        <v>13831</v>
      </c>
      <c r="ET202" s="315">
        <v>275</v>
      </c>
      <c r="EU202" s="315">
        <v>1539</v>
      </c>
      <c r="EV202" s="315">
        <v>621</v>
      </c>
      <c r="EW202" s="315">
        <v>918</v>
      </c>
      <c r="EX202" s="315">
        <v>900</v>
      </c>
      <c r="EY202" s="315">
        <v>18</v>
      </c>
      <c r="EZ202" s="315">
        <v>708653</v>
      </c>
      <c r="FA202" s="315">
        <v>226627</v>
      </c>
      <c r="FB202" s="315">
        <v>482026</v>
      </c>
      <c r="FC202" s="315">
        <v>472625</v>
      </c>
      <c r="FD202" s="315">
        <v>9401</v>
      </c>
      <c r="FE202" s="315">
        <v>432366</v>
      </c>
      <c r="FF202" s="315">
        <v>32833</v>
      </c>
      <c r="FG202" s="315">
        <v>399533</v>
      </c>
      <c r="FH202" s="315">
        <v>391911</v>
      </c>
      <c r="FI202" s="315">
        <v>7622</v>
      </c>
      <c r="FJ202" s="315">
        <v>130609</v>
      </c>
      <c r="FK202" s="315">
        <v>13765</v>
      </c>
      <c r="FL202" s="315">
        <v>116844</v>
      </c>
      <c r="FM202" s="315">
        <v>116844</v>
      </c>
      <c r="FN202" s="315"/>
      <c r="FO202" s="315"/>
      <c r="FP202" s="315"/>
      <c r="FQ202" s="315">
        <v>79</v>
      </c>
      <c r="FR202" s="315">
        <v>442867</v>
      </c>
      <c r="FS202" s="315">
        <v>-40648</v>
      </c>
      <c r="FT202" s="315">
        <v>402219</v>
      </c>
      <c r="FU202" s="315"/>
      <c r="FV202" s="315"/>
      <c r="FW202" s="315"/>
      <c r="FX202" s="315">
        <v>134863</v>
      </c>
      <c r="FY202" s="315">
        <v>112995</v>
      </c>
      <c r="FZ202" s="315"/>
      <c r="GA202" s="315"/>
      <c r="GB202" s="315"/>
      <c r="GC202" s="315">
        <v>40785</v>
      </c>
      <c r="GD202" s="315">
        <v>-22480</v>
      </c>
      <c r="GE202" s="315"/>
      <c r="GF202" s="315">
        <v>63265</v>
      </c>
      <c r="GG202" s="315">
        <v>113576</v>
      </c>
      <c r="GH202" s="315">
        <v>13569</v>
      </c>
      <c r="GI202" s="315">
        <v>6821</v>
      </c>
      <c r="GJ202" s="315">
        <v>93186</v>
      </c>
      <c r="GL202"/>
      <c r="GM202"/>
      <c r="GN202"/>
      <c r="GO202"/>
    </row>
    <row r="203" spans="1:197">
      <c r="A203" s="98" t="s">
        <v>29</v>
      </c>
      <c r="B203" s="98">
        <v>4</v>
      </c>
      <c r="C203" s="98" t="s">
        <v>220</v>
      </c>
      <c r="D203" s="315">
        <v>25042806</v>
      </c>
      <c r="E203" s="315">
        <v>-3545803</v>
      </c>
      <c r="F203" s="315">
        <v>-13267</v>
      </c>
      <c r="G203" s="315">
        <v>21483736</v>
      </c>
      <c r="H203" s="315">
        <v>15332581</v>
      </c>
      <c r="I203" s="315">
        <v>6151155</v>
      </c>
      <c r="J203" s="315">
        <v>6026850</v>
      </c>
      <c r="K203" s="315">
        <v>124305</v>
      </c>
      <c r="L203" s="315">
        <v>9227948</v>
      </c>
      <c r="M203" s="315">
        <v>7748562</v>
      </c>
      <c r="N203" s="315">
        <v>89661</v>
      </c>
      <c r="O203" s="315">
        <v>0</v>
      </c>
      <c r="P203" s="315">
        <v>89661</v>
      </c>
      <c r="Q203" s="315">
        <v>55343</v>
      </c>
      <c r="R203" s="315">
        <v>1334382</v>
      </c>
      <c r="S203" s="315">
        <v>-825896</v>
      </c>
      <c r="T203" s="315">
        <v>-790429</v>
      </c>
      <c r="U203" s="315">
        <v>-62456</v>
      </c>
      <c r="V203" s="315">
        <v>-390</v>
      </c>
      <c r="W203" s="315">
        <v>-665745</v>
      </c>
      <c r="X203" s="315">
        <v>0</v>
      </c>
      <c r="Y203" s="315">
        <v>-61838</v>
      </c>
      <c r="Z203" s="315">
        <v>-4527</v>
      </c>
      <c r="AA203" s="315">
        <v>-30940</v>
      </c>
      <c r="AB203" s="315">
        <v>0</v>
      </c>
      <c r="AC203" s="315">
        <v>-13267</v>
      </c>
      <c r="AD203" s="315">
        <v>8388785</v>
      </c>
      <c r="AE203" s="315">
        <v>5301924</v>
      </c>
      <c r="AF203" s="315">
        <v>3086861</v>
      </c>
      <c r="AG203" s="315">
        <v>3021785</v>
      </c>
      <c r="AH203" s="315">
        <v>65076</v>
      </c>
      <c r="AI203" s="315">
        <v>7744680</v>
      </c>
      <c r="AJ203" s="315">
        <v>1323372</v>
      </c>
      <c r="AK203" s="315">
        <v>2831524</v>
      </c>
      <c r="AL203" s="315">
        <v>3445013</v>
      </c>
      <c r="AM203" s="315">
        <v>367898</v>
      </c>
      <c r="AN203" s="315">
        <v>384841</v>
      </c>
      <c r="AO203" s="315">
        <v>49785</v>
      </c>
      <c r="AP203" s="315"/>
      <c r="AQ203" s="315">
        <v>504800</v>
      </c>
      <c r="AR203" s="315">
        <v>-700768</v>
      </c>
      <c r="AS203" s="315">
        <v>50816</v>
      </c>
      <c r="AT203" s="315">
        <v>0</v>
      </c>
      <c r="AU203" s="315">
        <v>-13267</v>
      </c>
      <c r="AV203" s="315">
        <v>3404969</v>
      </c>
      <c r="AW203" s="315">
        <v>2447464</v>
      </c>
      <c r="AX203" s="315">
        <v>111925</v>
      </c>
      <c r="AY203" s="315">
        <v>49979</v>
      </c>
      <c r="AZ203" s="315">
        <v>14409</v>
      </c>
      <c r="BA203" s="315">
        <v>15871</v>
      </c>
      <c r="BB203" s="315">
        <v>31666</v>
      </c>
      <c r="BC203" s="315">
        <v>219044</v>
      </c>
      <c r="BD203" s="315">
        <v>626536</v>
      </c>
      <c r="BE203" s="315">
        <v>-166304</v>
      </c>
      <c r="BF203" s="315">
        <v>-147885</v>
      </c>
      <c r="BG203" s="315">
        <v>-127722</v>
      </c>
      <c r="BH203" s="315">
        <v>-20163</v>
      </c>
      <c r="BI203" s="315">
        <v>0</v>
      </c>
      <c r="BJ203" s="315">
        <v>-102363</v>
      </c>
      <c r="BK203" s="315">
        <v>-45522</v>
      </c>
      <c r="BL203" s="315">
        <v>-16559</v>
      </c>
      <c r="BM203" s="315">
        <v>-1860</v>
      </c>
      <c r="BN203" s="315">
        <v>3238665</v>
      </c>
      <c r="BO203" s="315">
        <v>434175</v>
      </c>
      <c r="BP203" s="315">
        <v>157846</v>
      </c>
      <c r="BQ203" s="315">
        <v>21185</v>
      </c>
      <c r="BR203" s="315"/>
      <c r="BS203" s="315">
        <v>2442375</v>
      </c>
      <c r="BT203" s="315">
        <v>944004</v>
      </c>
      <c r="BU203" s="315">
        <v>866026</v>
      </c>
      <c r="BV203" s="315">
        <v>622991</v>
      </c>
      <c r="BW203" s="315">
        <v>9354</v>
      </c>
      <c r="BX203" s="315">
        <v>-15797</v>
      </c>
      <c r="BY203" s="315">
        <v>198881</v>
      </c>
      <c r="BZ203" s="315">
        <v>0</v>
      </c>
      <c r="CA203" s="315">
        <v>476832</v>
      </c>
      <c r="CB203" s="315">
        <v>-13183</v>
      </c>
      <c r="CC203" s="315">
        <v>-10319</v>
      </c>
      <c r="CD203" s="315">
        <v>-2864</v>
      </c>
      <c r="CE203" s="315">
        <v>463649</v>
      </c>
      <c r="CF203" s="315">
        <v>156737</v>
      </c>
      <c r="CG203" s="315">
        <v>9426</v>
      </c>
      <c r="CH203" s="315">
        <v>297486</v>
      </c>
      <c r="CI203" s="315">
        <v>9509561</v>
      </c>
      <c r="CJ203" s="315">
        <v>773994</v>
      </c>
      <c r="CK203" s="315">
        <v>8735567</v>
      </c>
      <c r="CL203" s="315">
        <v>3720643</v>
      </c>
      <c r="CM203" s="315">
        <v>4535856</v>
      </c>
      <c r="CN203" s="315">
        <v>479068</v>
      </c>
      <c r="CO203" s="315">
        <v>0</v>
      </c>
      <c r="CP203" s="315">
        <v>0</v>
      </c>
      <c r="CQ203" s="315">
        <v>479068</v>
      </c>
      <c r="CR203" s="315">
        <v>-2428200</v>
      </c>
      <c r="CS203" s="315">
        <v>-526397</v>
      </c>
      <c r="CT203" s="315">
        <v>-396285</v>
      </c>
      <c r="CU203" s="315">
        <v>-58073</v>
      </c>
      <c r="CV203" s="315">
        <v>-768</v>
      </c>
      <c r="CW203" s="315">
        <v>-71271</v>
      </c>
      <c r="CX203" s="315">
        <v>-1564927</v>
      </c>
      <c r="CY203" s="315">
        <v>-996773</v>
      </c>
      <c r="CZ203" s="315">
        <v>-558379</v>
      </c>
      <c r="DA203" s="315">
        <v>-9775</v>
      </c>
      <c r="DB203" s="315">
        <v>-336876</v>
      </c>
      <c r="DC203" s="315">
        <v>0</v>
      </c>
      <c r="DD203" s="315">
        <v>7081361</v>
      </c>
      <c r="DE203" s="315">
        <v>5070571</v>
      </c>
      <c r="DF203" s="315">
        <v>2010790</v>
      </c>
      <c r="DG203" s="315">
        <v>1969686</v>
      </c>
      <c r="DH203" s="315">
        <v>41104</v>
      </c>
      <c r="DI203" s="315">
        <v>1666515</v>
      </c>
      <c r="DJ203" s="315">
        <v>27812</v>
      </c>
      <c r="DK203" s="315">
        <v>17568</v>
      </c>
      <c r="DL203" s="315">
        <v>851</v>
      </c>
      <c r="DM203" s="315">
        <v>912830</v>
      </c>
      <c r="DN203" s="315">
        <v>579542</v>
      </c>
      <c r="DO203" s="315">
        <v>127781</v>
      </c>
      <c r="DP203" s="315"/>
      <c r="DQ203" s="315"/>
      <c r="DR203" s="315">
        <v>131</v>
      </c>
      <c r="DS203" s="315">
        <v>-74379</v>
      </c>
      <c r="DT203" s="315">
        <v>-19471</v>
      </c>
      <c r="DU203" s="315">
        <v>-4757</v>
      </c>
      <c r="DV203" s="315">
        <v>-5</v>
      </c>
      <c r="DW203" s="315">
        <v>-3273</v>
      </c>
      <c r="DX203" s="315">
        <v>-361</v>
      </c>
      <c r="DY203" s="315">
        <v>-2283</v>
      </c>
      <c r="DZ203" s="315">
        <v>-629</v>
      </c>
      <c r="EA203" s="315">
        <v>-46858</v>
      </c>
      <c r="EB203" s="315">
        <v>-1</v>
      </c>
      <c r="EC203" s="315"/>
      <c r="ED203" s="315"/>
      <c r="EE203" s="315">
        <v>-14</v>
      </c>
      <c r="EF203" s="315">
        <v>1592136</v>
      </c>
      <c r="EG203" s="315">
        <v>538632</v>
      </c>
      <c r="EH203" s="315">
        <v>1053504</v>
      </c>
      <c r="EI203" s="315">
        <v>1035379</v>
      </c>
      <c r="EJ203" s="315">
        <v>18125</v>
      </c>
      <c r="EK203" s="315">
        <v>8341</v>
      </c>
      <c r="EL203" s="315">
        <v>-31734</v>
      </c>
      <c r="EM203" s="315">
        <v>40075</v>
      </c>
      <c r="EN203" s="315">
        <v>39267</v>
      </c>
      <c r="EO203" s="315">
        <v>808</v>
      </c>
      <c r="EP203" s="315">
        <v>12811</v>
      </c>
      <c r="EQ203" s="315">
        <v>-1294</v>
      </c>
      <c r="ER203" s="315">
        <v>14105</v>
      </c>
      <c r="ES203" s="315">
        <v>13831</v>
      </c>
      <c r="ET203" s="315">
        <v>274</v>
      </c>
      <c r="EU203" s="315">
        <v>846</v>
      </c>
      <c r="EV203" s="315">
        <v>-73</v>
      </c>
      <c r="EW203" s="315">
        <v>919</v>
      </c>
      <c r="EX203" s="315">
        <v>900</v>
      </c>
      <c r="EY203" s="315">
        <v>19</v>
      </c>
      <c r="EZ203" s="315">
        <v>909557</v>
      </c>
      <c r="FA203" s="315">
        <v>427533</v>
      </c>
      <c r="FB203" s="315">
        <v>482024</v>
      </c>
      <c r="FC203" s="315">
        <v>472624</v>
      </c>
      <c r="FD203" s="315">
        <v>9400</v>
      </c>
      <c r="FE203" s="315">
        <v>532684</v>
      </c>
      <c r="FF203" s="315">
        <v>133148</v>
      </c>
      <c r="FG203" s="315">
        <v>399536</v>
      </c>
      <c r="FH203" s="315">
        <v>391912</v>
      </c>
      <c r="FI203" s="315">
        <v>7624</v>
      </c>
      <c r="FJ203" s="315">
        <v>127780</v>
      </c>
      <c r="FK203" s="315">
        <v>10935</v>
      </c>
      <c r="FL203" s="315">
        <v>116845</v>
      </c>
      <c r="FM203" s="315">
        <v>116845</v>
      </c>
      <c r="FN203" s="315"/>
      <c r="FO203" s="315"/>
      <c r="FP203" s="315"/>
      <c r="FQ203" s="315">
        <v>117</v>
      </c>
      <c r="FR203" s="315">
        <v>756981</v>
      </c>
      <c r="FS203" s="315">
        <v>-37841</v>
      </c>
      <c r="FT203" s="315">
        <v>719140</v>
      </c>
      <c r="FU203" s="315"/>
      <c r="FV203" s="315"/>
      <c r="FW203" s="315"/>
      <c r="FX203" s="315">
        <v>137594</v>
      </c>
      <c r="FY203" s="315">
        <v>127423</v>
      </c>
      <c r="FZ203" s="315"/>
      <c r="GA203" s="315"/>
      <c r="GB203" s="315"/>
      <c r="GC203" s="315">
        <v>324168</v>
      </c>
      <c r="GD203" s="315">
        <v>271526</v>
      </c>
      <c r="GE203" s="315"/>
      <c r="GF203" s="315">
        <v>52642</v>
      </c>
      <c r="GG203" s="315">
        <v>129955</v>
      </c>
      <c r="GH203" s="315">
        <v>6978</v>
      </c>
      <c r="GI203" s="315">
        <v>690</v>
      </c>
      <c r="GJ203" s="315">
        <v>122287</v>
      </c>
      <c r="GL203"/>
      <c r="GM203"/>
      <c r="GN203"/>
      <c r="GO203"/>
    </row>
    <row r="204" spans="1:197">
      <c r="A204" s="98" t="s">
        <v>29</v>
      </c>
      <c r="B204" s="98">
        <v>5</v>
      </c>
      <c r="C204" s="98" t="s">
        <v>221</v>
      </c>
      <c r="D204" s="315">
        <v>11615109</v>
      </c>
      <c r="E204" s="315">
        <v>-5024972</v>
      </c>
      <c r="F204" s="315">
        <v>-13266</v>
      </c>
      <c r="G204" s="315">
        <v>6576871</v>
      </c>
      <c r="H204" s="315">
        <v>425714</v>
      </c>
      <c r="I204" s="315">
        <v>6151157</v>
      </c>
      <c r="J204" s="315">
        <v>6026854</v>
      </c>
      <c r="K204" s="315">
        <v>124303</v>
      </c>
      <c r="L204" s="315">
        <v>4400549</v>
      </c>
      <c r="M204" s="315">
        <v>3806362</v>
      </c>
      <c r="N204" s="315">
        <v>154814</v>
      </c>
      <c r="O204" s="315">
        <v>87453</v>
      </c>
      <c r="P204" s="315">
        <v>67361</v>
      </c>
      <c r="Q204" s="315">
        <v>34178</v>
      </c>
      <c r="R204" s="315">
        <v>405195</v>
      </c>
      <c r="S204" s="315">
        <v>-2572720</v>
      </c>
      <c r="T204" s="315">
        <v>-2564028</v>
      </c>
      <c r="U204" s="315">
        <v>-62984</v>
      </c>
      <c r="V204" s="315">
        <v>-255</v>
      </c>
      <c r="W204" s="315">
        <v>-2473951</v>
      </c>
      <c r="X204" s="315">
        <v>0</v>
      </c>
      <c r="Y204" s="315">
        <v>-26838</v>
      </c>
      <c r="Z204" s="315">
        <v>-1479</v>
      </c>
      <c r="AA204" s="315">
        <v>-7213</v>
      </c>
      <c r="AB204" s="315">
        <v>0</v>
      </c>
      <c r="AC204" s="315">
        <v>-13266</v>
      </c>
      <c r="AD204" s="315">
        <v>1814563</v>
      </c>
      <c r="AE204" s="315">
        <v>-1272298</v>
      </c>
      <c r="AF204" s="315">
        <v>3086861</v>
      </c>
      <c r="AG204" s="315">
        <v>3021786</v>
      </c>
      <c r="AH204" s="315">
        <v>65075</v>
      </c>
      <c r="AI204" s="315">
        <v>3800493</v>
      </c>
      <c r="AJ204" s="315">
        <v>1328883</v>
      </c>
      <c r="AK204" s="315">
        <v>2342423</v>
      </c>
      <c r="AL204" s="315">
        <v>11185</v>
      </c>
      <c r="AM204" s="315">
        <v>314493</v>
      </c>
      <c r="AN204" s="315">
        <v>55392</v>
      </c>
      <c r="AO204" s="315">
        <v>20851</v>
      </c>
      <c r="AP204" s="315"/>
      <c r="AQ204" s="315">
        <v>13115</v>
      </c>
      <c r="AR204" s="315">
        <v>-2409214</v>
      </c>
      <c r="AS204" s="315">
        <v>32699</v>
      </c>
      <c r="AT204" s="315">
        <v>0</v>
      </c>
      <c r="AU204" s="315">
        <v>-13266</v>
      </c>
      <c r="AV204" s="315">
        <v>378074</v>
      </c>
      <c r="AW204" s="315">
        <v>18783</v>
      </c>
      <c r="AX204" s="315">
        <v>62688</v>
      </c>
      <c r="AY204" s="315">
        <v>6363</v>
      </c>
      <c r="AZ204" s="315">
        <v>11629</v>
      </c>
      <c r="BA204" s="315">
        <v>6193</v>
      </c>
      <c r="BB204" s="315">
        <v>38503</v>
      </c>
      <c r="BC204" s="315">
        <v>135607</v>
      </c>
      <c r="BD204" s="315">
        <v>160996</v>
      </c>
      <c r="BE204" s="315">
        <v>-133246</v>
      </c>
      <c r="BF204" s="315">
        <v>-130743</v>
      </c>
      <c r="BG204" s="315">
        <v>-102621</v>
      </c>
      <c r="BH204" s="315">
        <v>-28122</v>
      </c>
      <c r="BI204" s="315">
        <v>0</v>
      </c>
      <c r="BJ204" s="315">
        <v>-86800.999999999985</v>
      </c>
      <c r="BK204" s="315">
        <v>-43942.000000000015</v>
      </c>
      <c r="BL204" s="315">
        <v>-1246</v>
      </c>
      <c r="BM204" s="315">
        <v>-1257</v>
      </c>
      <c r="BN204" s="315">
        <v>244828</v>
      </c>
      <c r="BO204" s="315">
        <v>131128</v>
      </c>
      <c r="BP204" s="315">
        <v>19212</v>
      </c>
      <c r="BQ204" s="315">
        <v>8881</v>
      </c>
      <c r="BR204" s="315"/>
      <c r="BS204" s="315">
        <v>18055</v>
      </c>
      <c r="BT204" s="315">
        <v>1549</v>
      </c>
      <c r="BU204" s="315">
        <v>138</v>
      </c>
      <c r="BV204" s="315">
        <v>1966</v>
      </c>
      <c r="BW204" s="315">
        <v>14402</v>
      </c>
      <c r="BX204" s="315">
        <v>-39933</v>
      </c>
      <c r="BY204" s="315">
        <v>107485</v>
      </c>
      <c r="BZ204" s="315">
        <v>0</v>
      </c>
      <c r="CA204" s="315">
        <v>84472</v>
      </c>
      <c r="CB204" s="315">
        <v>-15663</v>
      </c>
      <c r="CC204" s="315">
        <v>-14635</v>
      </c>
      <c r="CD204" s="315">
        <v>-1028</v>
      </c>
      <c r="CE204" s="315">
        <v>68809</v>
      </c>
      <c r="CF204" s="315">
        <v>77157</v>
      </c>
      <c r="CG204" s="315">
        <v>13</v>
      </c>
      <c r="CH204" s="315">
        <v>-8361</v>
      </c>
      <c r="CI204" s="315">
        <v>4735130</v>
      </c>
      <c r="CJ204" s="315">
        <v>709214</v>
      </c>
      <c r="CK204" s="315">
        <v>4025916</v>
      </c>
      <c r="CL204" s="315">
        <v>3514300</v>
      </c>
      <c r="CM204" s="315">
        <v>85875</v>
      </c>
      <c r="CN204" s="315">
        <v>425741</v>
      </c>
      <c r="CO204" s="315">
        <v>0</v>
      </c>
      <c r="CP204" s="315">
        <v>0</v>
      </c>
      <c r="CQ204" s="315">
        <v>425741</v>
      </c>
      <c r="CR204" s="315">
        <v>-2230071</v>
      </c>
      <c r="CS204" s="315">
        <v>-833254</v>
      </c>
      <c r="CT204" s="315">
        <v>-595444</v>
      </c>
      <c r="CU204" s="315">
        <v>-34016</v>
      </c>
      <c r="CV204" s="315">
        <v>-539</v>
      </c>
      <c r="CW204" s="315">
        <v>-203255</v>
      </c>
      <c r="CX204" s="315">
        <v>-1396817</v>
      </c>
      <c r="CY204" s="315">
        <v>-947441</v>
      </c>
      <c r="CZ204" s="315">
        <v>-444081</v>
      </c>
      <c r="DA204" s="315">
        <v>-5295</v>
      </c>
      <c r="DB204" s="315">
        <v>0</v>
      </c>
      <c r="DC204" s="315">
        <v>0</v>
      </c>
      <c r="DD204" s="315">
        <v>2505059</v>
      </c>
      <c r="DE204" s="315">
        <v>494268</v>
      </c>
      <c r="DF204" s="315">
        <v>2010791</v>
      </c>
      <c r="DG204" s="315">
        <v>1969688</v>
      </c>
      <c r="DH204" s="315">
        <v>41103</v>
      </c>
      <c r="DI204" s="315">
        <v>1586358</v>
      </c>
      <c r="DJ204" s="315">
        <v>59456</v>
      </c>
      <c r="DK204" s="315">
        <v>18938</v>
      </c>
      <c r="DL204" s="315">
        <v>2006</v>
      </c>
      <c r="DM204" s="315">
        <v>756368</v>
      </c>
      <c r="DN204" s="315">
        <v>643054</v>
      </c>
      <c r="DO204" s="315">
        <v>106463</v>
      </c>
      <c r="DP204" s="315"/>
      <c r="DQ204" s="315"/>
      <c r="DR204" s="315">
        <v>73</v>
      </c>
      <c r="DS204" s="315">
        <v>-24890</v>
      </c>
      <c r="DT204" s="315">
        <v>-5148</v>
      </c>
      <c r="DU204" s="315">
        <v>-17</v>
      </c>
      <c r="DV204" s="315">
        <v>-2</v>
      </c>
      <c r="DW204" s="315">
        <v>-19621</v>
      </c>
      <c r="DX204" s="315">
        <v>-5745</v>
      </c>
      <c r="DY204" s="315">
        <v>-13163</v>
      </c>
      <c r="DZ204" s="315">
        <v>-713</v>
      </c>
      <c r="EA204" s="315">
        <v>-73</v>
      </c>
      <c r="EB204" s="315">
        <v>0</v>
      </c>
      <c r="EC204" s="315"/>
      <c r="ED204" s="315"/>
      <c r="EE204" s="315">
        <v>-29</v>
      </c>
      <c r="EF204" s="315">
        <v>1561468</v>
      </c>
      <c r="EG204" s="315">
        <v>507963</v>
      </c>
      <c r="EH204" s="315">
        <v>1053505</v>
      </c>
      <c r="EI204" s="315">
        <v>1035380</v>
      </c>
      <c r="EJ204" s="315">
        <v>18125</v>
      </c>
      <c r="EK204" s="315">
        <v>54308</v>
      </c>
      <c r="EL204" s="315">
        <v>14233</v>
      </c>
      <c r="EM204" s="315">
        <v>40075</v>
      </c>
      <c r="EN204" s="315">
        <v>39267</v>
      </c>
      <c r="EO204" s="315">
        <v>808</v>
      </c>
      <c r="EP204" s="315">
        <v>18921</v>
      </c>
      <c r="EQ204" s="315">
        <v>4816</v>
      </c>
      <c r="ER204" s="315">
        <v>14105</v>
      </c>
      <c r="ES204" s="315">
        <v>13831</v>
      </c>
      <c r="ET204" s="315">
        <v>274</v>
      </c>
      <c r="EU204" s="315">
        <v>2004</v>
      </c>
      <c r="EV204" s="315">
        <v>1086</v>
      </c>
      <c r="EW204" s="315">
        <v>918</v>
      </c>
      <c r="EX204" s="315">
        <v>900</v>
      </c>
      <c r="EY204" s="315">
        <v>18</v>
      </c>
      <c r="EZ204" s="315">
        <v>736747</v>
      </c>
      <c r="FA204" s="315">
        <v>254721</v>
      </c>
      <c r="FB204" s="315">
        <v>482026</v>
      </c>
      <c r="FC204" s="315">
        <v>472625</v>
      </c>
      <c r="FD204" s="315">
        <v>9401</v>
      </c>
      <c r="FE204" s="315">
        <v>642981</v>
      </c>
      <c r="FF204" s="315">
        <v>243445</v>
      </c>
      <c r="FG204" s="315">
        <v>399536</v>
      </c>
      <c r="FH204" s="315">
        <v>391912</v>
      </c>
      <c r="FI204" s="315">
        <v>7624</v>
      </c>
      <c r="FJ204" s="315">
        <v>106463</v>
      </c>
      <c r="FK204" s="315">
        <v>-10382</v>
      </c>
      <c r="FL204" s="315">
        <v>116845</v>
      </c>
      <c r="FM204" s="315">
        <v>116845</v>
      </c>
      <c r="FN204" s="315"/>
      <c r="FO204" s="315"/>
      <c r="FP204" s="315"/>
      <c r="FQ204" s="315">
        <v>44</v>
      </c>
      <c r="FR204" s="315">
        <v>430526</v>
      </c>
      <c r="FS204" s="315">
        <v>-48382</v>
      </c>
      <c r="FT204" s="315">
        <v>382144</v>
      </c>
      <c r="FU204" s="315"/>
      <c r="FV204" s="315"/>
      <c r="FW204" s="315"/>
      <c r="FX204" s="315">
        <v>103103</v>
      </c>
      <c r="FY204" s="315">
        <v>120081</v>
      </c>
      <c r="FZ204" s="315"/>
      <c r="GA204" s="315"/>
      <c r="GB204" s="315"/>
      <c r="GC204" s="315">
        <v>62823</v>
      </c>
      <c r="GD204" s="315">
        <v>3999</v>
      </c>
      <c r="GE204" s="315"/>
      <c r="GF204" s="315">
        <v>58824</v>
      </c>
      <c r="GG204" s="315">
        <v>96137</v>
      </c>
      <c r="GH204" s="315">
        <v>20234</v>
      </c>
      <c r="GI204" s="315">
        <v>504</v>
      </c>
      <c r="GJ204" s="315">
        <v>75399</v>
      </c>
      <c r="GL204"/>
      <c r="GM204"/>
      <c r="GN204"/>
      <c r="GO204"/>
    </row>
    <row r="205" spans="1:197">
      <c r="A205" s="98" t="s">
        <v>29</v>
      </c>
      <c r="B205" s="98">
        <v>6</v>
      </c>
      <c r="C205" s="98" t="s">
        <v>222</v>
      </c>
      <c r="D205" s="315">
        <v>13164734</v>
      </c>
      <c r="E205" s="315">
        <v>-6943958</v>
      </c>
      <c r="F205" s="315">
        <v>-13793</v>
      </c>
      <c r="G205" s="315">
        <v>6206983</v>
      </c>
      <c r="H205" s="315">
        <v>55829</v>
      </c>
      <c r="I205" s="315">
        <v>6151154</v>
      </c>
      <c r="J205" s="315">
        <v>6026851</v>
      </c>
      <c r="K205" s="315">
        <v>124303</v>
      </c>
      <c r="L205" s="315">
        <v>5624199</v>
      </c>
      <c r="M205" s="315">
        <v>4033305</v>
      </c>
      <c r="N205" s="315">
        <v>771227</v>
      </c>
      <c r="O205" s="315">
        <v>704851</v>
      </c>
      <c r="P205" s="315">
        <v>66376</v>
      </c>
      <c r="Q205" s="315">
        <v>38577</v>
      </c>
      <c r="R205" s="315">
        <v>781090</v>
      </c>
      <c r="S205" s="315">
        <v>-3192309</v>
      </c>
      <c r="T205" s="315">
        <v>-3182242</v>
      </c>
      <c r="U205" s="315">
        <v>-62859</v>
      </c>
      <c r="V205" s="315">
        <v>-145</v>
      </c>
      <c r="W205" s="315">
        <v>-3101492</v>
      </c>
      <c r="X205" s="315">
        <v>0</v>
      </c>
      <c r="Y205" s="315">
        <v>-17746</v>
      </c>
      <c r="Z205" s="315">
        <v>-6194</v>
      </c>
      <c r="AA205" s="315">
        <v>-3873</v>
      </c>
      <c r="AB205" s="315">
        <v>0</v>
      </c>
      <c r="AC205" s="315">
        <v>-13793</v>
      </c>
      <c r="AD205" s="315">
        <v>2418097</v>
      </c>
      <c r="AE205" s="315">
        <v>-668763</v>
      </c>
      <c r="AF205" s="315">
        <v>3086860</v>
      </c>
      <c r="AG205" s="315">
        <v>3021785</v>
      </c>
      <c r="AH205" s="315">
        <v>65075</v>
      </c>
      <c r="AI205" s="315">
        <v>4030084</v>
      </c>
      <c r="AJ205" s="315">
        <v>1592898</v>
      </c>
      <c r="AK205" s="315">
        <v>2300327</v>
      </c>
      <c r="AL205" s="315">
        <v>5921</v>
      </c>
      <c r="AM205" s="315">
        <v>683790</v>
      </c>
      <c r="AN205" s="315">
        <v>54764</v>
      </c>
      <c r="AO205" s="315">
        <v>29444</v>
      </c>
      <c r="AP205" s="315"/>
      <c r="AQ205" s="315">
        <v>12440</v>
      </c>
      <c r="AR205" s="315">
        <v>-2411015</v>
      </c>
      <c r="AS205" s="315">
        <v>32383</v>
      </c>
      <c r="AT205" s="315">
        <v>0</v>
      </c>
      <c r="AU205" s="315">
        <v>-13793</v>
      </c>
      <c r="AV205" s="315">
        <v>504454</v>
      </c>
      <c r="AW205" s="315">
        <v>58811</v>
      </c>
      <c r="AX205" s="315">
        <v>45673</v>
      </c>
      <c r="AY205" s="315">
        <v>3308</v>
      </c>
      <c r="AZ205" s="315">
        <v>8165</v>
      </c>
      <c r="BA205" s="315">
        <v>5624</v>
      </c>
      <c r="BB205" s="315">
        <v>28576</v>
      </c>
      <c r="BC205" s="315">
        <v>80772</v>
      </c>
      <c r="BD205" s="315">
        <v>319198</v>
      </c>
      <c r="BE205" s="315">
        <v>-379394</v>
      </c>
      <c r="BF205" s="315">
        <v>-101354</v>
      </c>
      <c r="BG205" s="315">
        <v>-73584</v>
      </c>
      <c r="BH205" s="315">
        <v>-27770</v>
      </c>
      <c r="BI205" s="315">
        <v>0</v>
      </c>
      <c r="BJ205" s="315">
        <v>-42673</v>
      </c>
      <c r="BK205" s="315">
        <v>-58681</v>
      </c>
      <c r="BL205" s="315">
        <v>-1135</v>
      </c>
      <c r="BM205" s="315">
        <v>-276905</v>
      </c>
      <c r="BN205" s="315">
        <v>125060</v>
      </c>
      <c r="BO205" s="315">
        <v>12824</v>
      </c>
      <c r="BP205" s="315">
        <v>16706</v>
      </c>
      <c r="BQ205" s="315">
        <v>12523</v>
      </c>
      <c r="BR205" s="315"/>
      <c r="BS205" s="315">
        <v>57916</v>
      </c>
      <c r="BT205" s="315">
        <v>8067</v>
      </c>
      <c r="BU205" s="315">
        <v>39906</v>
      </c>
      <c r="BV205" s="315">
        <v>908</v>
      </c>
      <c r="BW205" s="315">
        <v>9035</v>
      </c>
      <c r="BX205" s="315">
        <v>-27911</v>
      </c>
      <c r="BY205" s="315">
        <v>53002</v>
      </c>
      <c r="BZ205" s="315">
        <v>0</v>
      </c>
      <c r="CA205" s="315">
        <v>405048</v>
      </c>
      <c r="CB205" s="315">
        <v>-235581</v>
      </c>
      <c r="CC205" s="315">
        <v>-9022</v>
      </c>
      <c r="CD205" s="315">
        <v>-226559</v>
      </c>
      <c r="CE205" s="315">
        <v>169467</v>
      </c>
      <c r="CF205" s="315">
        <v>397249</v>
      </c>
      <c r="CG205" s="315">
        <v>49</v>
      </c>
      <c r="CH205" s="315">
        <v>-227831</v>
      </c>
      <c r="CI205" s="315">
        <v>4465133</v>
      </c>
      <c r="CJ205" s="315">
        <v>741671</v>
      </c>
      <c r="CK205" s="315">
        <v>3723462</v>
      </c>
      <c r="CL205" s="315">
        <v>3238832</v>
      </c>
      <c r="CM205" s="315">
        <v>69924</v>
      </c>
      <c r="CN205" s="315">
        <v>414706</v>
      </c>
      <c r="CO205" s="315">
        <v>0</v>
      </c>
      <c r="CP205" s="315">
        <v>0</v>
      </c>
      <c r="CQ205" s="315">
        <v>414706</v>
      </c>
      <c r="CR205" s="315">
        <v>-3037354</v>
      </c>
      <c r="CS205" s="315">
        <v>-868796</v>
      </c>
      <c r="CT205" s="315">
        <v>-761635</v>
      </c>
      <c r="CU205" s="315">
        <v>-36654</v>
      </c>
      <c r="CV205" s="315">
        <v>-876</v>
      </c>
      <c r="CW205" s="315">
        <v>-69631</v>
      </c>
      <c r="CX205" s="315">
        <v>-2097132</v>
      </c>
      <c r="CY205" s="315">
        <v>-1718288</v>
      </c>
      <c r="CZ205" s="315">
        <v>-373975</v>
      </c>
      <c r="DA205" s="315">
        <v>-4869</v>
      </c>
      <c r="DB205" s="315">
        <v>0</v>
      </c>
      <c r="DC205" s="315">
        <v>-71426</v>
      </c>
      <c r="DD205" s="315">
        <v>1427779</v>
      </c>
      <c r="DE205" s="315">
        <v>-583009</v>
      </c>
      <c r="DF205" s="315">
        <v>2010788</v>
      </c>
      <c r="DG205" s="315">
        <v>1969686</v>
      </c>
      <c r="DH205" s="315">
        <v>41102</v>
      </c>
      <c r="DI205" s="315">
        <v>1751361</v>
      </c>
      <c r="DJ205" s="315">
        <v>62212</v>
      </c>
      <c r="DK205" s="315">
        <v>23821</v>
      </c>
      <c r="DL205" s="315">
        <v>981</v>
      </c>
      <c r="DM205" s="315">
        <v>772873</v>
      </c>
      <c r="DN205" s="315">
        <v>782477</v>
      </c>
      <c r="DO205" s="315">
        <v>108920</v>
      </c>
      <c r="DP205" s="315"/>
      <c r="DQ205" s="315"/>
      <c r="DR205" s="315">
        <v>77</v>
      </c>
      <c r="DS205" s="315">
        <v>-28376</v>
      </c>
      <c r="DT205" s="315">
        <v>-1670</v>
      </c>
      <c r="DU205" s="315">
        <v>-77</v>
      </c>
      <c r="DV205" s="315">
        <v>-27</v>
      </c>
      <c r="DW205" s="315">
        <v>-24940</v>
      </c>
      <c r="DX205" s="315">
        <v>-16166</v>
      </c>
      <c r="DY205" s="315">
        <v>-8595</v>
      </c>
      <c r="DZ205" s="315">
        <v>-179</v>
      </c>
      <c r="EA205" s="315">
        <v>-988</v>
      </c>
      <c r="EB205" s="315">
        <v>-669</v>
      </c>
      <c r="EC205" s="315"/>
      <c r="ED205" s="315"/>
      <c r="EE205" s="315">
        <v>-5</v>
      </c>
      <c r="EF205" s="315">
        <v>1722985</v>
      </c>
      <c r="EG205" s="315">
        <v>669479</v>
      </c>
      <c r="EH205" s="315">
        <v>1053506</v>
      </c>
      <c r="EI205" s="315">
        <v>1035380</v>
      </c>
      <c r="EJ205" s="315">
        <v>18126</v>
      </c>
      <c r="EK205" s="315">
        <v>60542</v>
      </c>
      <c r="EL205" s="315">
        <v>20467</v>
      </c>
      <c r="EM205" s="315">
        <v>40075</v>
      </c>
      <c r="EN205" s="315">
        <v>39267</v>
      </c>
      <c r="EO205" s="315">
        <v>808</v>
      </c>
      <c r="EP205" s="315">
        <v>23744</v>
      </c>
      <c r="EQ205" s="315">
        <v>9638</v>
      </c>
      <c r="ER205" s="315">
        <v>14106</v>
      </c>
      <c r="ES205" s="315">
        <v>13831</v>
      </c>
      <c r="ET205" s="315">
        <v>275</v>
      </c>
      <c r="EU205" s="315">
        <v>954</v>
      </c>
      <c r="EV205" s="315">
        <v>36</v>
      </c>
      <c r="EW205" s="315">
        <v>918</v>
      </c>
      <c r="EX205" s="315">
        <v>900</v>
      </c>
      <c r="EY205" s="315">
        <v>18</v>
      </c>
      <c r="EZ205" s="315">
        <v>747933</v>
      </c>
      <c r="FA205" s="315">
        <v>265908</v>
      </c>
      <c r="FB205" s="315">
        <v>482025</v>
      </c>
      <c r="FC205" s="315">
        <v>472625</v>
      </c>
      <c r="FD205" s="315">
        <v>9400</v>
      </c>
      <c r="FE205" s="315">
        <v>781489</v>
      </c>
      <c r="FF205" s="315">
        <v>381952</v>
      </c>
      <c r="FG205" s="315">
        <v>399537</v>
      </c>
      <c r="FH205" s="315">
        <v>391912</v>
      </c>
      <c r="FI205" s="315">
        <v>7625</v>
      </c>
      <c r="FJ205" s="315">
        <v>108251</v>
      </c>
      <c r="FK205" s="315">
        <v>-8594</v>
      </c>
      <c r="FL205" s="315">
        <v>116845</v>
      </c>
      <c r="FM205" s="315">
        <v>116845</v>
      </c>
      <c r="FN205" s="315"/>
      <c r="FO205" s="315"/>
      <c r="FP205" s="315"/>
      <c r="FQ205" s="315">
        <v>72</v>
      </c>
      <c r="FR205" s="315">
        <v>414539</v>
      </c>
      <c r="FS205" s="315">
        <v>-70944</v>
      </c>
      <c r="FT205" s="315">
        <v>343595</v>
      </c>
      <c r="FU205" s="315"/>
      <c r="FV205" s="315"/>
      <c r="FW205" s="315"/>
      <c r="FX205" s="315">
        <v>105974</v>
      </c>
      <c r="FY205" s="315">
        <v>121214</v>
      </c>
      <c r="FZ205" s="315"/>
      <c r="GA205" s="315"/>
      <c r="GB205" s="315"/>
      <c r="GC205" s="315">
        <v>8994</v>
      </c>
      <c r="GD205" s="315">
        <v>-43837</v>
      </c>
      <c r="GE205" s="315"/>
      <c r="GF205" s="315">
        <v>52831</v>
      </c>
      <c r="GG205" s="315">
        <v>107413</v>
      </c>
      <c r="GH205" s="315">
        <v>16415</v>
      </c>
      <c r="GI205" s="315">
        <v>415</v>
      </c>
      <c r="GJ205" s="315">
        <v>90583</v>
      </c>
      <c r="GL205"/>
      <c r="GM205"/>
      <c r="GN205"/>
      <c r="GO205"/>
    </row>
    <row r="206" spans="1:197">
      <c r="A206" s="98" t="s">
        <v>29</v>
      </c>
      <c r="B206" s="98">
        <v>7</v>
      </c>
      <c r="C206" s="98" t="s">
        <v>223</v>
      </c>
      <c r="D206" s="315">
        <v>26540113</v>
      </c>
      <c r="E206" s="315">
        <v>-5497777</v>
      </c>
      <c r="F206" s="315">
        <v>-13266</v>
      </c>
      <c r="G206" s="315">
        <v>21029070</v>
      </c>
      <c r="H206" s="315">
        <v>14877917</v>
      </c>
      <c r="I206" s="315">
        <v>6151153</v>
      </c>
      <c r="J206" s="315">
        <v>6026850</v>
      </c>
      <c r="K206" s="315">
        <v>124303</v>
      </c>
      <c r="L206" s="315">
        <v>13708452</v>
      </c>
      <c r="M206" s="315">
        <v>8781295</v>
      </c>
      <c r="N206" s="315">
        <v>3337080</v>
      </c>
      <c r="O206" s="315">
        <v>3252026</v>
      </c>
      <c r="P206" s="315">
        <v>85054</v>
      </c>
      <c r="Q206" s="315">
        <v>127292</v>
      </c>
      <c r="R206" s="315">
        <v>1462785</v>
      </c>
      <c r="S206" s="315">
        <v>-1971324</v>
      </c>
      <c r="T206" s="315">
        <v>-1959141</v>
      </c>
      <c r="U206" s="315">
        <v>-61340</v>
      </c>
      <c r="V206" s="315">
        <v>-64</v>
      </c>
      <c r="W206" s="315">
        <v>-1847328</v>
      </c>
      <c r="X206" s="315">
        <v>0</v>
      </c>
      <c r="Y206" s="315">
        <v>-50409</v>
      </c>
      <c r="Z206" s="315">
        <v>-4193</v>
      </c>
      <c r="AA206" s="315">
        <v>-7990</v>
      </c>
      <c r="AB206" s="315">
        <v>0</v>
      </c>
      <c r="AC206" s="315">
        <v>-13266</v>
      </c>
      <c r="AD206" s="315">
        <v>11723862</v>
      </c>
      <c r="AE206" s="315">
        <v>8636999</v>
      </c>
      <c r="AF206" s="315">
        <v>3086863</v>
      </c>
      <c r="AG206" s="315">
        <v>3021786</v>
      </c>
      <c r="AH206" s="315">
        <v>65077</v>
      </c>
      <c r="AI206" s="315">
        <v>8776014</v>
      </c>
      <c r="AJ206" s="315">
        <v>2006052</v>
      </c>
      <c r="AK206" s="315">
        <v>2960267</v>
      </c>
      <c r="AL206" s="315">
        <v>3680653</v>
      </c>
      <c r="AM206" s="315">
        <v>519939</v>
      </c>
      <c r="AN206" s="315">
        <v>386687</v>
      </c>
      <c r="AO206" s="315">
        <v>32379</v>
      </c>
      <c r="AP206" s="315"/>
      <c r="AQ206" s="315">
        <v>521071</v>
      </c>
      <c r="AR206" s="315">
        <v>1377939</v>
      </c>
      <c r="AS206" s="315">
        <v>123099</v>
      </c>
      <c r="AT206" s="315">
        <v>0</v>
      </c>
      <c r="AU206" s="315">
        <v>-13266</v>
      </c>
      <c r="AV206" s="315">
        <v>852435</v>
      </c>
      <c r="AW206" s="315">
        <v>13045</v>
      </c>
      <c r="AX206" s="315">
        <v>315996</v>
      </c>
      <c r="AY206" s="315">
        <v>143945</v>
      </c>
      <c r="AZ206" s="315">
        <v>53488</v>
      </c>
      <c r="BA206" s="315">
        <v>82831</v>
      </c>
      <c r="BB206" s="315">
        <v>35732</v>
      </c>
      <c r="BC206" s="315">
        <v>139875</v>
      </c>
      <c r="BD206" s="315">
        <v>383519</v>
      </c>
      <c r="BE206" s="315">
        <v>-93649</v>
      </c>
      <c r="BF206" s="315">
        <v>-91486</v>
      </c>
      <c r="BG206" s="315">
        <v>-63284</v>
      </c>
      <c r="BH206" s="315">
        <v>-28202</v>
      </c>
      <c r="BI206" s="315">
        <v>0</v>
      </c>
      <c r="BJ206" s="315">
        <v>-44287</v>
      </c>
      <c r="BK206" s="315">
        <v>-47199</v>
      </c>
      <c r="BL206" s="315">
        <v>-1548</v>
      </c>
      <c r="BM206" s="315">
        <v>-615</v>
      </c>
      <c r="BN206" s="315">
        <v>758786</v>
      </c>
      <c r="BO206" s="315">
        <v>209670</v>
      </c>
      <c r="BP206" s="315">
        <v>158371</v>
      </c>
      <c r="BQ206" s="315">
        <v>13771</v>
      </c>
      <c r="BR206" s="315"/>
      <c r="BS206" s="315">
        <v>12589</v>
      </c>
      <c r="BT206" s="315">
        <v>477</v>
      </c>
      <c r="BU206" s="315">
        <v>0</v>
      </c>
      <c r="BV206" s="315">
        <v>768</v>
      </c>
      <c r="BW206" s="315">
        <v>11344</v>
      </c>
      <c r="BX206" s="315">
        <v>252712</v>
      </c>
      <c r="BY206" s="315">
        <v>111673</v>
      </c>
      <c r="BZ206" s="315">
        <v>0</v>
      </c>
      <c r="CA206" s="315">
        <v>177677</v>
      </c>
      <c r="CB206" s="315">
        <v>-51804</v>
      </c>
      <c r="CC206" s="315">
        <v>-51301</v>
      </c>
      <c r="CD206" s="315">
        <v>-503</v>
      </c>
      <c r="CE206" s="315">
        <v>125873</v>
      </c>
      <c r="CF206" s="315">
        <v>117065</v>
      </c>
      <c r="CG206" s="315">
        <v>0</v>
      </c>
      <c r="CH206" s="315">
        <v>8808</v>
      </c>
      <c r="CI206" s="315">
        <v>9626108</v>
      </c>
      <c r="CJ206" s="315">
        <v>750301</v>
      </c>
      <c r="CK206" s="315">
        <v>8875807</v>
      </c>
      <c r="CL206" s="315">
        <v>3670478</v>
      </c>
      <c r="CM206" s="315">
        <v>4786650</v>
      </c>
      <c r="CN206" s="315">
        <v>418679</v>
      </c>
      <c r="CO206" s="315">
        <v>0</v>
      </c>
      <c r="CP206" s="315">
        <v>0</v>
      </c>
      <c r="CQ206" s="315">
        <v>418679</v>
      </c>
      <c r="CR206" s="315">
        <v>-3290081</v>
      </c>
      <c r="CS206" s="315">
        <v>-1613901</v>
      </c>
      <c r="CT206" s="315">
        <v>-1461232</v>
      </c>
      <c r="CU206" s="315">
        <v>-74715</v>
      </c>
      <c r="CV206" s="315">
        <v>-1334</v>
      </c>
      <c r="CW206" s="315">
        <v>-76620</v>
      </c>
      <c r="CX206" s="315">
        <v>-1494103</v>
      </c>
      <c r="CY206" s="315">
        <v>-1215101</v>
      </c>
      <c r="CZ206" s="315">
        <v>-267751</v>
      </c>
      <c r="DA206" s="315">
        <v>-11251</v>
      </c>
      <c r="DB206" s="315">
        <v>-182077</v>
      </c>
      <c r="DC206" s="315">
        <v>0</v>
      </c>
      <c r="DD206" s="315">
        <v>6336027</v>
      </c>
      <c r="DE206" s="315">
        <v>4325238</v>
      </c>
      <c r="DF206" s="315">
        <v>2010789</v>
      </c>
      <c r="DG206" s="315">
        <v>1969686</v>
      </c>
      <c r="DH206" s="315">
        <v>41103</v>
      </c>
      <c r="DI206" s="315">
        <v>1746566</v>
      </c>
      <c r="DJ206" s="315">
        <v>36410</v>
      </c>
      <c r="DK206" s="315">
        <v>25993</v>
      </c>
      <c r="DL206" s="315">
        <v>1304</v>
      </c>
      <c r="DM206" s="315">
        <v>784729</v>
      </c>
      <c r="DN206" s="315">
        <v>786640</v>
      </c>
      <c r="DO206" s="315">
        <v>111361</v>
      </c>
      <c r="DP206" s="315"/>
      <c r="DQ206" s="315"/>
      <c r="DR206" s="315">
        <v>129</v>
      </c>
      <c r="DS206" s="315">
        <v>-39926</v>
      </c>
      <c r="DT206" s="315">
        <v>-8272</v>
      </c>
      <c r="DU206" s="315">
        <v>-2078</v>
      </c>
      <c r="DV206" s="315">
        <v>-1</v>
      </c>
      <c r="DW206" s="315">
        <v>-29366</v>
      </c>
      <c r="DX206" s="315">
        <v>-24105</v>
      </c>
      <c r="DY206" s="315">
        <v>-4847</v>
      </c>
      <c r="DZ206" s="315">
        <v>-414</v>
      </c>
      <c r="EA206" s="315">
        <v>0</v>
      </c>
      <c r="EB206" s="315">
        <v>-68</v>
      </c>
      <c r="EC206" s="315"/>
      <c r="ED206" s="315"/>
      <c r="EE206" s="315">
        <v>-141</v>
      </c>
      <c r="EF206" s="315">
        <v>1706640</v>
      </c>
      <c r="EG206" s="315">
        <v>653139</v>
      </c>
      <c r="EH206" s="315">
        <v>1053501</v>
      </c>
      <c r="EI206" s="315">
        <v>1035378</v>
      </c>
      <c r="EJ206" s="315">
        <v>18123</v>
      </c>
      <c r="EK206" s="315">
        <v>28138</v>
      </c>
      <c r="EL206" s="315">
        <v>-11937</v>
      </c>
      <c r="EM206" s="315">
        <v>40075</v>
      </c>
      <c r="EN206" s="315">
        <v>39267</v>
      </c>
      <c r="EO206" s="315">
        <v>808</v>
      </c>
      <c r="EP206" s="315">
        <v>23915</v>
      </c>
      <c r="EQ206" s="315">
        <v>9810</v>
      </c>
      <c r="ER206" s="315">
        <v>14105</v>
      </c>
      <c r="ES206" s="315">
        <v>13831</v>
      </c>
      <c r="ET206" s="315">
        <v>274</v>
      </c>
      <c r="EU206" s="315">
        <v>1303</v>
      </c>
      <c r="EV206" s="315">
        <v>386</v>
      </c>
      <c r="EW206" s="315">
        <v>917</v>
      </c>
      <c r="EX206" s="315">
        <v>900</v>
      </c>
      <c r="EY206" s="315">
        <v>17</v>
      </c>
      <c r="EZ206" s="315">
        <v>755363</v>
      </c>
      <c r="FA206" s="315">
        <v>273338</v>
      </c>
      <c r="FB206" s="315">
        <v>482025</v>
      </c>
      <c r="FC206" s="315">
        <v>472624</v>
      </c>
      <c r="FD206" s="315">
        <v>9401</v>
      </c>
      <c r="FE206" s="315">
        <v>786640</v>
      </c>
      <c r="FF206" s="315">
        <v>387105</v>
      </c>
      <c r="FG206" s="315">
        <v>399535</v>
      </c>
      <c r="FH206" s="315">
        <v>391912</v>
      </c>
      <c r="FI206" s="315">
        <v>7623</v>
      </c>
      <c r="FJ206" s="315">
        <v>111293</v>
      </c>
      <c r="FK206" s="315">
        <v>-5551</v>
      </c>
      <c r="FL206" s="315">
        <v>116844</v>
      </c>
      <c r="FM206" s="315">
        <v>116844</v>
      </c>
      <c r="FN206" s="315"/>
      <c r="FO206" s="315"/>
      <c r="FP206" s="315"/>
      <c r="FQ206" s="315">
        <v>-12</v>
      </c>
      <c r="FR206" s="315">
        <v>428875</v>
      </c>
      <c r="FS206" s="315">
        <v>-50993</v>
      </c>
      <c r="FT206" s="315">
        <v>377882</v>
      </c>
      <c r="FU206" s="315"/>
      <c r="FV206" s="315"/>
      <c r="FW206" s="315"/>
      <c r="FX206" s="315">
        <v>117633</v>
      </c>
      <c r="FY206" s="315">
        <v>120781</v>
      </c>
      <c r="FZ206" s="315"/>
      <c r="GA206" s="315"/>
      <c r="GB206" s="315"/>
      <c r="GC206" s="315">
        <v>27686</v>
      </c>
      <c r="GD206" s="315">
        <v>-24671</v>
      </c>
      <c r="GE206" s="315"/>
      <c r="GF206" s="315">
        <v>52357</v>
      </c>
      <c r="GG206" s="315">
        <v>111782</v>
      </c>
      <c r="GH206" s="315">
        <v>8142</v>
      </c>
      <c r="GI206" s="315">
        <v>646</v>
      </c>
      <c r="GJ206" s="315">
        <v>102994</v>
      </c>
      <c r="GL206"/>
      <c r="GM206"/>
      <c r="GN206"/>
      <c r="GO206"/>
    </row>
    <row r="207" spans="1:197">
      <c r="A207" s="98" t="s">
        <v>29</v>
      </c>
      <c r="B207" s="98">
        <v>8</v>
      </c>
      <c r="C207" s="98" t="s">
        <v>224</v>
      </c>
      <c r="D207" s="315">
        <v>10095582</v>
      </c>
      <c r="E207" s="315">
        <v>-2966164</v>
      </c>
      <c r="F207" s="315">
        <v>-13266</v>
      </c>
      <c r="G207" s="315">
        <v>7116152</v>
      </c>
      <c r="H207" s="315">
        <v>964996</v>
      </c>
      <c r="I207" s="315">
        <v>6151156</v>
      </c>
      <c r="J207" s="315">
        <v>6026853</v>
      </c>
      <c r="K207" s="315">
        <v>124303</v>
      </c>
      <c r="L207" s="315">
        <v>766156</v>
      </c>
      <c r="M207" s="315">
        <v>596918</v>
      </c>
      <c r="N207" s="315">
        <v>85247</v>
      </c>
      <c r="O207" s="315">
        <v>20272</v>
      </c>
      <c r="P207" s="315">
        <v>64975</v>
      </c>
      <c r="Q207" s="315">
        <v>43773</v>
      </c>
      <c r="R207" s="315">
        <v>40218</v>
      </c>
      <c r="S207" s="315">
        <v>-694121</v>
      </c>
      <c r="T207" s="315">
        <v>-687946</v>
      </c>
      <c r="U207" s="315">
        <v>-60297</v>
      </c>
      <c r="V207" s="315">
        <v>-46</v>
      </c>
      <c r="W207" s="315">
        <v>-604656</v>
      </c>
      <c r="X207" s="315">
        <v>0</v>
      </c>
      <c r="Y207" s="315">
        <v>-22947</v>
      </c>
      <c r="Z207" s="315">
        <v>-2469</v>
      </c>
      <c r="AA207" s="315">
        <v>-3706</v>
      </c>
      <c r="AB207" s="315">
        <v>0</v>
      </c>
      <c r="AC207" s="315">
        <v>-13266</v>
      </c>
      <c r="AD207" s="315">
        <v>58769</v>
      </c>
      <c r="AE207" s="315">
        <v>-3028091</v>
      </c>
      <c r="AF207" s="315">
        <v>3086860</v>
      </c>
      <c r="AG207" s="315">
        <v>3021785</v>
      </c>
      <c r="AH207" s="315">
        <v>65075</v>
      </c>
      <c r="AI207" s="315">
        <v>593808</v>
      </c>
      <c r="AJ207" s="315">
        <v>307507</v>
      </c>
      <c r="AK207" s="315">
        <v>158886</v>
      </c>
      <c r="AL207" s="315">
        <v>15075</v>
      </c>
      <c r="AM207" s="315">
        <v>10870</v>
      </c>
      <c r="AN207" s="315">
        <v>14023</v>
      </c>
      <c r="AO207" s="315">
        <v>1316</v>
      </c>
      <c r="AP207" s="315"/>
      <c r="AQ207" s="315">
        <v>13413</v>
      </c>
      <c r="AR207" s="315">
        <v>-602699</v>
      </c>
      <c r="AS207" s="315">
        <v>41304</v>
      </c>
      <c r="AT207" s="315">
        <v>0</v>
      </c>
      <c r="AU207" s="315">
        <v>-13266</v>
      </c>
      <c r="AV207" s="315">
        <v>5408011</v>
      </c>
      <c r="AW207" s="315">
        <v>8500</v>
      </c>
      <c r="AX207" s="315">
        <v>4383959</v>
      </c>
      <c r="AY207" s="315">
        <v>1773225</v>
      </c>
      <c r="AZ207" s="315">
        <v>705008</v>
      </c>
      <c r="BA207" s="315">
        <v>1852140.3200000003</v>
      </c>
      <c r="BB207" s="315">
        <v>53585.679999999702</v>
      </c>
      <c r="BC207" s="315">
        <v>211289</v>
      </c>
      <c r="BD207" s="315">
        <v>804263</v>
      </c>
      <c r="BE207" s="315">
        <v>-155463</v>
      </c>
      <c r="BF207" s="315">
        <v>-152721</v>
      </c>
      <c r="BG207" s="315">
        <v>-55722</v>
      </c>
      <c r="BH207" s="315">
        <v>-96999</v>
      </c>
      <c r="BI207" s="315">
        <v>0</v>
      </c>
      <c r="BJ207" s="315">
        <v>-32971</v>
      </c>
      <c r="BK207" s="315">
        <v>-119750</v>
      </c>
      <c r="BL207" s="315">
        <v>-1039</v>
      </c>
      <c r="BM207" s="315">
        <v>-1703</v>
      </c>
      <c r="BN207" s="315">
        <v>5252548</v>
      </c>
      <c r="BO207" s="315">
        <v>799857</v>
      </c>
      <c r="BP207" s="315">
        <v>1930</v>
      </c>
      <c r="BQ207" s="315">
        <v>557</v>
      </c>
      <c r="BR207" s="315"/>
      <c r="BS207" s="315">
        <v>7660</v>
      </c>
      <c r="BT207" s="315">
        <v>59</v>
      </c>
      <c r="BU207" s="315">
        <v>0</v>
      </c>
      <c r="BV207" s="315">
        <v>666</v>
      </c>
      <c r="BW207" s="315">
        <v>6935</v>
      </c>
      <c r="BX207" s="315">
        <v>4328237</v>
      </c>
      <c r="BY207" s="315">
        <v>114290</v>
      </c>
      <c r="BZ207" s="315">
        <v>17</v>
      </c>
      <c r="CA207" s="315">
        <v>775294</v>
      </c>
      <c r="CB207" s="315">
        <v>-10863</v>
      </c>
      <c r="CC207" s="315">
        <v>-9469</v>
      </c>
      <c r="CD207" s="315">
        <v>-1394</v>
      </c>
      <c r="CE207" s="315">
        <v>764431</v>
      </c>
      <c r="CF207" s="315">
        <v>16043</v>
      </c>
      <c r="CG207" s="315">
        <v>3</v>
      </c>
      <c r="CH207" s="315">
        <v>748385</v>
      </c>
      <c r="CI207" s="315">
        <v>1244953</v>
      </c>
      <c r="CJ207" s="315">
        <v>811811</v>
      </c>
      <c r="CK207" s="315">
        <v>433142</v>
      </c>
      <c r="CL207" s="315">
        <v>63970</v>
      </c>
      <c r="CM207" s="315">
        <v>40148</v>
      </c>
      <c r="CN207" s="315">
        <v>329024</v>
      </c>
      <c r="CO207" s="315">
        <v>0</v>
      </c>
      <c r="CP207" s="315">
        <v>0</v>
      </c>
      <c r="CQ207" s="315">
        <v>329024</v>
      </c>
      <c r="CR207" s="315">
        <v>-2042799</v>
      </c>
      <c r="CS207" s="315">
        <v>-921934</v>
      </c>
      <c r="CT207" s="315">
        <v>-755701</v>
      </c>
      <c r="CU207" s="315">
        <v>-15644</v>
      </c>
      <c r="CV207" s="315">
        <v>-454</v>
      </c>
      <c r="CW207" s="315">
        <v>-150135</v>
      </c>
      <c r="CX207" s="315">
        <v>-1066061</v>
      </c>
      <c r="CY207" s="315">
        <v>-950033</v>
      </c>
      <c r="CZ207" s="315">
        <v>-115361</v>
      </c>
      <c r="DA207" s="315">
        <v>-667</v>
      </c>
      <c r="DB207" s="315">
        <v>-54804</v>
      </c>
      <c r="DC207" s="315">
        <v>0</v>
      </c>
      <c r="DD207" s="315">
        <v>-797846</v>
      </c>
      <c r="DE207" s="315">
        <v>-2808638</v>
      </c>
      <c r="DF207" s="315">
        <v>2010792</v>
      </c>
      <c r="DG207" s="315">
        <v>1969688</v>
      </c>
      <c r="DH207" s="315">
        <v>41104</v>
      </c>
      <c r="DI207" s="315">
        <v>1622588</v>
      </c>
      <c r="DJ207" s="315">
        <v>84889</v>
      </c>
      <c r="DK207" s="315">
        <v>29031</v>
      </c>
      <c r="DL207" s="315">
        <v>2055</v>
      </c>
      <c r="DM207" s="315">
        <v>840769</v>
      </c>
      <c r="DN207" s="315">
        <v>549946</v>
      </c>
      <c r="DO207" s="315">
        <v>115702</v>
      </c>
      <c r="DP207" s="315"/>
      <c r="DQ207" s="315"/>
      <c r="DR207" s="315">
        <v>196</v>
      </c>
      <c r="DS207" s="315">
        <v>-25228</v>
      </c>
      <c r="DT207" s="315">
        <v>-1405</v>
      </c>
      <c r="DU207" s="315">
        <v>-10</v>
      </c>
      <c r="DV207" s="315">
        <v>-10</v>
      </c>
      <c r="DW207" s="315">
        <v>-23599</v>
      </c>
      <c r="DX207" s="315">
        <v>-12160</v>
      </c>
      <c r="DY207" s="315">
        <v>-10595</v>
      </c>
      <c r="DZ207" s="315">
        <v>-844</v>
      </c>
      <c r="EA207" s="315">
        <v>0</v>
      </c>
      <c r="EB207" s="315">
        <v>0</v>
      </c>
      <c r="EC207" s="315"/>
      <c r="ED207" s="315"/>
      <c r="EE207" s="315">
        <v>-204</v>
      </c>
      <c r="EF207" s="315">
        <v>1597360</v>
      </c>
      <c r="EG207" s="315">
        <v>543856</v>
      </c>
      <c r="EH207" s="315">
        <v>1053504</v>
      </c>
      <c r="EI207" s="315">
        <v>1035380</v>
      </c>
      <c r="EJ207" s="315">
        <v>18124</v>
      </c>
      <c r="EK207" s="315">
        <v>83484</v>
      </c>
      <c r="EL207" s="315">
        <v>43409</v>
      </c>
      <c r="EM207" s="315">
        <v>40075</v>
      </c>
      <c r="EN207" s="315">
        <v>39267</v>
      </c>
      <c r="EO207" s="315">
        <v>808</v>
      </c>
      <c r="EP207" s="315">
        <v>29021</v>
      </c>
      <c r="EQ207" s="315">
        <v>14915</v>
      </c>
      <c r="ER207" s="315">
        <v>14106</v>
      </c>
      <c r="ES207" s="315">
        <v>13832</v>
      </c>
      <c r="ET207" s="315">
        <v>274</v>
      </c>
      <c r="EU207" s="315">
        <v>2045</v>
      </c>
      <c r="EV207" s="315">
        <v>1127</v>
      </c>
      <c r="EW207" s="315">
        <v>918</v>
      </c>
      <c r="EX207" s="315">
        <v>900</v>
      </c>
      <c r="EY207" s="315">
        <v>18</v>
      </c>
      <c r="EZ207" s="315">
        <v>817170</v>
      </c>
      <c r="FA207" s="315">
        <v>335144</v>
      </c>
      <c r="FB207" s="315">
        <v>482026</v>
      </c>
      <c r="FC207" s="315">
        <v>472625</v>
      </c>
      <c r="FD207" s="315">
        <v>9401</v>
      </c>
      <c r="FE207" s="315">
        <v>549946</v>
      </c>
      <c r="FF207" s="315">
        <v>150412</v>
      </c>
      <c r="FG207" s="315">
        <v>399534</v>
      </c>
      <c r="FH207" s="315">
        <v>391911</v>
      </c>
      <c r="FI207" s="315">
        <v>7623</v>
      </c>
      <c r="FJ207" s="315">
        <v>115702</v>
      </c>
      <c r="FK207" s="315">
        <v>-1143</v>
      </c>
      <c r="FL207" s="315">
        <v>116845</v>
      </c>
      <c r="FM207" s="315">
        <v>116845</v>
      </c>
      <c r="FN207" s="315"/>
      <c r="FO207" s="315"/>
      <c r="FP207" s="315"/>
      <c r="FQ207" s="315">
        <v>-8</v>
      </c>
      <c r="FR207" s="315">
        <v>278580</v>
      </c>
      <c r="FS207" s="315">
        <v>-37690</v>
      </c>
      <c r="FT207" s="315">
        <v>240890</v>
      </c>
      <c r="FU207" s="315"/>
      <c r="FV207" s="315"/>
      <c r="FW207" s="315"/>
      <c r="FX207" s="315">
        <v>142970</v>
      </c>
      <c r="FY207" s="315">
        <v>3145</v>
      </c>
      <c r="FZ207" s="315"/>
      <c r="GA207" s="315"/>
      <c r="GB207" s="315"/>
      <c r="GC207" s="315">
        <v>27801</v>
      </c>
      <c r="GD207" s="315">
        <v>-21803</v>
      </c>
      <c r="GE207" s="315"/>
      <c r="GF207" s="315">
        <v>49604</v>
      </c>
      <c r="GG207" s="315">
        <v>66974</v>
      </c>
      <c r="GH207" s="315">
        <v>13002</v>
      </c>
      <c r="GI207" s="315">
        <v>371</v>
      </c>
      <c r="GJ207" s="315">
        <v>53601</v>
      </c>
      <c r="GL207"/>
      <c r="GM207"/>
      <c r="GN207"/>
      <c r="GO207"/>
    </row>
    <row r="208" spans="1:197">
      <c r="A208" s="98" t="s">
        <v>29</v>
      </c>
      <c r="B208" s="98">
        <v>9</v>
      </c>
      <c r="C208" s="98" t="s">
        <v>225</v>
      </c>
      <c r="D208" s="315">
        <v>19215518</v>
      </c>
      <c r="E208" s="315">
        <v>-4197065</v>
      </c>
      <c r="F208" s="315">
        <v>-13266</v>
      </c>
      <c r="G208" s="315">
        <v>15005187</v>
      </c>
      <c r="H208" s="315">
        <v>8853340</v>
      </c>
      <c r="I208" s="315">
        <v>6151847</v>
      </c>
      <c r="J208" s="315">
        <v>6026850</v>
      </c>
      <c r="K208" s="315">
        <v>124997</v>
      </c>
      <c r="L208" s="315">
        <v>7922175</v>
      </c>
      <c r="M208" s="315">
        <v>6941254</v>
      </c>
      <c r="N208" s="315">
        <v>81778</v>
      </c>
      <c r="O208" s="315">
        <v>23263</v>
      </c>
      <c r="P208" s="315">
        <v>58515</v>
      </c>
      <c r="Q208" s="315">
        <v>38762</v>
      </c>
      <c r="R208" s="315">
        <v>860381</v>
      </c>
      <c r="S208" s="315">
        <v>-508996</v>
      </c>
      <c r="T208" s="315">
        <v>-502806</v>
      </c>
      <c r="U208" s="315">
        <v>-62472</v>
      </c>
      <c r="V208" s="315">
        <v>-39</v>
      </c>
      <c r="W208" s="315">
        <v>-419373</v>
      </c>
      <c r="X208" s="315">
        <v>0</v>
      </c>
      <c r="Y208" s="315">
        <v>-20922</v>
      </c>
      <c r="Z208" s="315">
        <v>-3086</v>
      </c>
      <c r="AA208" s="315">
        <v>-3104</v>
      </c>
      <c r="AB208" s="315">
        <v>0</v>
      </c>
      <c r="AC208" s="315">
        <v>-13266</v>
      </c>
      <c r="AD208" s="315">
        <v>7399913</v>
      </c>
      <c r="AE208" s="315">
        <v>4313010</v>
      </c>
      <c r="AF208" s="315">
        <v>3086903</v>
      </c>
      <c r="AG208" s="315">
        <v>3021785</v>
      </c>
      <c r="AH208" s="315">
        <v>65118</v>
      </c>
      <c r="AI208" s="315">
        <v>6938777</v>
      </c>
      <c r="AJ208" s="315">
        <v>2245440</v>
      </c>
      <c r="AK208" s="315">
        <v>4572353</v>
      </c>
      <c r="AL208" s="315">
        <v>7358</v>
      </c>
      <c r="AM208" s="315">
        <v>725680</v>
      </c>
      <c r="AN208" s="315">
        <v>89281</v>
      </c>
      <c r="AO208" s="315">
        <v>35840</v>
      </c>
      <c r="AP208" s="315"/>
      <c r="AQ208" s="315">
        <v>8953</v>
      </c>
      <c r="AR208" s="315">
        <v>-421028</v>
      </c>
      <c r="AS208" s="315">
        <v>35676</v>
      </c>
      <c r="AT208" s="315">
        <v>0</v>
      </c>
      <c r="AU208" s="315">
        <v>-13266</v>
      </c>
      <c r="AV208" s="315">
        <v>749764</v>
      </c>
      <c r="AW208" s="315">
        <v>6646</v>
      </c>
      <c r="AX208" s="315">
        <v>201184</v>
      </c>
      <c r="AY208" s="315">
        <v>12515</v>
      </c>
      <c r="AZ208" s="315">
        <v>147768</v>
      </c>
      <c r="BA208" s="315">
        <v>3508</v>
      </c>
      <c r="BB208" s="315">
        <v>37393</v>
      </c>
      <c r="BC208" s="315">
        <v>185248</v>
      </c>
      <c r="BD208" s="315">
        <v>356686</v>
      </c>
      <c r="BE208" s="315">
        <v>-825562</v>
      </c>
      <c r="BF208" s="315">
        <v>-35485</v>
      </c>
      <c r="BG208" s="315">
        <v>-23523</v>
      </c>
      <c r="BH208" s="315">
        <v>-11962</v>
      </c>
      <c r="BI208" s="315">
        <v>0</v>
      </c>
      <c r="BJ208" s="315">
        <v>-15565</v>
      </c>
      <c r="BK208" s="315">
        <v>-19920</v>
      </c>
      <c r="BL208" s="315">
        <v>-469</v>
      </c>
      <c r="BM208" s="315">
        <v>-789608</v>
      </c>
      <c r="BN208" s="315">
        <v>-75798</v>
      </c>
      <c r="BO208" s="315">
        <v>-480822</v>
      </c>
      <c r="BP208" s="315">
        <v>32280</v>
      </c>
      <c r="BQ208" s="315">
        <v>15260</v>
      </c>
      <c r="BR208" s="315"/>
      <c r="BS208" s="315">
        <v>6384</v>
      </c>
      <c r="BT208" s="315">
        <v>149</v>
      </c>
      <c r="BU208" s="315">
        <v>1</v>
      </c>
      <c r="BV208" s="315">
        <v>29</v>
      </c>
      <c r="BW208" s="315">
        <v>6205</v>
      </c>
      <c r="BX208" s="315">
        <v>177661</v>
      </c>
      <c r="BY208" s="315">
        <v>173286</v>
      </c>
      <c r="BZ208" s="315">
        <v>153</v>
      </c>
      <c r="CA208" s="315">
        <v>351857</v>
      </c>
      <c r="CB208" s="315">
        <v>-778399</v>
      </c>
      <c r="CC208" s="315">
        <v>-132356</v>
      </c>
      <c r="CD208" s="315">
        <v>-646043</v>
      </c>
      <c r="CE208" s="315">
        <v>-426542</v>
      </c>
      <c r="CF208" s="315">
        <v>344775</v>
      </c>
      <c r="CG208" s="315">
        <v>1</v>
      </c>
      <c r="CH208" s="315">
        <v>-771318</v>
      </c>
      <c r="CI208" s="315">
        <v>7790177</v>
      </c>
      <c r="CJ208" s="315">
        <v>685550</v>
      </c>
      <c r="CK208" s="315">
        <v>7104627</v>
      </c>
      <c r="CL208" s="315">
        <v>6666833</v>
      </c>
      <c r="CM208" s="315">
        <v>119161</v>
      </c>
      <c r="CN208" s="315">
        <v>318633</v>
      </c>
      <c r="CO208" s="315">
        <v>0</v>
      </c>
      <c r="CP208" s="315">
        <v>0</v>
      </c>
      <c r="CQ208" s="315">
        <v>318633</v>
      </c>
      <c r="CR208" s="315">
        <v>-1967140</v>
      </c>
      <c r="CS208" s="315">
        <v>-531797</v>
      </c>
      <c r="CT208" s="315">
        <v>-468554</v>
      </c>
      <c r="CU208" s="315">
        <v>-24165</v>
      </c>
      <c r="CV208" s="315">
        <v>-559</v>
      </c>
      <c r="CW208" s="315">
        <v>-38519</v>
      </c>
      <c r="CX208" s="315">
        <v>-1368182</v>
      </c>
      <c r="CY208" s="315">
        <v>-1320266</v>
      </c>
      <c r="CZ208" s="315">
        <v>-43282</v>
      </c>
      <c r="DA208" s="315">
        <v>-4634</v>
      </c>
      <c r="DB208" s="315">
        <v>0</v>
      </c>
      <c r="DC208" s="315">
        <v>-67161</v>
      </c>
      <c r="DD208" s="315">
        <v>5823037</v>
      </c>
      <c r="DE208" s="315">
        <v>3812515</v>
      </c>
      <c r="DF208" s="315">
        <v>2010522</v>
      </c>
      <c r="DG208" s="315">
        <v>1969686</v>
      </c>
      <c r="DH208" s="315">
        <v>40836</v>
      </c>
      <c r="DI208" s="315">
        <v>1852721</v>
      </c>
      <c r="DJ208" s="315">
        <v>80544</v>
      </c>
      <c r="DK208" s="315">
        <v>30165</v>
      </c>
      <c r="DL208" s="315">
        <v>1259</v>
      </c>
      <c r="DM208" s="315">
        <v>817839</v>
      </c>
      <c r="DN208" s="315">
        <v>798392</v>
      </c>
      <c r="DO208" s="315">
        <v>124465</v>
      </c>
      <c r="DP208" s="315"/>
      <c r="DQ208" s="315"/>
      <c r="DR208" s="315">
        <v>57</v>
      </c>
      <c r="DS208" s="315">
        <v>-81183</v>
      </c>
      <c r="DT208" s="315">
        <v>-6204</v>
      </c>
      <c r="DU208" s="315">
        <v>-72</v>
      </c>
      <c r="DV208" s="315">
        <v>-20</v>
      </c>
      <c r="DW208" s="315">
        <v>-21062</v>
      </c>
      <c r="DX208" s="315">
        <v>-12293</v>
      </c>
      <c r="DY208" s="315">
        <v>-8334</v>
      </c>
      <c r="DZ208" s="315">
        <v>-435</v>
      </c>
      <c r="EA208" s="315">
        <v>-18198</v>
      </c>
      <c r="EB208" s="315">
        <v>-35575</v>
      </c>
      <c r="EC208" s="315"/>
      <c r="ED208" s="315"/>
      <c r="EE208" s="315">
        <v>-52</v>
      </c>
      <c r="EF208" s="315">
        <v>1771538</v>
      </c>
      <c r="EG208" s="315">
        <v>717116</v>
      </c>
      <c r="EH208" s="315">
        <v>1054422</v>
      </c>
      <c r="EI208" s="315">
        <v>1035379</v>
      </c>
      <c r="EJ208" s="315">
        <v>19043</v>
      </c>
      <c r="EK208" s="315">
        <v>74340</v>
      </c>
      <c r="EL208" s="315">
        <v>34745</v>
      </c>
      <c r="EM208" s="315">
        <v>39595</v>
      </c>
      <c r="EN208" s="315">
        <v>39267</v>
      </c>
      <c r="EO208" s="315">
        <v>328</v>
      </c>
      <c r="EP208" s="315">
        <v>30093</v>
      </c>
      <c r="EQ208" s="315">
        <v>16019</v>
      </c>
      <c r="ER208" s="315">
        <v>14074</v>
      </c>
      <c r="ES208" s="315">
        <v>13831</v>
      </c>
      <c r="ET208" s="315">
        <v>243</v>
      </c>
      <c r="EU208" s="315">
        <v>1239</v>
      </c>
      <c r="EV208" s="315">
        <v>332</v>
      </c>
      <c r="EW208" s="315">
        <v>907</v>
      </c>
      <c r="EX208" s="315">
        <v>900</v>
      </c>
      <c r="EY208" s="315">
        <v>7</v>
      </c>
      <c r="EZ208" s="315">
        <v>796777</v>
      </c>
      <c r="FA208" s="315">
        <v>314388</v>
      </c>
      <c r="FB208" s="315">
        <v>482389</v>
      </c>
      <c r="FC208" s="315">
        <v>472624</v>
      </c>
      <c r="FD208" s="315">
        <v>9765</v>
      </c>
      <c r="FE208" s="315">
        <v>780194</v>
      </c>
      <c r="FF208" s="315">
        <v>379582</v>
      </c>
      <c r="FG208" s="315">
        <v>400612</v>
      </c>
      <c r="FH208" s="315">
        <v>391912</v>
      </c>
      <c r="FI208" s="315">
        <v>8700</v>
      </c>
      <c r="FJ208" s="315">
        <v>88890</v>
      </c>
      <c r="FK208" s="315">
        <v>-27955</v>
      </c>
      <c r="FL208" s="315">
        <v>116845</v>
      </c>
      <c r="FM208" s="315">
        <v>116845</v>
      </c>
      <c r="FN208" s="315"/>
      <c r="FO208" s="315"/>
      <c r="FP208" s="315"/>
      <c r="FQ208" s="315">
        <v>5</v>
      </c>
      <c r="FR208" s="315">
        <v>548824</v>
      </c>
      <c r="FS208" s="315">
        <v>-35785</v>
      </c>
      <c r="FT208" s="315">
        <v>513039</v>
      </c>
      <c r="FU208" s="315"/>
      <c r="FV208" s="315"/>
      <c r="FW208" s="315"/>
      <c r="FX208" s="315">
        <v>137991</v>
      </c>
      <c r="FY208" s="315">
        <v>236178</v>
      </c>
      <c r="FZ208" s="315"/>
      <c r="GA208" s="315"/>
      <c r="GB208" s="315"/>
      <c r="GC208" s="315">
        <v>36215</v>
      </c>
      <c r="GD208" s="315">
        <v>-14052</v>
      </c>
      <c r="GE208" s="315"/>
      <c r="GF208" s="315">
        <v>50267</v>
      </c>
      <c r="GG208" s="315">
        <v>102655</v>
      </c>
      <c r="GH208" s="315">
        <v>5679</v>
      </c>
      <c r="GI208" s="315">
        <v>181</v>
      </c>
      <c r="GJ208" s="315">
        <v>96795</v>
      </c>
      <c r="GL208"/>
      <c r="GM208"/>
      <c r="GN208"/>
      <c r="GO208"/>
    </row>
    <row r="209" spans="1:197">
      <c r="A209" s="98" t="s">
        <v>29</v>
      </c>
      <c r="B209" s="98">
        <v>10</v>
      </c>
      <c r="C209" s="98" t="s">
        <v>226</v>
      </c>
      <c r="D209" s="315">
        <v>26063548</v>
      </c>
      <c r="E209" s="315">
        <v>-2534238</v>
      </c>
      <c r="F209" s="315">
        <v>-13266</v>
      </c>
      <c r="G209" s="315">
        <v>23516044</v>
      </c>
      <c r="H209" s="315">
        <v>18324547</v>
      </c>
      <c r="I209" s="315">
        <v>5191497</v>
      </c>
      <c r="J209" s="315">
        <v>5067194</v>
      </c>
      <c r="K209" s="315">
        <v>124303</v>
      </c>
      <c r="L209" s="315">
        <v>8617066</v>
      </c>
      <c r="M209" s="315">
        <v>7161852</v>
      </c>
      <c r="N209" s="315">
        <v>100633</v>
      </c>
      <c r="O209" s="315">
        <v>25670</v>
      </c>
      <c r="P209" s="315">
        <v>74963</v>
      </c>
      <c r="Q209" s="315">
        <v>31517</v>
      </c>
      <c r="R209" s="315">
        <v>1323064</v>
      </c>
      <c r="S209" s="315">
        <v>-547458</v>
      </c>
      <c r="T209" s="315">
        <v>-539706</v>
      </c>
      <c r="U209" s="315">
        <v>-60945</v>
      </c>
      <c r="V209" s="315">
        <v>-65</v>
      </c>
      <c r="W209" s="315">
        <v>-455254</v>
      </c>
      <c r="X209" s="315">
        <v>0</v>
      </c>
      <c r="Y209" s="315">
        <v>-23442</v>
      </c>
      <c r="Z209" s="315">
        <v>-4835</v>
      </c>
      <c r="AA209" s="315">
        <v>-2917</v>
      </c>
      <c r="AB209" s="315">
        <v>0</v>
      </c>
      <c r="AC209" s="315">
        <v>-13266</v>
      </c>
      <c r="AD209" s="315">
        <v>8056342</v>
      </c>
      <c r="AE209" s="315">
        <v>5753138</v>
      </c>
      <c r="AF209" s="315">
        <v>2303204</v>
      </c>
      <c r="AG209" s="315">
        <v>2238128</v>
      </c>
      <c r="AH209" s="315">
        <v>65076</v>
      </c>
      <c r="AI209" s="315">
        <v>7159453</v>
      </c>
      <c r="AJ209" s="315">
        <v>1344588</v>
      </c>
      <c r="AK209" s="315">
        <v>2252788</v>
      </c>
      <c r="AL209" s="315">
        <v>3364363</v>
      </c>
      <c r="AM209" s="315">
        <v>418097</v>
      </c>
      <c r="AN209" s="315">
        <v>375225</v>
      </c>
      <c r="AO209" s="315">
        <v>24946</v>
      </c>
      <c r="AP209" s="315"/>
      <c r="AQ209" s="315">
        <v>504278</v>
      </c>
      <c r="AR209" s="315">
        <v>-439073</v>
      </c>
      <c r="AS209" s="315">
        <v>26682</v>
      </c>
      <c r="AT209" s="315">
        <v>0</v>
      </c>
      <c r="AU209" s="315">
        <v>-13266</v>
      </c>
      <c r="AV209" s="315">
        <v>5765312</v>
      </c>
      <c r="AW209" s="315">
        <v>4755124</v>
      </c>
      <c r="AX209" s="315">
        <v>123110</v>
      </c>
      <c r="AY209" s="315">
        <v>21911</v>
      </c>
      <c r="AZ209" s="315">
        <v>34920</v>
      </c>
      <c r="BA209" s="315">
        <v>5795</v>
      </c>
      <c r="BB209" s="315">
        <v>60484</v>
      </c>
      <c r="BC209" s="315">
        <v>143765</v>
      </c>
      <c r="BD209" s="315">
        <v>743313</v>
      </c>
      <c r="BE209" s="315">
        <v>-47733</v>
      </c>
      <c r="BF209" s="315">
        <v>-46378</v>
      </c>
      <c r="BG209" s="315">
        <v>-35162</v>
      </c>
      <c r="BH209" s="315">
        <v>-11216</v>
      </c>
      <c r="BI209" s="315">
        <v>0</v>
      </c>
      <c r="BJ209" s="315">
        <v>-15503</v>
      </c>
      <c r="BK209" s="315">
        <v>-30875</v>
      </c>
      <c r="BL209" s="315">
        <v>-586</v>
      </c>
      <c r="BM209" s="315">
        <v>-769</v>
      </c>
      <c r="BN209" s="315">
        <v>5717579</v>
      </c>
      <c r="BO209" s="315">
        <v>577474</v>
      </c>
      <c r="BP209" s="315">
        <v>154302</v>
      </c>
      <c r="BQ209" s="315">
        <v>10620</v>
      </c>
      <c r="BR209" s="315"/>
      <c r="BS209" s="315">
        <v>4754676</v>
      </c>
      <c r="BT209" s="315">
        <v>2287673</v>
      </c>
      <c r="BU209" s="315">
        <v>1793390</v>
      </c>
      <c r="BV209" s="315">
        <v>660035</v>
      </c>
      <c r="BW209" s="315">
        <v>13578</v>
      </c>
      <c r="BX209" s="315">
        <v>87948</v>
      </c>
      <c r="BY209" s="315">
        <v>132549</v>
      </c>
      <c r="BZ209" s="315">
        <v>10</v>
      </c>
      <c r="CA209" s="315">
        <v>480900</v>
      </c>
      <c r="CB209" s="315">
        <v>-16344</v>
      </c>
      <c r="CC209" s="315">
        <v>-15715</v>
      </c>
      <c r="CD209" s="315">
        <v>-629</v>
      </c>
      <c r="CE209" s="315">
        <v>464556</v>
      </c>
      <c r="CF209" s="315">
        <v>116266</v>
      </c>
      <c r="CG209" s="315">
        <v>17790</v>
      </c>
      <c r="CH209" s="315">
        <v>330500</v>
      </c>
      <c r="CI209" s="315">
        <v>9150802</v>
      </c>
      <c r="CJ209" s="315">
        <v>754519</v>
      </c>
      <c r="CK209" s="315">
        <v>8396283</v>
      </c>
      <c r="CL209" s="315">
        <v>3392176</v>
      </c>
      <c r="CM209" s="315">
        <v>4587397</v>
      </c>
      <c r="CN209" s="315">
        <v>416710</v>
      </c>
      <c r="CO209" s="315">
        <v>0</v>
      </c>
      <c r="CP209" s="315">
        <v>0</v>
      </c>
      <c r="CQ209" s="315">
        <v>416710</v>
      </c>
      <c r="CR209" s="315">
        <v>-1790845</v>
      </c>
      <c r="CS209" s="315">
        <v>-293841</v>
      </c>
      <c r="CT209" s="315">
        <v>-236676</v>
      </c>
      <c r="CU209" s="315">
        <v>-8636</v>
      </c>
      <c r="CV209" s="315">
        <v>-772</v>
      </c>
      <c r="CW209" s="315">
        <v>-47757</v>
      </c>
      <c r="CX209" s="315">
        <v>-1379232</v>
      </c>
      <c r="CY209" s="315">
        <v>-1327540</v>
      </c>
      <c r="CZ209" s="315">
        <v>-47086</v>
      </c>
      <c r="DA209" s="315">
        <v>-4606</v>
      </c>
      <c r="DB209" s="315">
        <v>-117772</v>
      </c>
      <c r="DC209" s="315">
        <v>0</v>
      </c>
      <c r="DD209" s="315">
        <v>7359957</v>
      </c>
      <c r="DE209" s="315">
        <v>5530992</v>
      </c>
      <c r="DF209" s="315">
        <v>1828965</v>
      </c>
      <c r="DG209" s="315">
        <v>1787862</v>
      </c>
      <c r="DH209" s="315">
        <v>41103</v>
      </c>
      <c r="DI209" s="315">
        <v>1645671</v>
      </c>
      <c r="DJ209" s="315">
        <v>56706</v>
      </c>
      <c r="DK209" s="315">
        <v>31226</v>
      </c>
      <c r="DL209" s="315">
        <v>1009</v>
      </c>
      <c r="DM209" s="315">
        <v>812310</v>
      </c>
      <c r="DN209" s="315">
        <v>620394</v>
      </c>
      <c r="DO209" s="315">
        <v>123986</v>
      </c>
      <c r="DP209" s="315"/>
      <c r="DQ209" s="315"/>
      <c r="DR209" s="315">
        <v>40</v>
      </c>
      <c r="DS209" s="315">
        <v>-116116</v>
      </c>
      <c r="DT209" s="315">
        <v>-12706</v>
      </c>
      <c r="DU209" s="315">
        <v>-5980</v>
      </c>
      <c r="DV209" s="315">
        <v>-15</v>
      </c>
      <c r="DW209" s="315">
        <v>-13176</v>
      </c>
      <c r="DX209" s="315">
        <v>-7344</v>
      </c>
      <c r="DY209" s="315">
        <v>-5103</v>
      </c>
      <c r="DZ209" s="315">
        <v>-729</v>
      </c>
      <c r="EA209" s="315">
        <v>-84145</v>
      </c>
      <c r="EB209" s="315">
        <v>-64</v>
      </c>
      <c r="EC209" s="315"/>
      <c r="ED209" s="315"/>
      <c r="EE209" s="315">
        <v>-30</v>
      </c>
      <c r="EF209" s="315">
        <v>1529555</v>
      </c>
      <c r="EG209" s="315">
        <v>470227</v>
      </c>
      <c r="EH209" s="315">
        <v>1059328</v>
      </c>
      <c r="EI209" s="315">
        <v>1041204</v>
      </c>
      <c r="EJ209" s="315">
        <v>18124</v>
      </c>
      <c r="EK209" s="315">
        <v>44000</v>
      </c>
      <c r="EL209" s="315">
        <v>26650</v>
      </c>
      <c r="EM209" s="315">
        <v>17350</v>
      </c>
      <c r="EN209" s="315">
        <v>16542</v>
      </c>
      <c r="EO209" s="315">
        <v>808</v>
      </c>
      <c r="EP209" s="315">
        <v>25246</v>
      </c>
      <c r="EQ209" s="315">
        <v>12889</v>
      </c>
      <c r="ER209" s="315">
        <v>12357</v>
      </c>
      <c r="ES209" s="315">
        <v>12083</v>
      </c>
      <c r="ET209" s="315">
        <v>274</v>
      </c>
      <c r="EU209" s="315">
        <v>994</v>
      </c>
      <c r="EV209" s="315">
        <v>543</v>
      </c>
      <c r="EW209" s="315">
        <v>451</v>
      </c>
      <c r="EX209" s="315">
        <v>433</v>
      </c>
      <c r="EY209" s="315">
        <v>18</v>
      </c>
      <c r="EZ209" s="315">
        <v>799134</v>
      </c>
      <c r="FA209" s="315">
        <v>329775</v>
      </c>
      <c r="FB209" s="315">
        <v>469359</v>
      </c>
      <c r="FC209" s="315">
        <v>459959</v>
      </c>
      <c r="FD209" s="315">
        <v>9400</v>
      </c>
      <c r="FE209" s="315">
        <v>536249</v>
      </c>
      <c r="FF209" s="315">
        <v>135435</v>
      </c>
      <c r="FG209" s="315">
        <v>400814</v>
      </c>
      <c r="FH209" s="315">
        <v>393190</v>
      </c>
      <c r="FI209" s="315">
        <v>7624</v>
      </c>
      <c r="FJ209" s="315">
        <v>123922</v>
      </c>
      <c r="FK209" s="315">
        <v>-35075</v>
      </c>
      <c r="FL209" s="315">
        <v>158997</v>
      </c>
      <c r="FM209" s="315">
        <v>158997</v>
      </c>
      <c r="FN209" s="315"/>
      <c r="FO209" s="315"/>
      <c r="FP209" s="315"/>
      <c r="FQ209" s="315">
        <v>10</v>
      </c>
      <c r="FR209" s="315">
        <v>403797</v>
      </c>
      <c r="FS209" s="315">
        <v>-15742</v>
      </c>
      <c r="FT209" s="315">
        <v>388055</v>
      </c>
      <c r="FU209" s="315"/>
      <c r="FV209" s="315"/>
      <c r="FW209" s="315"/>
      <c r="FX209" s="315">
        <v>154302</v>
      </c>
      <c r="FY209" s="315">
        <v>107402</v>
      </c>
      <c r="FZ209" s="315"/>
      <c r="GA209" s="315"/>
      <c r="GB209" s="315"/>
      <c r="GC209" s="315">
        <v>39994</v>
      </c>
      <c r="GD209" s="315">
        <v>-2296</v>
      </c>
      <c r="GE209" s="315"/>
      <c r="GF209" s="315">
        <v>42290</v>
      </c>
      <c r="GG209" s="315">
        <v>86357</v>
      </c>
      <c r="GH209" s="315">
        <v>8046</v>
      </c>
      <c r="GI209" s="315">
        <v>482</v>
      </c>
      <c r="GJ209" s="315">
        <v>77829</v>
      </c>
      <c r="GL209"/>
      <c r="GM209"/>
      <c r="GN209"/>
      <c r="GO209"/>
    </row>
    <row r="210" spans="1:197">
      <c r="A210" s="98" t="s">
        <v>29</v>
      </c>
      <c r="B210" s="98">
        <v>11</v>
      </c>
      <c r="C210" s="98" t="s">
        <v>227</v>
      </c>
      <c r="D210" s="315">
        <v>13485570</v>
      </c>
      <c r="E210" s="315">
        <v>-4533843</v>
      </c>
      <c r="F210" s="315">
        <v>-13267</v>
      </c>
      <c r="G210" s="315">
        <v>8938460</v>
      </c>
      <c r="H210" s="315">
        <v>2787306</v>
      </c>
      <c r="I210" s="315">
        <v>6151154</v>
      </c>
      <c r="J210" s="315">
        <v>6026853</v>
      </c>
      <c r="K210" s="315">
        <v>124301</v>
      </c>
      <c r="L210" s="315">
        <v>6225138</v>
      </c>
      <c r="M210" s="315">
        <v>3703685</v>
      </c>
      <c r="N210" s="315">
        <v>2085807</v>
      </c>
      <c r="O210" s="315">
        <v>2013610</v>
      </c>
      <c r="P210" s="315">
        <v>72197</v>
      </c>
      <c r="Q210" s="315">
        <v>53612</v>
      </c>
      <c r="R210" s="315">
        <v>382034</v>
      </c>
      <c r="S210" s="315">
        <v>-521014</v>
      </c>
      <c r="T210" s="315">
        <v>-508284</v>
      </c>
      <c r="U210" s="315">
        <v>-61560</v>
      </c>
      <c r="V210" s="315">
        <v>-33</v>
      </c>
      <c r="W210" s="315">
        <v>-424415</v>
      </c>
      <c r="X210" s="315">
        <v>0</v>
      </c>
      <c r="Y210" s="315">
        <v>-22276</v>
      </c>
      <c r="Z210" s="315">
        <v>-6845</v>
      </c>
      <c r="AA210" s="315">
        <v>-5885</v>
      </c>
      <c r="AB210" s="315">
        <v>0</v>
      </c>
      <c r="AC210" s="315">
        <v>-13267</v>
      </c>
      <c r="AD210" s="315">
        <v>5690857</v>
      </c>
      <c r="AE210" s="315">
        <v>2603996</v>
      </c>
      <c r="AF210" s="315">
        <v>3086861</v>
      </c>
      <c r="AG210" s="315">
        <v>3021786</v>
      </c>
      <c r="AH210" s="315">
        <v>65075</v>
      </c>
      <c r="AI210" s="315">
        <v>3699597</v>
      </c>
      <c r="AJ210" s="315">
        <v>1345217</v>
      </c>
      <c r="AK210" s="315">
        <v>2177938</v>
      </c>
      <c r="AL210" s="315">
        <v>12926</v>
      </c>
      <c r="AM210" s="315">
        <v>295405</v>
      </c>
      <c r="AN210" s="315">
        <v>54306</v>
      </c>
      <c r="AO210" s="315">
        <v>19159</v>
      </c>
      <c r="AP210" s="315"/>
      <c r="AQ210" s="315">
        <v>11367</v>
      </c>
      <c r="AR210" s="315">
        <v>1577523</v>
      </c>
      <c r="AS210" s="315">
        <v>46767</v>
      </c>
      <c r="AT210" s="315">
        <v>0</v>
      </c>
      <c r="AU210" s="315">
        <v>-13267</v>
      </c>
      <c r="AV210" s="315">
        <v>683714</v>
      </c>
      <c r="AW210" s="315">
        <v>22204</v>
      </c>
      <c r="AX210" s="315">
        <v>105794</v>
      </c>
      <c r="AY210" s="315">
        <v>20272</v>
      </c>
      <c r="AZ210" s="315">
        <v>19805</v>
      </c>
      <c r="BA210" s="315">
        <v>9357</v>
      </c>
      <c r="BB210" s="315">
        <v>56360</v>
      </c>
      <c r="BC210" s="315">
        <v>403677</v>
      </c>
      <c r="BD210" s="315">
        <v>152039</v>
      </c>
      <c r="BE210" s="315">
        <v>-1727093</v>
      </c>
      <c r="BF210" s="315">
        <v>-1335159</v>
      </c>
      <c r="BG210" s="315">
        <v>-1299412</v>
      </c>
      <c r="BH210" s="315">
        <v>-35747</v>
      </c>
      <c r="BI210" s="315">
        <v>-1270979</v>
      </c>
      <c r="BJ210" s="315">
        <v>-11058</v>
      </c>
      <c r="BK210" s="315">
        <v>-53122</v>
      </c>
      <c r="BL210" s="315">
        <v>-1648</v>
      </c>
      <c r="BM210" s="315">
        <v>-390286</v>
      </c>
      <c r="BN210" s="315">
        <v>-1043379</v>
      </c>
      <c r="BO210" s="315">
        <v>-265484</v>
      </c>
      <c r="BP210" s="315">
        <v>18374</v>
      </c>
      <c r="BQ210" s="315">
        <v>8156</v>
      </c>
      <c r="BR210" s="315"/>
      <c r="BS210" s="315">
        <v>21262</v>
      </c>
      <c r="BT210" s="315">
        <v>4247</v>
      </c>
      <c r="BU210" s="315">
        <v>95</v>
      </c>
      <c r="BV210" s="315">
        <v>2480</v>
      </c>
      <c r="BW210" s="315">
        <v>14440</v>
      </c>
      <c r="BX210" s="315">
        <v>-1193618</v>
      </c>
      <c r="BY210" s="315">
        <v>367930</v>
      </c>
      <c r="BZ210" s="315">
        <v>1</v>
      </c>
      <c r="CA210" s="315">
        <v>113302</v>
      </c>
      <c r="CB210" s="315">
        <v>-334354</v>
      </c>
      <c r="CC210" s="315">
        <v>-14244</v>
      </c>
      <c r="CD210" s="315">
        <v>-320110</v>
      </c>
      <c r="CE210" s="315">
        <v>-221052</v>
      </c>
      <c r="CF210" s="315">
        <v>96379</v>
      </c>
      <c r="CG210" s="315">
        <v>39</v>
      </c>
      <c r="CH210" s="315">
        <v>-317470</v>
      </c>
      <c r="CI210" s="315">
        <v>4518043</v>
      </c>
      <c r="CJ210" s="315">
        <v>727955</v>
      </c>
      <c r="CK210" s="315">
        <v>3790088</v>
      </c>
      <c r="CL210" s="315">
        <v>3230707</v>
      </c>
      <c r="CM210" s="315">
        <v>89991</v>
      </c>
      <c r="CN210" s="315">
        <v>469390</v>
      </c>
      <c r="CO210" s="315">
        <v>5798</v>
      </c>
      <c r="CP210" s="315">
        <v>0</v>
      </c>
      <c r="CQ210" s="315">
        <v>463592</v>
      </c>
      <c r="CR210" s="315">
        <v>-1874112</v>
      </c>
      <c r="CS210" s="315">
        <v>-322136</v>
      </c>
      <c r="CT210" s="315">
        <v>-209041</v>
      </c>
      <c r="CU210" s="315">
        <v>-13624</v>
      </c>
      <c r="CV210" s="315">
        <v>-799</v>
      </c>
      <c r="CW210" s="315">
        <v>-98672</v>
      </c>
      <c r="CX210" s="315">
        <v>-1536357</v>
      </c>
      <c r="CY210" s="315">
        <v>-1510683</v>
      </c>
      <c r="CZ210" s="315">
        <v>-19504</v>
      </c>
      <c r="DA210" s="315">
        <v>-6170</v>
      </c>
      <c r="DB210" s="315">
        <v>-15619</v>
      </c>
      <c r="DC210" s="315">
        <v>0</v>
      </c>
      <c r="DD210" s="315">
        <v>2643931</v>
      </c>
      <c r="DE210" s="315">
        <v>633140</v>
      </c>
      <c r="DF210" s="315">
        <v>2010791</v>
      </c>
      <c r="DG210" s="315">
        <v>1969688</v>
      </c>
      <c r="DH210" s="315">
        <v>41103</v>
      </c>
      <c r="DI210" s="315">
        <v>1500758</v>
      </c>
      <c r="DJ210" s="315">
        <v>98310</v>
      </c>
      <c r="DK210" s="315">
        <v>31820</v>
      </c>
      <c r="DL210" s="315">
        <v>2213</v>
      </c>
      <c r="DM210" s="315">
        <v>750287</v>
      </c>
      <c r="DN210" s="315">
        <v>502819</v>
      </c>
      <c r="DO210" s="315">
        <v>115271</v>
      </c>
      <c r="DP210" s="315"/>
      <c r="DQ210" s="315"/>
      <c r="DR210" s="315">
        <v>38</v>
      </c>
      <c r="DS210" s="315">
        <v>-27071</v>
      </c>
      <c r="DT210" s="315">
        <v>-3883</v>
      </c>
      <c r="DU210" s="315">
        <v>-17</v>
      </c>
      <c r="DV210" s="315">
        <v>-7</v>
      </c>
      <c r="DW210" s="315">
        <v>-20420</v>
      </c>
      <c r="DX210" s="315">
        <v>-6557</v>
      </c>
      <c r="DY210" s="315">
        <v>-13647</v>
      </c>
      <c r="DZ210" s="315">
        <v>-216</v>
      </c>
      <c r="EA210" s="315">
        <v>-2495</v>
      </c>
      <c r="EB210" s="315">
        <v>-121</v>
      </c>
      <c r="EC210" s="315"/>
      <c r="ED210" s="315"/>
      <c r="EE210" s="315">
        <v>-128</v>
      </c>
      <c r="EF210" s="315">
        <v>1473687</v>
      </c>
      <c r="EG210" s="315">
        <v>420185</v>
      </c>
      <c r="EH210" s="315">
        <v>1053502</v>
      </c>
      <c r="EI210" s="315">
        <v>1035379</v>
      </c>
      <c r="EJ210" s="315">
        <v>18123</v>
      </c>
      <c r="EK210" s="315">
        <v>94427</v>
      </c>
      <c r="EL210" s="315">
        <v>54352</v>
      </c>
      <c r="EM210" s="315">
        <v>40075</v>
      </c>
      <c r="EN210" s="315">
        <v>39267</v>
      </c>
      <c r="EO210" s="315">
        <v>808</v>
      </c>
      <c r="EP210" s="315">
        <v>31803</v>
      </c>
      <c r="EQ210" s="315">
        <v>17698</v>
      </c>
      <c r="ER210" s="315">
        <v>14105</v>
      </c>
      <c r="ES210" s="315">
        <v>13831</v>
      </c>
      <c r="ET210" s="315">
        <v>274</v>
      </c>
      <c r="EU210" s="315">
        <v>2206</v>
      </c>
      <c r="EV210" s="315">
        <v>1288</v>
      </c>
      <c r="EW210" s="315">
        <v>918</v>
      </c>
      <c r="EX210" s="315">
        <v>900</v>
      </c>
      <c r="EY210" s="315">
        <v>18</v>
      </c>
      <c r="EZ210" s="315">
        <v>729867</v>
      </c>
      <c r="FA210" s="315">
        <v>247842</v>
      </c>
      <c r="FB210" s="315">
        <v>482025</v>
      </c>
      <c r="FC210" s="315">
        <v>472624</v>
      </c>
      <c r="FD210" s="315">
        <v>9401</v>
      </c>
      <c r="FE210" s="315">
        <v>500324</v>
      </c>
      <c r="FF210" s="315">
        <v>100790</v>
      </c>
      <c r="FG210" s="315">
        <v>399534</v>
      </c>
      <c r="FH210" s="315">
        <v>391912</v>
      </c>
      <c r="FI210" s="315">
        <v>7622</v>
      </c>
      <c r="FJ210" s="315">
        <v>115150</v>
      </c>
      <c r="FK210" s="315">
        <v>-1695</v>
      </c>
      <c r="FL210" s="315">
        <v>116845</v>
      </c>
      <c r="FM210" s="315">
        <v>116845</v>
      </c>
      <c r="FN210" s="315"/>
      <c r="FO210" s="315"/>
      <c r="FP210" s="315"/>
      <c r="FQ210" s="315">
        <v>-90</v>
      </c>
      <c r="FR210" s="315">
        <v>444615</v>
      </c>
      <c r="FS210" s="315">
        <v>-50199</v>
      </c>
      <c r="FT210" s="315">
        <v>394416</v>
      </c>
      <c r="FU210" s="315"/>
      <c r="FV210" s="315"/>
      <c r="FW210" s="315"/>
      <c r="FX210" s="315">
        <v>118944</v>
      </c>
      <c r="FY210" s="315">
        <v>115897</v>
      </c>
      <c r="FZ210" s="315"/>
      <c r="GA210" s="315"/>
      <c r="GB210" s="315"/>
      <c r="GC210" s="315">
        <v>25211</v>
      </c>
      <c r="GD210" s="315">
        <v>-33640</v>
      </c>
      <c r="GE210" s="315"/>
      <c r="GF210" s="315">
        <v>58851</v>
      </c>
      <c r="GG210" s="315">
        <v>134364</v>
      </c>
      <c r="GH210" s="315">
        <v>8826</v>
      </c>
      <c r="GI210" s="315">
        <v>288</v>
      </c>
      <c r="GJ210" s="315">
        <v>125250</v>
      </c>
      <c r="GL210"/>
      <c r="GM210"/>
      <c r="GN210"/>
      <c r="GO210"/>
    </row>
    <row r="211" spans="1:197">
      <c r="A211" s="98" t="s">
        <v>29</v>
      </c>
      <c r="B211" s="98">
        <v>12</v>
      </c>
      <c r="C211" s="98" t="s">
        <v>228</v>
      </c>
      <c r="D211" s="315">
        <v>15021329</v>
      </c>
      <c r="E211" s="315">
        <v>-5111840</v>
      </c>
      <c r="F211" s="315">
        <v>-102365</v>
      </c>
      <c r="G211" s="315">
        <v>9807124</v>
      </c>
      <c r="H211" s="315">
        <v>3655968</v>
      </c>
      <c r="I211" s="315">
        <v>6151156</v>
      </c>
      <c r="J211" s="315">
        <v>6026851</v>
      </c>
      <c r="K211" s="315">
        <v>124305</v>
      </c>
      <c r="L211" s="315">
        <v>5217028</v>
      </c>
      <c r="M211" s="315">
        <v>4370014</v>
      </c>
      <c r="N211" s="315">
        <v>130095</v>
      </c>
      <c r="O211" s="315">
        <v>53462</v>
      </c>
      <c r="P211" s="315">
        <v>76633</v>
      </c>
      <c r="Q211" s="315">
        <v>38310</v>
      </c>
      <c r="R211" s="315">
        <v>678609</v>
      </c>
      <c r="S211" s="315">
        <v>-538469</v>
      </c>
      <c r="T211" s="315">
        <v>-527487</v>
      </c>
      <c r="U211" s="315">
        <v>-60699</v>
      </c>
      <c r="V211" s="315">
        <v>-49</v>
      </c>
      <c r="W211" s="315">
        <v>-439366</v>
      </c>
      <c r="X211" s="315">
        <v>0</v>
      </c>
      <c r="Y211" s="315">
        <v>-27373</v>
      </c>
      <c r="Z211" s="315">
        <v>-5130</v>
      </c>
      <c r="AA211" s="315">
        <v>-5852</v>
      </c>
      <c r="AB211" s="315">
        <v>0</v>
      </c>
      <c r="AC211" s="315">
        <v>-102365</v>
      </c>
      <c r="AD211" s="315">
        <v>4576194</v>
      </c>
      <c r="AE211" s="315">
        <v>1489333</v>
      </c>
      <c r="AF211" s="315">
        <v>3086861</v>
      </c>
      <c r="AG211" s="315">
        <v>3021785</v>
      </c>
      <c r="AH211" s="315">
        <v>65076</v>
      </c>
      <c r="AI211" s="315">
        <v>4365498</v>
      </c>
      <c r="AJ211" s="315">
        <v>1916353</v>
      </c>
      <c r="AK211" s="315">
        <v>2299804</v>
      </c>
      <c r="AL211" s="315">
        <v>6420</v>
      </c>
      <c r="AM211" s="315">
        <v>592200</v>
      </c>
      <c r="AN211" s="315">
        <v>53661</v>
      </c>
      <c r="AO211" s="315">
        <v>22453</v>
      </c>
      <c r="AP211" s="315"/>
      <c r="AQ211" s="315">
        <v>8959</v>
      </c>
      <c r="AR211" s="315">
        <v>-397392</v>
      </c>
      <c r="AS211" s="315">
        <v>33180</v>
      </c>
      <c r="AT211" s="315">
        <v>0</v>
      </c>
      <c r="AU211" s="315">
        <v>-102365</v>
      </c>
      <c r="AV211" s="315">
        <v>2929515</v>
      </c>
      <c r="AW211" s="315">
        <v>2238968</v>
      </c>
      <c r="AX211" s="315">
        <v>67366</v>
      </c>
      <c r="AY211" s="315">
        <v>10224</v>
      </c>
      <c r="AZ211" s="315">
        <v>2277</v>
      </c>
      <c r="BA211" s="315">
        <v>5048</v>
      </c>
      <c r="BB211" s="315">
        <v>49817</v>
      </c>
      <c r="BC211" s="315">
        <v>326633</v>
      </c>
      <c r="BD211" s="315">
        <v>296548</v>
      </c>
      <c r="BE211" s="315">
        <v>-933759</v>
      </c>
      <c r="BF211" s="315">
        <v>-919429</v>
      </c>
      <c r="BG211" s="315">
        <v>-910543</v>
      </c>
      <c r="BH211" s="315">
        <v>-8886</v>
      </c>
      <c r="BI211" s="315">
        <v>-886806</v>
      </c>
      <c r="BJ211" s="315">
        <v>-9344</v>
      </c>
      <c r="BK211" s="315">
        <v>-23279</v>
      </c>
      <c r="BL211" s="315">
        <v>-5754</v>
      </c>
      <c r="BM211" s="315">
        <v>-8576</v>
      </c>
      <c r="BN211" s="315">
        <v>1995756</v>
      </c>
      <c r="BO211" s="315">
        <v>261940</v>
      </c>
      <c r="BP211" s="315">
        <v>16043</v>
      </c>
      <c r="BQ211" s="315">
        <v>9551</v>
      </c>
      <c r="BR211" s="315"/>
      <c r="BS211" s="315">
        <v>2233652</v>
      </c>
      <c r="BT211" s="315">
        <v>933860</v>
      </c>
      <c r="BU211" s="315">
        <v>730406</v>
      </c>
      <c r="BV211" s="315">
        <v>566649</v>
      </c>
      <c r="BW211" s="315">
        <v>2737</v>
      </c>
      <c r="BX211" s="315">
        <v>-843177</v>
      </c>
      <c r="BY211" s="315">
        <v>317747</v>
      </c>
      <c r="BZ211" s="315">
        <v>0</v>
      </c>
      <c r="CA211" s="315">
        <v>233724</v>
      </c>
      <c r="CB211" s="315">
        <v>-26383</v>
      </c>
      <c r="CC211" s="315">
        <v>-19367</v>
      </c>
      <c r="CD211" s="315">
        <v>-7016</v>
      </c>
      <c r="CE211" s="315">
        <v>207341</v>
      </c>
      <c r="CF211" s="315">
        <v>215925</v>
      </c>
      <c r="CG211" s="315">
        <v>9046</v>
      </c>
      <c r="CH211" s="315">
        <v>-17630</v>
      </c>
      <c r="CI211" s="315">
        <v>4645070</v>
      </c>
      <c r="CJ211" s="315">
        <v>690013</v>
      </c>
      <c r="CK211" s="315">
        <v>3955057</v>
      </c>
      <c r="CL211" s="315">
        <v>3319879</v>
      </c>
      <c r="CM211" s="315">
        <v>62320</v>
      </c>
      <c r="CN211" s="315">
        <v>572858</v>
      </c>
      <c r="CO211" s="315">
        <v>0</v>
      </c>
      <c r="CP211" s="315">
        <v>0</v>
      </c>
      <c r="CQ211" s="315">
        <v>572858</v>
      </c>
      <c r="CR211" s="315">
        <v>-3472490</v>
      </c>
      <c r="CS211" s="315">
        <v>-773779</v>
      </c>
      <c r="CT211" s="315">
        <v>-180687</v>
      </c>
      <c r="CU211" s="315">
        <v>-10968</v>
      </c>
      <c r="CV211" s="315">
        <v>-1450</v>
      </c>
      <c r="CW211" s="315">
        <v>-580674</v>
      </c>
      <c r="CX211" s="315">
        <v>-2179672</v>
      </c>
      <c r="CY211" s="315">
        <v>-2157408</v>
      </c>
      <c r="CZ211" s="315">
        <v>-19974</v>
      </c>
      <c r="DA211" s="315">
        <v>-2290</v>
      </c>
      <c r="DB211" s="315">
        <v>-445193</v>
      </c>
      <c r="DC211" s="315">
        <v>-73846</v>
      </c>
      <c r="DD211" s="315">
        <v>1172580</v>
      </c>
      <c r="DE211" s="315">
        <v>-838210</v>
      </c>
      <c r="DF211" s="315">
        <v>2010790</v>
      </c>
      <c r="DG211" s="315">
        <v>1969686</v>
      </c>
      <c r="DH211" s="315">
        <v>41104</v>
      </c>
      <c r="DI211" s="315">
        <v>1543206</v>
      </c>
      <c r="DJ211" s="315">
        <v>74789</v>
      </c>
      <c r="DK211" s="315">
        <v>24567</v>
      </c>
      <c r="DL211" s="315">
        <v>942</v>
      </c>
      <c r="DM211" s="315">
        <v>777464</v>
      </c>
      <c r="DN211" s="315">
        <v>552028</v>
      </c>
      <c r="DO211" s="315">
        <v>113368</v>
      </c>
      <c r="DP211" s="315"/>
      <c r="DQ211" s="315"/>
      <c r="DR211" s="315">
        <v>48</v>
      </c>
      <c r="DS211" s="315">
        <v>-40891</v>
      </c>
      <c r="DT211" s="315">
        <v>-8301</v>
      </c>
      <c r="DU211" s="315">
        <v>-2986</v>
      </c>
      <c r="DV211" s="315">
        <v>-36</v>
      </c>
      <c r="DW211" s="315">
        <v>-14297</v>
      </c>
      <c r="DX211" s="315">
        <v>-3973</v>
      </c>
      <c r="DY211" s="315">
        <v>-9478</v>
      </c>
      <c r="DZ211" s="315">
        <v>-846</v>
      </c>
      <c r="EA211" s="315">
        <v>-14939</v>
      </c>
      <c r="EB211" s="315">
        <v>-262</v>
      </c>
      <c r="EC211" s="315"/>
      <c r="ED211" s="315"/>
      <c r="EE211" s="315">
        <v>-70</v>
      </c>
      <c r="EF211" s="315">
        <v>1502315</v>
      </c>
      <c r="EG211" s="315">
        <v>448810</v>
      </c>
      <c r="EH211" s="315">
        <v>1053505</v>
      </c>
      <c r="EI211" s="315">
        <v>1035380</v>
      </c>
      <c r="EJ211" s="315">
        <v>18125</v>
      </c>
      <c r="EK211" s="315">
        <v>66488</v>
      </c>
      <c r="EL211" s="315">
        <v>26413</v>
      </c>
      <c r="EM211" s="315">
        <v>40075</v>
      </c>
      <c r="EN211" s="315">
        <v>39267</v>
      </c>
      <c r="EO211" s="315">
        <v>808</v>
      </c>
      <c r="EP211" s="315">
        <v>21581</v>
      </c>
      <c r="EQ211" s="315">
        <v>7476</v>
      </c>
      <c r="ER211" s="315">
        <v>14105</v>
      </c>
      <c r="ES211" s="315">
        <v>13831</v>
      </c>
      <c r="ET211" s="315">
        <v>274</v>
      </c>
      <c r="EU211" s="315">
        <v>906</v>
      </c>
      <c r="EV211" s="315">
        <v>-12</v>
      </c>
      <c r="EW211" s="315">
        <v>918</v>
      </c>
      <c r="EX211" s="315">
        <v>900</v>
      </c>
      <c r="EY211" s="315">
        <v>18</v>
      </c>
      <c r="EZ211" s="315">
        <v>763167</v>
      </c>
      <c r="FA211" s="315">
        <v>281141</v>
      </c>
      <c r="FB211" s="315">
        <v>482026</v>
      </c>
      <c r="FC211" s="315">
        <v>472625</v>
      </c>
      <c r="FD211" s="315">
        <v>9401</v>
      </c>
      <c r="FE211" s="315">
        <v>537089</v>
      </c>
      <c r="FF211" s="315">
        <v>137553</v>
      </c>
      <c r="FG211" s="315">
        <v>399536</v>
      </c>
      <c r="FH211" s="315">
        <v>391912</v>
      </c>
      <c r="FI211" s="315">
        <v>7624</v>
      </c>
      <c r="FJ211" s="315">
        <v>113106</v>
      </c>
      <c r="FK211" s="315">
        <v>-3739</v>
      </c>
      <c r="FL211" s="315">
        <v>116845</v>
      </c>
      <c r="FM211" s="315">
        <v>116845</v>
      </c>
      <c r="FN211" s="315"/>
      <c r="FO211" s="315"/>
      <c r="FP211" s="315"/>
      <c r="FQ211" s="315">
        <v>-22</v>
      </c>
      <c r="FR211" s="315">
        <v>452786</v>
      </c>
      <c r="FS211" s="315">
        <v>-99848</v>
      </c>
      <c r="FT211" s="315">
        <v>352938</v>
      </c>
      <c r="FU211" s="315"/>
      <c r="FV211" s="315"/>
      <c r="FW211" s="315"/>
      <c r="FX211" s="315">
        <v>112889</v>
      </c>
      <c r="FY211" s="315">
        <v>109237</v>
      </c>
      <c r="FZ211" s="315"/>
      <c r="GA211" s="315"/>
      <c r="GB211" s="315"/>
      <c r="GC211" s="315">
        <v>31968</v>
      </c>
      <c r="GD211" s="315">
        <v>-20545</v>
      </c>
      <c r="GE211" s="315"/>
      <c r="GF211" s="315">
        <v>52513</v>
      </c>
      <c r="GG211" s="315">
        <v>98844</v>
      </c>
      <c r="GH211" s="315">
        <v>5080</v>
      </c>
      <c r="GI211" s="315">
        <v>2558</v>
      </c>
      <c r="GJ211" s="315">
        <v>91206</v>
      </c>
      <c r="GL211"/>
      <c r="GM211"/>
      <c r="GN211"/>
      <c r="GO211"/>
    </row>
    <row r="212" spans="1:197">
      <c r="A212" s="96" t="s">
        <v>30</v>
      </c>
      <c r="B212" s="96">
        <v>1</v>
      </c>
      <c r="C212" s="97" t="s">
        <v>217</v>
      </c>
      <c r="D212" s="314">
        <v>16257403</v>
      </c>
      <c r="E212" s="314">
        <v>-2973389</v>
      </c>
      <c r="F212" s="314">
        <v>-13266</v>
      </c>
      <c r="G212" s="314">
        <v>13270748</v>
      </c>
      <c r="H212" s="314">
        <v>7417337</v>
      </c>
      <c r="I212" s="314">
        <v>5853411</v>
      </c>
      <c r="J212" s="314">
        <v>5736769</v>
      </c>
      <c r="K212" s="314">
        <v>116642</v>
      </c>
      <c r="L212" s="314">
        <v>10400660</v>
      </c>
      <c r="M212" s="314">
        <v>9042431</v>
      </c>
      <c r="N212" s="314">
        <v>80108</v>
      </c>
      <c r="O212" s="314">
        <v>0</v>
      </c>
      <c r="P212" s="314">
        <v>80108</v>
      </c>
      <c r="Q212" s="314">
        <v>39259</v>
      </c>
      <c r="R212" s="314">
        <v>1238862</v>
      </c>
      <c r="S212" s="314">
        <v>-226375</v>
      </c>
      <c r="T212" s="314">
        <v>-210807</v>
      </c>
      <c r="U212" s="314">
        <v>0</v>
      </c>
      <c r="V212" s="314">
        <v>-59671</v>
      </c>
      <c r="W212" s="314">
        <v>0</v>
      </c>
      <c r="X212" s="314">
        <v>-133487</v>
      </c>
      <c r="Y212" s="314">
        <v>-17649</v>
      </c>
      <c r="Z212" s="314">
        <v>-13046</v>
      </c>
      <c r="AA212" s="314">
        <v>-2522</v>
      </c>
      <c r="AB212" s="314">
        <v>0</v>
      </c>
      <c r="AC212" s="314">
        <v>-13266</v>
      </c>
      <c r="AD212" s="314">
        <v>10161019</v>
      </c>
      <c r="AE212" s="314">
        <v>7256249</v>
      </c>
      <c r="AF212" s="314">
        <v>2904770</v>
      </c>
      <c r="AG212" s="314">
        <v>2842082</v>
      </c>
      <c r="AH212" s="314">
        <v>62688</v>
      </c>
      <c r="AI212" s="314">
        <v>9040433</v>
      </c>
      <c r="AJ212" s="314">
        <v>1623665</v>
      </c>
      <c r="AK212" s="314">
        <v>3314987</v>
      </c>
      <c r="AL212" s="314">
        <v>3971593</v>
      </c>
      <c r="AM212" s="314">
        <v>739680</v>
      </c>
      <c r="AN212" s="314">
        <v>382439</v>
      </c>
      <c r="AO212" s="314">
        <v>32992</v>
      </c>
      <c r="AP212" s="314"/>
      <c r="AQ212" s="314">
        <v>83227</v>
      </c>
      <c r="AR212" s="314">
        <v>-130699</v>
      </c>
      <c r="AS212" s="314">
        <v>26213</v>
      </c>
      <c r="AT212" s="314">
        <v>0</v>
      </c>
      <c r="AU212" s="314">
        <v>-13266</v>
      </c>
      <c r="AV212" s="314">
        <v>1407153</v>
      </c>
      <c r="AW212" s="314">
        <v>34049</v>
      </c>
      <c r="AX212" s="314">
        <v>74600</v>
      </c>
      <c r="AY212" s="314">
        <v>15807</v>
      </c>
      <c r="AZ212" s="314">
        <v>9067</v>
      </c>
      <c r="BA212" s="314">
        <v>13025</v>
      </c>
      <c r="BB212" s="314">
        <v>36701</v>
      </c>
      <c r="BC212" s="314">
        <v>111496</v>
      </c>
      <c r="BD212" s="314">
        <v>1187008</v>
      </c>
      <c r="BE212" s="314">
        <v>-1290466</v>
      </c>
      <c r="BF212" s="314">
        <v>-1288487</v>
      </c>
      <c r="BG212" s="314">
        <v>-1265012</v>
      </c>
      <c r="BH212" s="314">
        <v>-23475</v>
      </c>
      <c r="BI212" s="314">
        <v>0</v>
      </c>
      <c r="BJ212" s="314">
        <v>-1249993</v>
      </c>
      <c r="BK212" s="314">
        <v>-38494</v>
      </c>
      <c r="BL212" s="314">
        <v>-1023</v>
      </c>
      <c r="BM212" s="314">
        <v>-956</v>
      </c>
      <c r="BN212" s="314">
        <v>116687</v>
      </c>
      <c r="BO212" s="314">
        <v>1013467</v>
      </c>
      <c r="BP212" s="314">
        <v>158388</v>
      </c>
      <c r="BQ212" s="314">
        <v>14044</v>
      </c>
      <c r="BR212" s="314"/>
      <c r="BS212" s="314">
        <v>33177</v>
      </c>
      <c r="BT212" s="314">
        <v>4559</v>
      </c>
      <c r="BU212" s="314">
        <v>526</v>
      </c>
      <c r="BV212" s="314">
        <v>9784</v>
      </c>
      <c r="BW212" s="314">
        <v>18308</v>
      </c>
      <c r="BX212" s="314">
        <v>-1190412</v>
      </c>
      <c r="BY212" s="314">
        <v>88021</v>
      </c>
      <c r="BZ212" s="314">
        <v>2</v>
      </c>
      <c r="CA212" s="314">
        <v>795906</v>
      </c>
      <c r="CB212" s="314">
        <v>-62593</v>
      </c>
      <c r="CC212" s="314">
        <v>-60137</v>
      </c>
      <c r="CD212" s="314">
        <v>-2456</v>
      </c>
      <c r="CE212" s="314">
        <v>733313</v>
      </c>
      <c r="CF212" s="314">
        <v>192338</v>
      </c>
      <c r="CG212" s="314">
        <v>80</v>
      </c>
      <c r="CH212" s="314">
        <v>540895</v>
      </c>
      <c r="CI212" s="314">
        <v>1603038</v>
      </c>
      <c r="CJ212" s="314">
        <v>715909</v>
      </c>
      <c r="CK212" s="314">
        <v>887129</v>
      </c>
      <c r="CL212" s="314">
        <v>225454</v>
      </c>
      <c r="CM212" s="314">
        <v>311626</v>
      </c>
      <c r="CN212" s="314">
        <v>350049</v>
      </c>
      <c r="CO212" s="314">
        <v>0</v>
      </c>
      <c r="CP212" s="314">
        <v>0</v>
      </c>
      <c r="CQ212" s="314">
        <v>350049</v>
      </c>
      <c r="CR212" s="314">
        <v>-1317770</v>
      </c>
      <c r="CS212" s="314">
        <v>-174404</v>
      </c>
      <c r="CT212" s="314">
        <v>-421</v>
      </c>
      <c r="CU212" s="314">
        <v>-99989</v>
      </c>
      <c r="CV212" s="314">
        <v>-465</v>
      </c>
      <c r="CW212" s="314">
        <v>-73529</v>
      </c>
      <c r="CX212" s="314">
        <v>-1143366</v>
      </c>
      <c r="CY212" s="314">
        <v>0</v>
      </c>
      <c r="CZ212" s="314">
        <v>-1109868</v>
      </c>
      <c r="DA212" s="314">
        <v>-33498</v>
      </c>
      <c r="DB212" s="314">
        <v>0</v>
      </c>
      <c r="DC212" s="314">
        <v>0</v>
      </c>
      <c r="DD212" s="314">
        <v>285268</v>
      </c>
      <c r="DE212" s="314">
        <v>-1614439</v>
      </c>
      <c r="DF212" s="314">
        <v>1899707</v>
      </c>
      <c r="DG212" s="314">
        <v>1863692</v>
      </c>
      <c r="DH212" s="314">
        <v>36015</v>
      </c>
      <c r="DI212" s="314">
        <v>1615857</v>
      </c>
      <c r="DJ212" s="314">
        <v>44876</v>
      </c>
      <c r="DK212" s="314">
        <v>23519</v>
      </c>
      <c r="DL212" s="314">
        <v>815</v>
      </c>
      <c r="DM212" s="314">
        <v>756703</v>
      </c>
      <c r="DN212" s="314">
        <v>673409</v>
      </c>
      <c r="DO212" s="314">
        <v>116492</v>
      </c>
      <c r="DP212" s="314"/>
      <c r="DQ212" s="314"/>
      <c r="DR212" s="314">
        <v>43</v>
      </c>
      <c r="DS212" s="314">
        <v>-11296</v>
      </c>
      <c r="DT212" s="314">
        <v>-2037</v>
      </c>
      <c r="DU212" s="314">
        <v>-32</v>
      </c>
      <c r="DV212" s="314">
        <v>-10</v>
      </c>
      <c r="DW212" s="314">
        <v>-9211</v>
      </c>
      <c r="DX212" s="314">
        <v>-2248</v>
      </c>
      <c r="DY212" s="314">
        <v>-6389</v>
      </c>
      <c r="DZ212" s="314">
        <v>-574</v>
      </c>
      <c r="EA212" s="314">
        <v>0</v>
      </c>
      <c r="EB212" s="314">
        <v>0</v>
      </c>
      <c r="EC212" s="314"/>
      <c r="ED212" s="314"/>
      <c r="EE212" s="314">
        <v>-6</v>
      </c>
      <c r="EF212" s="314">
        <v>1604561</v>
      </c>
      <c r="EG212" s="314">
        <v>555627</v>
      </c>
      <c r="EH212" s="314">
        <v>1048934</v>
      </c>
      <c r="EI212" s="314">
        <v>1030995</v>
      </c>
      <c r="EJ212" s="314">
        <v>17939</v>
      </c>
      <c r="EK212" s="314">
        <v>42839</v>
      </c>
      <c r="EL212" s="314">
        <v>3292</v>
      </c>
      <c r="EM212" s="314">
        <v>39547</v>
      </c>
      <c r="EN212" s="314">
        <v>38769</v>
      </c>
      <c r="EO212" s="314">
        <v>778</v>
      </c>
      <c r="EP212" s="314">
        <v>23487</v>
      </c>
      <c r="EQ212" s="314">
        <v>9418</v>
      </c>
      <c r="ER212" s="314">
        <v>14069</v>
      </c>
      <c r="ES212" s="314">
        <v>13797</v>
      </c>
      <c r="ET212" s="314">
        <v>272</v>
      </c>
      <c r="EU212" s="314">
        <v>805</v>
      </c>
      <c r="EV212" s="314">
        <v>-105</v>
      </c>
      <c r="EW212" s="314">
        <v>910</v>
      </c>
      <c r="EX212" s="314">
        <v>892</v>
      </c>
      <c r="EY212" s="314">
        <v>18</v>
      </c>
      <c r="EZ212" s="314">
        <v>747492</v>
      </c>
      <c r="FA212" s="314">
        <v>268200</v>
      </c>
      <c r="FB212" s="314">
        <v>479292</v>
      </c>
      <c r="FC212" s="314">
        <v>470003</v>
      </c>
      <c r="FD212" s="314">
        <v>9289</v>
      </c>
      <c r="FE212" s="314">
        <v>673409</v>
      </c>
      <c r="FF212" s="314">
        <v>275083</v>
      </c>
      <c r="FG212" s="314">
        <v>398326</v>
      </c>
      <c r="FH212" s="314">
        <v>390744</v>
      </c>
      <c r="FI212" s="314">
        <v>7582</v>
      </c>
      <c r="FJ212" s="314">
        <v>116492</v>
      </c>
      <c r="FK212" s="314">
        <v>-298</v>
      </c>
      <c r="FL212" s="314">
        <v>116790</v>
      </c>
      <c r="FM212" s="314">
        <v>116790</v>
      </c>
      <c r="FN212" s="314"/>
      <c r="FO212" s="314"/>
      <c r="FP212" s="314"/>
      <c r="FQ212" s="314">
        <v>37</v>
      </c>
      <c r="FR212" s="314">
        <v>434789</v>
      </c>
      <c r="FS212" s="314">
        <v>-64889</v>
      </c>
      <c r="FT212" s="314">
        <v>369900</v>
      </c>
      <c r="FU212" s="314"/>
      <c r="FV212" s="314"/>
      <c r="FW212" s="314"/>
      <c r="FX212" s="314">
        <v>123169</v>
      </c>
      <c r="FY212" s="314">
        <v>121640</v>
      </c>
      <c r="FZ212" s="314"/>
      <c r="GA212" s="314"/>
      <c r="GB212" s="314">
        <v>0</v>
      </c>
      <c r="GC212" s="314">
        <v>14255</v>
      </c>
      <c r="GD212" s="314">
        <v>-53128</v>
      </c>
      <c r="GE212" s="314"/>
      <c r="GF212" s="314">
        <v>67383</v>
      </c>
      <c r="GG212" s="314">
        <v>110836</v>
      </c>
      <c r="GH212" s="314">
        <v>8310</v>
      </c>
      <c r="GI212" s="314">
        <v>355</v>
      </c>
      <c r="GJ212" s="314">
        <v>102171</v>
      </c>
      <c r="GL212"/>
      <c r="GM212"/>
      <c r="GN212"/>
      <c r="GO212"/>
    </row>
    <row r="213" spans="1:197">
      <c r="A213" s="98" t="s">
        <v>30</v>
      </c>
      <c r="B213" s="98">
        <v>2</v>
      </c>
      <c r="C213" s="98" t="s">
        <v>218</v>
      </c>
      <c r="D213" s="315">
        <v>20585042</v>
      </c>
      <c r="E213" s="315">
        <v>-3000276</v>
      </c>
      <c r="F213" s="315">
        <v>-13266</v>
      </c>
      <c r="G213" s="315">
        <v>17571500</v>
      </c>
      <c r="H213" s="315">
        <v>11718090</v>
      </c>
      <c r="I213" s="315">
        <v>5853410</v>
      </c>
      <c r="J213" s="315">
        <v>5736770</v>
      </c>
      <c r="K213" s="315">
        <v>116640</v>
      </c>
      <c r="L213" s="315">
        <v>4856074</v>
      </c>
      <c r="M213" s="315">
        <v>3781073</v>
      </c>
      <c r="N213" s="315">
        <v>76671</v>
      </c>
      <c r="O213" s="315">
        <v>0</v>
      </c>
      <c r="P213" s="315">
        <v>76671</v>
      </c>
      <c r="Q213" s="315">
        <v>60322</v>
      </c>
      <c r="R213" s="315">
        <v>938008</v>
      </c>
      <c r="S213" s="315">
        <v>-198705</v>
      </c>
      <c r="T213" s="315">
        <v>-187507</v>
      </c>
      <c r="U213" s="315">
        <v>-57029</v>
      </c>
      <c r="V213" s="315">
        <v>-1625</v>
      </c>
      <c r="W213" s="315">
        <v>0</v>
      </c>
      <c r="X213" s="315">
        <v>-94620</v>
      </c>
      <c r="Y213" s="315">
        <v>-34233</v>
      </c>
      <c r="Z213" s="315">
        <v>-5925</v>
      </c>
      <c r="AA213" s="315">
        <v>-5273</v>
      </c>
      <c r="AB213" s="315">
        <v>0</v>
      </c>
      <c r="AC213" s="315">
        <v>-13266</v>
      </c>
      <c r="AD213" s="315">
        <v>4644103</v>
      </c>
      <c r="AE213" s="315">
        <v>1739335</v>
      </c>
      <c r="AF213" s="315">
        <v>2904768</v>
      </c>
      <c r="AG213" s="315">
        <v>2842081</v>
      </c>
      <c r="AH213" s="315">
        <v>62687</v>
      </c>
      <c r="AI213" s="315">
        <v>3776918</v>
      </c>
      <c r="AJ213" s="315">
        <v>1254506</v>
      </c>
      <c r="AK213" s="315">
        <v>2348278</v>
      </c>
      <c r="AL213" s="315">
        <v>22475</v>
      </c>
      <c r="AM213" s="315">
        <v>432450</v>
      </c>
      <c r="AN213" s="315">
        <v>56934</v>
      </c>
      <c r="AO213" s="315">
        <v>18584</v>
      </c>
      <c r="AP213" s="315"/>
      <c r="AQ213" s="315">
        <v>428922</v>
      </c>
      <c r="AR213" s="315">
        <v>-110836</v>
      </c>
      <c r="AS213" s="315">
        <v>54397</v>
      </c>
      <c r="AT213" s="315">
        <v>0</v>
      </c>
      <c r="AU213" s="315">
        <v>-13266</v>
      </c>
      <c r="AV213" s="315">
        <v>452067</v>
      </c>
      <c r="AW213" s="315">
        <v>25814</v>
      </c>
      <c r="AX213" s="315">
        <v>115254</v>
      </c>
      <c r="AY213" s="315">
        <v>46558</v>
      </c>
      <c r="AZ213" s="315">
        <v>17560</v>
      </c>
      <c r="BA213" s="315">
        <v>7880</v>
      </c>
      <c r="BB213" s="315">
        <v>43256</v>
      </c>
      <c r="BC213" s="315">
        <v>88308</v>
      </c>
      <c r="BD213" s="315">
        <v>222691</v>
      </c>
      <c r="BE213" s="315">
        <v>-955968</v>
      </c>
      <c r="BF213" s="315">
        <v>-262730</v>
      </c>
      <c r="BG213" s="315">
        <v>-228185</v>
      </c>
      <c r="BH213" s="315">
        <v>-34545</v>
      </c>
      <c r="BI213" s="315">
        <v>0</v>
      </c>
      <c r="BJ213" s="315">
        <v>-225782</v>
      </c>
      <c r="BK213" s="315">
        <v>-36948</v>
      </c>
      <c r="BL213" s="315">
        <v>-1077</v>
      </c>
      <c r="BM213" s="315">
        <v>-692161</v>
      </c>
      <c r="BN213" s="315">
        <v>-503901</v>
      </c>
      <c r="BO213" s="315">
        <v>-497713</v>
      </c>
      <c r="BP213" s="315">
        <v>19894</v>
      </c>
      <c r="BQ213" s="315">
        <v>7911</v>
      </c>
      <c r="BR213" s="315"/>
      <c r="BS213" s="315">
        <v>25148</v>
      </c>
      <c r="BT213" s="315">
        <v>1064</v>
      </c>
      <c r="BU213" s="315">
        <v>33</v>
      </c>
      <c r="BV213" s="315">
        <v>1380</v>
      </c>
      <c r="BW213" s="315">
        <v>22671</v>
      </c>
      <c r="BX213" s="315">
        <v>-112931</v>
      </c>
      <c r="BY213" s="315">
        <v>53763</v>
      </c>
      <c r="BZ213" s="315">
        <v>27</v>
      </c>
      <c r="CA213" s="315">
        <v>195990</v>
      </c>
      <c r="CB213" s="315">
        <v>-587308</v>
      </c>
      <c r="CC213" s="315">
        <v>-20990</v>
      </c>
      <c r="CD213" s="315">
        <v>-566318</v>
      </c>
      <c r="CE213" s="315">
        <v>-391318</v>
      </c>
      <c r="CF213" s="315">
        <v>169661</v>
      </c>
      <c r="CG213" s="315">
        <v>13</v>
      </c>
      <c r="CH213" s="315">
        <v>-560992</v>
      </c>
      <c r="CI213" s="315">
        <v>13239113</v>
      </c>
      <c r="CJ213" s="315">
        <v>675038</v>
      </c>
      <c r="CK213" s="315">
        <v>12564075</v>
      </c>
      <c r="CL213" s="315">
        <v>7401259</v>
      </c>
      <c r="CM213" s="315">
        <v>4698083</v>
      </c>
      <c r="CN213" s="315">
        <v>464733</v>
      </c>
      <c r="CO213" s="315">
        <v>0</v>
      </c>
      <c r="CP213" s="315">
        <v>0</v>
      </c>
      <c r="CQ213" s="315">
        <v>464733</v>
      </c>
      <c r="CR213" s="315">
        <v>-1182453</v>
      </c>
      <c r="CS213" s="315">
        <v>-202576</v>
      </c>
      <c r="CT213" s="315">
        <v>-22847</v>
      </c>
      <c r="CU213" s="315">
        <v>-80078</v>
      </c>
      <c r="CV213" s="315">
        <v>-797</v>
      </c>
      <c r="CW213" s="315">
        <v>-98854</v>
      </c>
      <c r="CX213" s="315">
        <v>-979877</v>
      </c>
      <c r="CY213" s="315">
        <v>-60825</v>
      </c>
      <c r="CZ213" s="315">
        <v>-907381</v>
      </c>
      <c r="DA213" s="315">
        <v>-11671</v>
      </c>
      <c r="DB213" s="315">
        <v>0</v>
      </c>
      <c r="DC213" s="315">
        <v>0</v>
      </c>
      <c r="DD213" s="315">
        <v>12056660</v>
      </c>
      <c r="DE213" s="315">
        <v>10156952</v>
      </c>
      <c r="DF213" s="315">
        <v>1899708</v>
      </c>
      <c r="DG213" s="315">
        <v>1863694</v>
      </c>
      <c r="DH213" s="315">
        <v>36014</v>
      </c>
      <c r="DI213" s="315">
        <v>1443104</v>
      </c>
      <c r="DJ213" s="315">
        <v>108080</v>
      </c>
      <c r="DK213" s="315">
        <v>21416</v>
      </c>
      <c r="DL213" s="315">
        <v>2573</v>
      </c>
      <c r="DM213" s="315">
        <v>686930</v>
      </c>
      <c r="DN213" s="315">
        <v>498592</v>
      </c>
      <c r="DO213" s="315">
        <v>125458</v>
      </c>
      <c r="DP213" s="315"/>
      <c r="DQ213" s="315"/>
      <c r="DR213" s="315">
        <v>55</v>
      </c>
      <c r="DS213" s="315">
        <v>-18934</v>
      </c>
      <c r="DT213" s="315">
        <v>-1941</v>
      </c>
      <c r="DU213" s="315">
        <v>-11</v>
      </c>
      <c r="DV213" s="315">
        <v>-8</v>
      </c>
      <c r="DW213" s="315">
        <v>-16589</v>
      </c>
      <c r="DX213" s="315">
        <v>-1434</v>
      </c>
      <c r="DY213" s="315">
        <v>-14175</v>
      </c>
      <c r="DZ213" s="315">
        <v>-980</v>
      </c>
      <c r="EA213" s="315">
        <v>-47</v>
      </c>
      <c r="EB213" s="315">
        <v>-6</v>
      </c>
      <c r="EC213" s="315"/>
      <c r="ED213" s="315"/>
      <c r="EE213" s="315">
        <v>-332</v>
      </c>
      <c r="EF213" s="315">
        <v>1424170</v>
      </c>
      <c r="EG213" s="315">
        <v>375236</v>
      </c>
      <c r="EH213" s="315">
        <v>1048934</v>
      </c>
      <c r="EI213" s="315">
        <v>1030995</v>
      </c>
      <c r="EJ213" s="315">
        <v>17939</v>
      </c>
      <c r="EK213" s="315">
        <v>106139</v>
      </c>
      <c r="EL213" s="315">
        <v>66593</v>
      </c>
      <c r="EM213" s="315">
        <v>39546</v>
      </c>
      <c r="EN213" s="315">
        <v>38769</v>
      </c>
      <c r="EO213" s="315">
        <v>777</v>
      </c>
      <c r="EP213" s="315">
        <v>21405</v>
      </c>
      <c r="EQ213" s="315">
        <v>7334</v>
      </c>
      <c r="ER213" s="315">
        <v>14071</v>
      </c>
      <c r="ES213" s="315">
        <v>13797</v>
      </c>
      <c r="ET213" s="315">
        <v>274</v>
      </c>
      <c r="EU213" s="315">
        <v>2565</v>
      </c>
      <c r="EV213" s="315">
        <v>1656</v>
      </c>
      <c r="EW213" s="315">
        <v>909</v>
      </c>
      <c r="EX213" s="315">
        <v>892</v>
      </c>
      <c r="EY213" s="315">
        <v>17</v>
      </c>
      <c r="EZ213" s="315">
        <v>670341</v>
      </c>
      <c r="FA213" s="315">
        <v>191050</v>
      </c>
      <c r="FB213" s="315">
        <v>479291</v>
      </c>
      <c r="FC213" s="315">
        <v>470002</v>
      </c>
      <c r="FD213" s="315">
        <v>9289</v>
      </c>
      <c r="FE213" s="315">
        <v>498545</v>
      </c>
      <c r="FF213" s="315">
        <v>100218</v>
      </c>
      <c r="FG213" s="315">
        <v>398327</v>
      </c>
      <c r="FH213" s="315">
        <v>390745</v>
      </c>
      <c r="FI213" s="315">
        <v>7582</v>
      </c>
      <c r="FJ213" s="315">
        <v>125452</v>
      </c>
      <c r="FK213" s="315">
        <v>8662</v>
      </c>
      <c r="FL213" s="315">
        <v>116790</v>
      </c>
      <c r="FM213" s="315">
        <v>116790</v>
      </c>
      <c r="FN213" s="315"/>
      <c r="FO213" s="315"/>
      <c r="FP213" s="315"/>
      <c r="FQ213" s="315">
        <v>-277</v>
      </c>
      <c r="FR213" s="315">
        <v>398694</v>
      </c>
      <c r="FS213" s="315">
        <v>-56908</v>
      </c>
      <c r="FT213" s="315">
        <v>341786</v>
      </c>
      <c r="FU213" s="315"/>
      <c r="FV213" s="315"/>
      <c r="FW213" s="315"/>
      <c r="FX213" s="315">
        <v>127340</v>
      </c>
      <c r="FY213" s="315">
        <v>122680</v>
      </c>
      <c r="FZ213" s="315"/>
      <c r="GA213" s="315"/>
      <c r="GB213" s="315">
        <v>0</v>
      </c>
      <c r="GC213" s="315">
        <v>20554</v>
      </c>
      <c r="GD213" s="315">
        <v>-39755</v>
      </c>
      <c r="GE213" s="315"/>
      <c r="GF213" s="315">
        <v>60309</v>
      </c>
      <c r="GG213" s="315">
        <v>71212</v>
      </c>
      <c r="GH213" s="315">
        <v>8885</v>
      </c>
      <c r="GI213" s="315">
        <v>585</v>
      </c>
      <c r="GJ213" s="315">
        <v>61742</v>
      </c>
      <c r="GL213"/>
      <c r="GM213"/>
      <c r="GN213"/>
      <c r="GO213"/>
    </row>
    <row r="214" spans="1:197">
      <c r="A214" s="98" t="s">
        <v>30</v>
      </c>
      <c r="B214" s="98">
        <v>3</v>
      </c>
      <c r="C214" s="98" t="s">
        <v>219</v>
      </c>
      <c r="D214" s="315">
        <v>11614064</v>
      </c>
      <c r="E214" s="315">
        <v>-2860994</v>
      </c>
      <c r="F214" s="315">
        <v>-13267</v>
      </c>
      <c r="G214" s="315">
        <v>8739803</v>
      </c>
      <c r="H214" s="315">
        <v>2886395</v>
      </c>
      <c r="I214" s="315">
        <v>5853408</v>
      </c>
      <c r="J214" s="315">
        <v>5736767</v>
      </c>
      <c r="K214" s="315">
        <v>116641</v>
      </c>
      <c r="L214" s="315">
        <v>4995367</v>
      </c>
      <c r="M214" s="315">
        <v>4501884</v>
      </c>
      <c r="N214" s="315">
        <v>85847</v>
      </c>
      <c r="O214" s="315">
        <v>0</v>
      </c>
      <c r="P214" s="315">
        <v>85847</v>
      </c>
      <c r="Q214" s="315">
        <v>43140</v>
      </c>
      <c r="R214" s="315">
        <v>364496</v>
      </c>
      <c r="S214" s="315">
        <v>-155938</v>
      </c>
      <c r="T214" s="315">
        <v>-142784</v>
      </c>
      <c r="U214" s="315">
        <v>-58873</v>
      </c>
      <c r="V214" s="315">
        <v>-378</v>
      </c>
      <c r="W214" s="315">
        <v>0</v>
      </c>
      <c r="X214" s="315">
        <v>-64893</v>
      </c>
      <c r="Y214" s="315">
        <v>-18640</v>
      </c>
      <c r="Z214" s="315">
        <v>-5967</v>
      </c>
      <c r="AA214" s="315">
        <v>-7187</v>
      </c>
      <c r="AB214" s="315">
        <v>0</v>
      </c>
      <c r="AC214" s="315">
        <v>-13267</v>
      </c>
      <c r="AD214" s="315">
        <v>4826162</v>
      </c>
      <c r="AE214" s="315">
        <v>1921392</v>
      </c>
      <c r="AF214" s="315">
        <v>2904770</v>
      </c>
      <c r="AG214" s="315">
        <v>2842082</v>
      </c>
      <c r="AH214" s="315">
        <v>62688</v>
      </c>
      <c r="AI214" s="315">
        <v>4496043</v>
      </c>
      <c r="AJ214" s="315">
        <v>1643682</v>
      </c>
      <c r="AK214" s="315">
        <v>2669064</v>
      </c>
      <c r="AL214" s="315">
        <v>8527</v>
      </c>
      <c r="AM214" s="315">
        <v>270499</v>
      </c>
      <c r="AN214" s="315">
        <v>59502</v>
      </c>
      <c r="AO214" s="315">
        <v>25111</v>
      </c>
      <c r="AP214" s="315"/>
      <c r="AQ214" s="315">
        <v>8038</v>
      </c>
      <c r="AR214" s="315">
        <v>-56937</v>
      </c>
      <c r="AS214" s="315">
        <v>37173</v>
      </c>
      <c r="AT214" s="315">
        <v>0</v>
      </c>
      <c r="AU214" s="315">
        <v>-13267</v>
      </c>
      <c r="AV214" s="315">
        <v>289557</v>
      </c>
      <c r="AW214" s="315">
        <v>20220</v>
      </c>
      <c r="AX214" s="315">
        <v>65878</v>
      </c>
      <c r="AY214" s="315">
        <v>7767</v>
      </c>
      <c r="AZ214" s="315">
        <v>1300</v>
      </c>
      <c r="BA214" s="315">
        <v>11931</v>
      </c>
      <c r="BB214" s="315">
        <v>44880</v>
      </c>
      <c r="BC214" s="315">
        <v>61847</v>
      </c>
      <c r="BD214" s="315">
        <v>141612</v>
      </c>
      <c r="BE214" s="315">
        <v>-213571</v>
      </c>
      <c r="BF214" s="315">
        <v>-205116</v>
      </c>
      <c r="BG214" s="315">
        <v>-157013</v>
      </c>
      <c r="BH214" s="315">
        <v>-48103</v>
      </c>
      <c r="BI214" s="315">
        <v>0</v>
      </c>
      <c r="BJ214" s="315">
        <v>-136190</v>
      </c>
      <c r="BK214" s="315">
        <v>-68926</v>
      </c>
      <c r="BL214" s="315">
        <v>-1515</v>
      </c>
      <c r="BM214" s="315">
        <v>-6940</v>
      </c>
      <c r="BN214" s="315">
        <v>75986</v>
      </c>
      <c r="BO214" s="315">
        <v>105617</v>
      </c>
      <c r="BP214" s="315">
        <v>17924</v>
      </c>
      <c r="BQ214" s="315">
        <v>10629</v>
      </c>
      <c r="BR214" s="315"/>
      <c r="BS214" s="315">
        <v>19206</v>
      </c>
      <c r="BT214" s="315">
        <v>4403</v>
      </c>
      <c r="BU214" s="315">
        <v>2</v>
      </c>
      <c r="BV214" s="315">
        <v>939</v>
      </c>
      <c r="BW214" s="315">
        <v>13862</v>
      </c>
      <c r="BX214" s="315">
        <v>-91135</v>
      </c>
      <c r="BY214" s="315">
        <v>13744</v>
      </c>
      <c r="BZ214" s="315">
        <v>1</v>
      </c>
      <c r="CA214" s="315">
        <v>91903</v>
      </c>
      <c r="CB214" s="315">
        <v>-33663</v>
      </c>
      <c r="CC214" s="315">
        <v>-9288</v>
      </c>
      <c r="CD214" s="315">
        <v>-24375</v>
      </c>
      <c r="CE214" s="315">
        <v>58240</v>
      </c>
      <c r="CF214" s="315">
        <v>86444</v>
      </c>
      <c r="CG214" s="315">
        <v>28</v>
      </c>
      <c r="CH214" s="315">
        <v>-28232</v>
      </c>
      <c r="CI214" s="315">
        <v>4358537</v>
      </c>
      <c r="CJ214" s="315">
        <v>705000</v>
      </c>
      <c r="CK214" s="315">
        <v>3653537</v>
      </c>
      <c r="CL214" s="315">
        <v>3125720</v>
      </c>
      <c r="CM214" s="315">
        <v>98545</v>
      </c>
      <c r="CN214" s="315">
        <v>429272</v>
      </c>
      <c r="CO214" s="315">
        <v>0</v>
      </c>
      <c r="CP214" s="315">
        <v>55414</v>
      </c>
      <c r="CQ214" s="315">
        <v>373858</v>
      </c>
      <c r="CR214" s="315">
        <v>-2377780</v>
      </c>
      <c r="CS214" s="315">
        <v>-656876</v>
      </c>
      <c r="CT214" s="315">
        <v>-499592</v>
      </c>
      <c r="CU214" s="315">
        <v>-55486</v>
      </c>
      <c r="CV214" s="315">
        <v>-685</v>
      </c>
      <c r="CW214" s="315">
        <v>-101113</v>
      </c>
      <c r="CX214" s="315">
        <v>-1659681</v>
      </c>
      <c r="CY214" s="315">
        <v>-727956</v>
      </c>
      <c r="CZ214" s="315">
        <v>-920408</v>
      </c>
      <c r="DA214" s="315">
        <v>-11317</v>
      </c>
      <c r="DB214" s="315">
        <v>0</v>
      </c>
      <c r="DC214" s="315">
        <v>-61223</v>
      </c>
      <c r="DD214" s="315">
        <v>1980757</v>
      </c>
      <c r="DE214" s="315">
        <v>81050</v>
      </c>
      <c r="DF214" s="315">
        <v>1899707</v>
      </c>
      <c r="DG214" s="315">
        <v>1863692</v>
      </c>
      <c r="DH214" s="315">
        <v>36015</v>
      </c>
      <c r="DI214" s="315">
        <v>1432028</v>
      </c>
      <c r="DJ214" s="315">
        <v>95935</v>
      </c>
      <c r="DK214" s="315">
        <v>22091</v>
      </c>
      <c r="DL214" s="315">
        <v>1516</v>
      </c>
      <c r="DM214" s="315">
        <v>713139</v>
      </c>
      <c r="DN214" s="315">
        <v>468294</v>
      </c>
      <c r="DO214" s="315">
        <v>131010</v>
      </c>
      <c r="DP214" s="315"/>
      <c r="DQ214" s="315"/>
      <c r="DR214" s="315">
        <v>43</v>
      </c>
      <c r="DS214" s="315">
        <v>-36350</v>
      </c>
      <c r="DT214" s="315">
        <v>-1091</v>
      </c>
      <c r="DU214" s="315">
        <v>-4241</v>
      </c>
      <c r="DV214" s="315">
        <v>-18</v>
      </c>
      <c r="DW214" s="315">
        <v>-20582</v>
      </c>
      <c r="DX214" s="315">
        <v>-1152</v>
      </c>
      <c r="DY214" s="315">
        <v>-8117</v>
      </c>
      <c r="DZ214" s="315">
        <v>-11313</v>
      </c>
      <c r="EA214" s="315">
        <v>-9410</v>
      </c>
      <c r="EB214" s="315">
        <v>-989</v>
      </c>
      <c r="EC214" s="315"/>
      <c r="ED214" s="315"/>
      <c r="EE214" s="315">
        <v>-19</v>
      </c>
      <c r="EF214" s="315">
        <v>1395678</v>
      </c>
      <c r="EG214" s="315">
        <v>346747</v>
      </c>
      <c r="EH214" s="315">
        <v>1048931</v>
      </c>
      <c r="EI214" s="315">
        <v>1030993</v>
      </c>
      <c r="EJ214" s="315">
        <v>17938</v>
      </c>
      <c r="EK214" s="315">
        <v>94844</v>
      </c>
      <c r="EL214" s="315">
        <v>55299</v>
      </c>
      <c r="EM214" s="315">
        <v>39545</v>
      </c>
      <c r="EN214" s="315">
        <v>38769</v>
      </c>
      <c r="EO214" s="315">
        <v>776</v>
      </c>
      <c r="EP214" s="315">
        <v>17850</v>
      </c>
      <c r="EQ214" s="315">
        <v>3781</v>
      </c>
      <c r="ER214" s="315">
        <v>14069</v>
      </c>
      <c r="ES214" s="315">
        <v>13796</v>
      </c>
      <c r="ET214" s="315">
        <v>273</v>
      </c>
      <c r="EU214" s="315">
        <v>1498</v>
      </c>
      <c r="EV214" s="315">
        <v>589</v>
      </c>
      <c r="EW214" s="315">
        <v>909</v>
      </c>
      <c r="EX214" s="315">
        <v>892</v>
      </c>
      <c r="EY214" s="315">
        <v>17</v>
      </c>
      <c r="EZ214" s="315">
        <v>692557</v>
      </c>
      <c r="FA214" s="315">
        <v>213266</v>
      </c>
      <c r="FB214" s="315">
        <v>479291</v>
      </c>
      <c r="FC214" s="315">
        <v>470002</v>
      </c>
      <c r="FD214" s="315">
        <v>9289</v>
      </c>
      <c r="FE214" s="315">
        <v>458884</v>
      </c>
      <c r="FF214" s="315">
        <v>60558</v>
      </c>
      <c r="FG214" s="315">
        <v>398326</v>
      </c>
      <c r="FH214" s="315">
        <v>390743</v>
      </c>
      <c r="FI214" s="315">
        <v>7583</v>
      </c>
      <c r="FJ214" s="315">
        <v>130021</v>
      </c>
      <c r="FK214" s="315">
        <v>13230</v>
      </c>
      <c r="FL214" s="315">
        <v>116791</v>
      </c>
      <c r="FM214" s="315">
        <v>116791</v>
      </c>
      <c r="FN214" s="315"/>
      <c r="FO214" s="315"/>
      <c r="FP214" s="315"/>
      <c r="FQ214" s="315">
        <v>24</v>
      </c>
      <c r="FR214" s="315">
        <v>446672</v>
      </c>
      <c r="FS214" s="315">
        <v>-43692</v>
      </c>
      <c r="FT214" s="315">
        <v>402980</v>
      </c>
      <c r="FU214" s="315"/>
      <c r="FV214" s="315"/>
      <c r="FW214" s="315"/>
      <c r="FX214" s="315">
        <v>130728</v>
      </c>
      <c r="FY214" s="315">
        <v>112087</v>
      </c>
      <c r="FZ214" s="315"/>
      <c r="GA214" s="315"/>
      <c r="GB214" s="315">
        <v>0</v>
      </c>
      <c r="GC214" s="315">
        <v>47142</v>
      </c>
      <c r="GD214" s="315">
        <v>-19748</v>
      </c>
      <c r="GE214" s="315"/>
      <c r="GF214" s="315">
        <v>66890</v>
      </c>
      <c r="GG214" s="315">
        <v>113023</v>
      </c>
      <c r="GH214" s="315">
        <v>8252</v>
      </c>
      <c r="GI214" s="315">
        <v>6463</v>
      </c>
      <c r="GJ214" s="315">
        <v>98308</v>
      </c>
      <c r="GL214"/>
      <c r="GM214"/>
      <c r="GN214"/>
      <c r="GO214"/>
    </row>
    <row r="215" spans="1:197">
      <c r="A215" s="98" t="s">
        <v>30</v>
      </c>
      <c r="B215" s="98">
        <v>4</v>
      </c>
      <c r="C215" s="98" t="s">
        <v>220</v>
      </c>
      <c r="D215" s="315">
        <v>25345263</v>
      </c>
      <c r="E215" s="315">
        <v>-3426998</v>
      </c>
      <c r="F215" s="315">
        <v>-13266</v>
      </c>
      <c r="G215" s="315">
        <v>21904999</v>
      </c>
      <c r="H215" s="315">
        <v>16051590</v>
      </c>
      <c r="I215" s="315">
        <v>5853409</v>
      </c>
      <c r="J215" s="315">
        <v>5736768</v>
      </c>
      <c r="K215" s="315">
        <v>116641</v>
      </c>
      <c r="L215" s="315">
        <v>9212220</v>
      </c>
      <c r="M215" s="315">
        <v>7781539</v>
      </c>
      <c r="N215" s="315">
        <v>81595</v>
      </c>
      <c r="O215" s="315">
        <v>0</v>
      </c>
      <c r="P215" s="315">
        <v>81595</v>
      </c>
      <c r="Q215" s="315">
        <v>53516</v>
      </c>
      <c r="R215" s="315">
        <v>1295570</v>
      </c>
      <c r="S215" s="315">
        <v>-853277</v>
      </c>
      <c r="T215" s="315">
        <v>-842697</v>
      </c>
      <c r="U215" s="315">
        <v>-58256</v>
      </c>
      <c r="V215" s="315">
        <v>-126</v>
      </c>
      <c r="W215" s="315">
        <v>-740542</v>
      </c>
      <c r="X215" s="315">
        <v>0</v>
      </c>
      <c r="Y215" s="315">
        <v>-43773</v>
      </c>
      <c r="Z215" s="315">
        <v>-5507</v>
      </c>
      <c r="AA215" s="315">
        <v>-5073</v>
      </c>
      <c r="AB215" s="315">
        <v>0</v>
      </c>
      <c r="AC215" s="315">
        <v>-13266</v>
      </c>
      <c r="AD215" s="315">
        <v>8345677</v>
      </c>
      <c r="AE215" s="315">
        <v>5440907</v>
      </c>
      <c r="AF215" s="315">
        <v>2904770</v>
      </c>
      <c r="AG215" s="315">
        <v>2842082</v>
      </c>
      <c r="AH215" s="315">
        <v>62688</v>
      </c>
      <c r="AI215" s="315">
        <v>7777217</v>
      </c>
      <c r="AJ215" s="315">
        <v>1436622</v>
      </c>
      <c r="AK215" s="315">
        <v>2876434</v>
      </c>
      <c r="AL215" s="315">
        <v>3303987</v>
      </c>
      <c r="AM215" s="315">
        <v>395660</v>
      </c>
      <c r="AN215" s="315">
        <v>386634</v>
      </c>
      <c r="AO215" s="315">
        <v>36183</v>
      </c>
      <c r="AP215" s="315"/>
      <c r="AQ215" s="315">
        <v>476342</v>
      </c>
      <c r="AR215" s="315">
        <v>-761102</v>
      </c>
      <c r="AS215" s="315">
        <v>48009</v>
      </c>
      <c r="AT215" s="315">
        <v>0</v>
      </c>
      <c r="AU215" s="315">
        <v>-13266</v>
      </c>
      <c r="AV215" s="315">
        <v>4172749</v>
      </c>
      <c r="AW215" s="315">
        <v>2934700</v>
      </c>
      <c r="AX215" s="315">
        <v>80945</v>
      </c>
      <c r="AY215" s="315">
        <v>28165</v>
      </c>
      <c r="AZ215" s="315">
        <v>5070</v>
      </c>
      <c r="BA215" s="315">
        <v>10782</v>
      </c>
      <c r="BB215" s="315">
        <v>36928</v>
      </c>
      <c r="BC215" s="315">
        <v>334659</v>
      </c>
      <c r="BD215" s="315">
        <v>822445</v>
      </c>
      <c r="BE215" s="315">
        <v>-131159</v>
      </c>
      <c r="BF215" s="315">
        <v>-129550</v>
      </c>
      <c r="BG215" s="315">
        <v>-105452</v>
      </c>
      <c r="BH215" s="315">
        <v>-24098</v>
      </c>
      <c r="BI215" s="315">
        <v>0</v>
      </c>
      <c r="BJ215" s="315">
        <v>-72935</v>
      </c>
      <c r="BK215" s="315">
        <v>-56615</v>
      </c>
      <c r="BL215" s="315">
        <v>-817</v>
      </c>
      <c r="BM215" s="315">
        <v>-792</v>
      </c>
      <c r="BN215" s="315">
        <v>4041590</v>
      </c>
      <c r="BO215" s="315">
        <v>647575</v>
      </c>
      <c r="BP215" s="315">
        <v>158237</v>
      </c>
      <c r="BQ215" s="315">
        <v>15403</v>
      </c>
      <c r="BR215" s="315"/>
      <c r="BS215" s="315">
        <v>2934195</v>
      </c>
      <c r="BT215" s="315">
        <v>1364844</v>
      </c>
      <c r="BU215" s="315">
        <v>1028375</v>
      </c>
      <c r="BV215" s="315">
        <v>529262</v>
      </c>
      <c r="BW215" s="315">
        <v>11714</v>
      </c>
      <c r="BX215" s="315">
        <v>-24507</v>
      </c>
      <c r="BY215" s="315">
        <v>310561</v>
      </c>
      <c r="BZ215" s="315">
        <v>126</v>
      </c>
      <c r="CA215" s="315">
        <v>534739</v>
      </c>
      <c r="CB215" s="315">
        <v>-4842</v>
      </c>
      <c r="CC215" s="315">
        <v>-4187</v>
      </c>
      <c r="CD215" s="315">
        <v>-655</v>
      </c>
      <c r="CE215" s="315">
        <v>529897</v>
      </c>
      <c r="CF215" s="315">
        <v>113665</v>
      </c>
      <c r="CG215" s="315">
        <v>11431</v>
      </c>
      <c r="CH215" s="315">
        <v>404801</v>
      </c>
      <c r="CI215" s="315">
        <v>8973511</v>
      </c>
      <c r="CJ215" s="315">
        <v>707721</v>
      </c>
      <c r="CK215" s="315">
        <v>8265790</v>
      </c>
      <c r="CL215" s="315">
        <v>3466261</v>
      </c>
      <c r="CM215" s="315">
        <v>4117628</v>
      </c>
      <c r="CN215" s="315">
        <v>681901</v>
      </c>
      <c r="CO215" s="315">
        <v>0</v>
      </c>
      <c r="CP215" s="315">
        <v>61257</v>
      </c>
      <c r="CQ215" s="315">
        <v>620644</v>
      </c>
      <c r="CR215" s="315">
        <v>-2340878</v>
      </c>
      <c r="CS215" s="315">
        <v>-506459</v>
      </c>
      <c r="CT215" s="315">
        <v>-385644</v>
      </c>
      <c r="CU215" s="315">
        <v>-27238</v>
      </c>
      <c r="CV215" s="315">
        <v>-460</v>
      </c>
      <c r="CW215" s="315">
        <v>-93117</v>
      </c>
      <c r="CX215" s="315">
        <v>-1512823</v>
      </c>
      <c r="CY215" s="315">
        <v>-861261</v>
      </c>
      <c r="CZ215" s="315">
        <v>-619781</v>
      </c>
      <c r="DA215" s="315">
        <v>-31781</v>
      </c>
      <c r="DB215" s="315">
        <v>-321596</v>
      </c>
      <c r="DC215" s="315">
        <v>0</v>
      </c>
      <c r="DD215" s="315">
        <v>6632633</v>
      </c>
      <c r="DE215" s="315">
        <v>4732926</v>
      </c>
      <c r="DF215" s="315">
        <v>1899707</v>
      </c>
      <c r="DG215" s="315">
        <v>1863692</v>
      </c>
      <c r="DH215" s="315">
        <v>36015</v>
      </c>
      <c r="DI215" s="315">
        <v>1726542</v>
      </c>
      <c r="DJ215" s="315">
        <v>26628</v>
      </c>
      <c r="DK215" s="315">
        <v>17871</v>
      </c>
      <c r="DL215" s="315">
        <v>662</v>
      </c>
      <c r="DM215" s="315">
        <v>840850</v>
      </c>
      <c r="DN215" s="315">
        <v>708691</v>
      </c>
      <c r="DO215" s="315">
        <v>131786</v>
      </c>
      <c r="DP215" s="315"/>
      <c r="DQ215" s="315"/>
      <c r="DR215" s="315">
        <v>54</v>
      </c>
      <c r="DS215" s="315">
        <v>-57741</v>
      </c>
      <c r="DT215" s="315">
        <v>-14962</v>
      </c>
      <c r="DU215" s="315">
        <v>-4984</v>
      </c>
      <c r="DV215" s="315">
        <v>-41</v>
      </c>
      <c r="DW215" s="315">
        <v>-2327</v>
      </c>
      <c r="DX215" s="315">
        <v>-580</v>
      </c>
      <c r="DY215" s="315">
        <v>-1632</v>
      </c>
      <c r="DZ215" s="315">
        <v>-115</v>
      </c>
      <c r="EA215" s="315">
        <v>-35296</v>
      </c>
      <c r="EB215" s="315">
        <v>-98</v>
      </c>
      <c r="EC215" s="315"/>
      <c r="ED215" s="315"/>
      <c r="EE215" s="315">
        <v>-33</v>
      </c>
      <c r="EF215" s="315">
        <v>1668801</v>
      </c>
      <c r="EG215" s="315">
        <v>619869</v>
      </c>
      <c r="EH215" s="315">
        <v>1048932</v>
      </c>
      <c r="EI215" s="315">
        <v>1030994</v>
      </c>
      <c r="EJ215" s="315">
        <v>17938</v>
      </c>
      <c r="EK215" s="315">
        <v>11666</v>
      </c>
      <c r="EL215" s="315">
        <v>-27880</v>
      </c>
      <c r="EM215" s="315">
        <v>39546</v>
      </c>
      <c r="EN215" s="315">
        <v>38769</v>
      </c>
      <c r="EO215" s="315">
        <v>777</v>
      </c>
      <c r="EP215" s="315">
        <v>12887</v>
      </c>
      <c r="EQ215" s="315">
        <v>-1182</v>
      </c>
      <c r="ER215" s="315">
        <v>14069</v>
      </c>
      <c r="ES215" s="315">
        <v>13797</v>
      </c>
      <c r="ET215" s="315">
        <v>272</v>
      </c>
      <c r="EU215" s="315">
        <v>621</v>
      </c>
      <c r="EV215" s="315">
        <v>-290</v>
      </c>
      <c r="EW215" s="315">
        <v>911</v>
      </c>
      <c r="EX215" s="315">
        <v>892</v>
      </c>
      <c r="EY215" s="315">
        <v>19</v>
      </c>
      <c r="EZ215" s="315">
        <v>838523</v>
      </c>
      <c r="FA215" s="315">
        <v>359233</v>
      </c>
      <c r="FB215" s="315">
        <v>479290</v>
      </c>
      <c r="FC215" s="315">
        <v>470002</v>
      </c>
      <c r="FD215" s="315">
        <v>9288</v>
      </c>
      <c r="FE215" s="315">
        <v>673395</v>
      </c>
      <c r="FF215" s="315">
        <v>275069</v>
      </c>
      <c r="FG215" s="315">
        <v>398326</v>
      </c>
      <c r="FH215" s="315">
        <v>390744</v>
      </c>
      <c r="FI215" s="315">
        <v>7582</v>
      </c>
      <c r="FJ215" s="315">
        <v>131688</v>
      </c>
      <c r="FK215" s="315">
        <v>14898</v>
      </c>
      <c r="FL215" s="315">
        <v>116790</v>
      </c>
      <c r="FM215" s="315">
        <v>116790</v>
      </c>
      <c r="FN215" s="315"/>
      <c r="FO215" s="315"/>
      <c r="FP215" s="315"/>
      <c r="FQ215" s="315">
        <v>21</v>
      </c>
      <c r="FR215" s="315">
        <v>725502</v>
      </c>
      <c r="FS215" s="315">
        <v>-39101</v>
      </c>
      <c r="FT215" s="315">
        <v>686401</v>
      </c>
      <c r="FU215" s="315"/>
      <c r="FV215" s="315"/>
      <c r="FW215" s="315"/>
      <c r="FX215" s="315">
        <v>115178</v>
      </c>
      <c r="FY215" s="315">
        <v>119158</v>
      </c>
      <c r="FZ215" s="315"/>
      <c r="GA215" s="315"/>
      <c r="GB215" s="315">
        <v>24527</v>
      </c>
      <c r="GC215" s="315">
        <v>307548</v>
      </c>
      <c r="GD215" s="315">
        <v>256599</v>
      </c>
      <c r="GE215" s="315"/>
      <c r="GF215" s="315">
        <v>50949</v>
      </c>
      <c r="GG215" s="315">
        <v>119990</v>
      </c>
      <c r="GH215" s="315">
        <v>9733</v>
      </c>
      <c r="GI215" s="315">
        <v>435</v>
      </c>
      <c r="GJ215" s="315">
        <v>109822</v>
      </c>
      <c r="GL215"/>
      <c r="GM215"/>
      <c r="GN215"/>
      <c r="GO215"/>
    </row>
    <row r="216" spans="1:197">
      <c r="A216" s="98" t="s">
        <v>30</v>
      </c>
      <c r="B216" s="98">
        <v>5</v>
      </c>
      <c r="C216" s="98" t="s">
        <v>221</v>
      </c>
      <c r="D216" s="315">
        <v>11297696</v>
      </c>
      <c r="E216" s="315">
        <v>-6042774</v>
      </c>
      <c r="F216" s="315">
        <v>-13266</v>
      </c>
      <c r="G216" s="315">
        <v>5241656</v>
      </c>
      <c r="H216" s="315">
        <v>-672504</v>
      </c>
      <c r="I216" s="315">
        <v>5914160</v>
      </c>
      <c r="J216" s="315">
        <v>5736771</v>
      </c>
      <c r="K216" s="315">
        <v>177389</v>
      </c>
      <c r="L216" s="315">
        <v>4732508</v>
      </c>
      <c r="M216" s="315">
        <v>4101461</v>
      </c>
      <c r="N216" s="315">
        <v>162657</v>
      </c>
      <c r="O216" s="315">
        <v>88230</v>
      </c>
      <c r="P216" s="315">
        <v>74427</v>
      </c>
      <c r="Q216" s="315">
        <v>41626</v>
      </c>
      <c r="R216" s="315">
        <v>426764</v>
      </c>
      <c r="S216" s="315">
        <v>-2587337</v>
      </c>
      <c r="T216" s="315">
        <v>-2572374</v>
      </c>
      <c r="U216" s="315">
        <v>-57858</v>
      </c>
      <c r="V216" s="315">
        <v>-42</v>
      </c>
      <c r="W216" s="315">
        <v>-2475609</v>
      </c>
      <c r="X216" s="315">
        <v>0</v>
      </c>
      <c r="Y216" s="315">
        <v>-38865</v>
      </c>
      <c r="Z216" s="315">
        <v>-8812</v>
      </c>
      <c r="AA216" s="315">
        <v>-6151</v>
      </c>
      <c r="AB216" s="315">
        <v>0</v>
      </c>
      <c r="AC216" s="315">
        <v>-13266</v>
      </c>
      <c r="AD216" s="315">
        <v>2131905</v>
      </c>
      <c r="AE216" s="315">
        <v>-776285</v>
      </c>
      <c r="AF216" s="315">
        <v>2908190</v>
      </c>
      <c r="AG216" s="315">
        <v>2842082</v>
      </c>
      <c r="AH216" s="315">
        <v>66108</v>
      </c>
      <c r="AI216" s="315">
        <v>4097199</v>
      </c>
      <c r="AJ216" s="315">
        <v>1491314</v>
      </c>
      <c r="AK216" s="315">
        <v>2431833</v>
      </c>
      <c r="AL216" s="315">
        <v>11295</v>
      </c>
      <c r="AM216" s="315">
        <v>327687</v>
      </c>
      <c r="AN216" s="315">
        <v>60969</v>
      </c>
      <c r="AO216" s="315">
        <v>21405</v>
      </c>
      <c r="AP216" s="315"/>
      <c r="AQ216" s="315">
        <v>14814</v>
      </c>
      <c r="AR216" s="315">
        <v>-2409717</v>
      </c>
      <c r="AS216" s="315">
        <v>32814</v>
      </c>
      <c r="AT216" s="315">
        <v>0</v>
      </c>
      <c r="AU216" s="315">
        <v>-13266</v>
      </c>
      <c r="AV216" s="315">
        <v>407576</v>
      </c>
      <c r="AW216" s="315">
        <v>22082</v>
      </c>
      <c r="AX216" s="315">
        <v>96342</v>
      </c>
      <c r="AY216" s="315">
        <v>16414</v>
      </c>
      <c r="AZ216" s="315">
        <v>30298</v>
      </c>
      <c r="BA216" s="315">
        <v>9718</v>
      </c>
      <c r="BB216" s="315">
        <v>39912</v>
      </c>
      <c r="BC216" s="315">
        <v>126148</v>
      </c>
      <c r="BD216" s="315">
        <v>163004</v>
      </c>
      <c r="BE216" s="315">
        <v>-562257</v>
      </c>
      <c r="BF216" s="315">
        <v>-86022</v>
      </c>
      <c r="BG216" s="315">
        <v>-70823</v>
      </c>
      <c r="BH216" s="315">
        <v>-15199</v>
      </c>
      <c r="BI216" s="315">
        <v>0</v>
      </c>
      <c r="BJ216" s="315">
        <v>-55315</v>
      </c>
      <c r="BK216" s="315">
        <v>-30707</v>
      </c>
      <c r="BL216" s="315">
        <v>-1486</v>
      </c>
      <c r="BM216" s="315">
        <v>-474749</v>
      </c>
      <c r="BN216" s="315">
        <v>-154681</v>
      </c>
      <c r="BO216" s="315">
        <v>-341281</v>
      </c>
      <c r="BP216" s="315">
        <v>19756</v>
      </c>
      <c r="BQ216" s="315">
        <v>9081</v>
      </c>
      <c r="BR216" s="315"/>
      <c r="BS216" s="315">
        <v>21293</v>
      </c>
      <c r="BT216" s="315">
        <v>4554</v>
      </c>
      <c r="BU216" s="315">
        <v>388</v>
      </c>
      <c r="BV216" s="315">
        <v>1751</v>
      </c>
      <c r="BW216" s="315">
        <v>14600</v>
      </c>
      <c r="BX216" s="315">
        <v>25519</v>
      </c>
      <c r="BY216" s="315">
        <v>110949</v>
      </c>
      <c r="BZ216" s="315">
        <v>2</v>
      </c>
      <c r="CA216" s="315">
        <v>79655</v>
      </c>
      <c r="CB216" s="315">
        <v>-399108</v>
      </c>
      <c r="CC216" s="315">
        <v>-10677</v>
      </c>
      <c r="CD216" s="315">
        <v>-388431</v>
      </c>
      <c r="CE216" s="315">
        <v>-319453</v>
      </c>
      <c r="CF216" s="315">
        <v>71631</v>
      </c>
      <c r="CG216" s="315">
        <v>38</v>
      </c>
      <c r="CH216" s="315">
        <v>-391122</v>
      </c>
      <c r="CI216" s="315">
        <v>4243018</v>
      </c>
      <c r="CJ216" s="315">
        <v>676532</v>
      </c>
      <c r="CK216" s="315">
        <v>3566486</v>
      </c>
      <c r="CL216" s="315">
        <v>3041288</v>
      </c>
      <c r="CM216" s="315">
        <v>71013</v>
      </c>
      <c r="CN216" s="315">
        <v>454185</v>
      </c>
      <c r="CO216" s="315">
        <v>0</v>
      </c>
      <c r="CP216" s="315">
        <v>0</v>
      </c>
      <c r="CQ216" s="315">
        <v>454185</v>
      </c>
      <c r="CR216" s="315">
        <v>-2416106</v>
      </c>
      <c r="CS216" s="315">
        <v>-929837</v>
      </c>
      <c r="CT216" s="315">
        <v>-742625</v>
      </c>
      <c r="CU216" s="315">
        <v>-49837</v>
      </c>
      <c r="CV216" s="315">
        <v>-450</v>
      </c>
      <c r="CW216" s="315">
        <v>-136925</v>
      </c>
      <c r="CX216" s="315">
        <v>-1486269</v>
      </c>
      <c r="CY216" s="315">
        <v>-1079014</v>
      </c>
      <c r="CZ216" s="315">
        <v>-403582</v>
      </c>
      <c r="DA216" s="315">
        <v>-3673</v>
      </c>
      <c r="DB216" s="315">
        <v>0</v>
      </c>
      <c r="DC216" s="315">
        <v>0</v>
      </c>
      <c r="DD216" s="315">
        <v>1826912</v>
      </c>
      <c r="DE216" s="315">
        <v>-129844</v>
      </c>
      <c r="DF216" s="315">
        <v>1956756</v>
      </c>
      <c r="DG216" s="315">
        <v>1863693</v>
      </c>
      <c r="DH216" s="315">
        <v>93063</v>
      </c>
      <c r="DI216" s="315">
        <v>1404516</v>
      </c>
      <c r="DJ216" s="315">
        <v>55251</v>
      </c>
      <c r="DK216" s="315">
        <v>19582</v>
      </c>
      <c r="DL216" s="315">
        <v>1680</v>
      </c>
      <c r="DM216" s="315">
        <v>672383</v>
      </c>
      <c r="DN216" s="315">
        <v>544565</v>
      </c>
      <c r="DO216" s="315">
        <v>111023</v>
      </c>
      <c r="DP216" s="315"/>
      <c r="DQ216" s="315"/>
      <c r="DR216" s="315">
        <v>32</v>
      </c>
      <c r="DS216" s="315">
        <v>-31430</v>
      </c>
      <c r="DT216" s="315">
        <v>-9208</v>
      </c>
      <c r="DU216" s="315">
        <v>-182</v>
      </c>
      <c r="DV216" s="315">
        <v>-34</v>
      </c>
      <c r="DW216" s="315">
        <v>-22004</v>
      </c>
      <c r="DX216" s="315">
        <v>-18376</v>
      </c>
      <c r="DY216" s="315">
        <v>-2759</v>
      </c>
      <c r="DZ216" s="315">
        <v>-869</v>
      </c>
      <c r="EA216" s="315">
        <v>0</v>
      </c>
      <c r="EB216" s="315">
        <v>-1</v>
      </c>
      <c r="EC216" s="315"/>
      <c r="ED216" s="315"/>
      <c r="EE216" s="315">
        <v>-1</v>
      </c>
      <c r="EF216" s="315">
        <v>1373086</v>
      </c>
      <c r="EG216" s="315">
        <v>323872</v>
      </c>
      <c r="EH216" s="315">
        <v>1049214</v>
      </c>
      <c r="EI216" s="315">
        <v>1030996</v>
      </c>
      <c r="EJ216" s="315">
        <v>18218</v>
      </c>
      <c r="EK216" s="315">
        <v>46043</v>
      </c>
      <c r="EL216" s="315">
        <v>6355</v>
      </c>
      <c r="EM216" s="315">
        <v>39688</v>
      </c>
      <c r="EN216" s="315">
        <v>38769</v>
      </c>
      <c r="EO216" s="315">
        <v>919</v>
      </c>
      <c r="EP216" s="315">
        <v>19400</v>
      </c>
      <c r="EQ216" s="315">
        <v>5221</v>
      </c>
      <c r="ER216" s="315">
        <v>14179</v>
      </c>
      <c r="ES216" s="315">
        <v>13797</v>
      </c>
      <c r="ET216" s="315">
        <v>382</v>
      </c>
      <c r="EU216" s="315">
        <v>1646</v>
      </c>
      <c r="EV216" s="315">
        <v>734</v>
      </c>
      <c r="EW216" s="315">
        <v>912</v>
      </c>
      <c r="EX216" s="315">
        <v>892</v>
      </c>
      <c r="EY216" s="315">
        <v>20</v>
      </c>
      <c r="EZ216" s="315">
        <v>650379</v>
      </c>
      <c r="FA216" s="315">
        <v>171061</v>
      </c>
      <c r="FB216" s="315">
        <v>479318</v>
      </c>
      <c r="FC216" s="315">
        <v>470003</v>
      </c>
      <c r="FD216" s="315">
        <v>9315</v>
      </c>
      <c r="FE216" s="315">
        <v>544565</v>
      </c>
      <c r="FF216" s="315">
        <v>146238</v>
      </c>
      <c r="FG216" s="315">
        <v>398327</v>
      </c>
      <c r="FH216" s="315">
        <v>390745</v>
      </c>
      <c r="FI216" s="315">
        <v>7582</v>
      </c>
      <c r="FJ216" s="315">
        <v>111022</v>
      </c>
      <c r="FK216" s="315">
        <v>-5768</v>
      </c>
      <c r="FL216" s="315">
        <v>116790</v>
      </c>
      <c r="FM216" s="315">
        <v>116790</v>
      </c>
      <c r="FN216" s="315"/>
      <c r="FO216" s="315"/>
      <c r="FP216" s="315"/>
      <c r="FQ216" s="315">
        <v>31</v>
      </c>
      <c r="FR216" s="315">
        <v>430423</v>
      </c>
      <c r="FS216" s="315">
        <v>-46536</v>
      </c>
      <c r="FT216" s="315">
        <v>383887</v>
      </c>
      <c r="FU216" s="315"/>
      <c r="FV216" s="315"/>
      <c r="FW216" s="315"/>
      <c r="FX216" s="315">
        <v>94452</v>
      </c>
      <c r="FY216" s="315">
        <v>116733</v>
      </c>
      <c r="FZ216" s="315"/>
      <c r="GA216" s="315"/>
      <c r="GB216" s="315">
        <v>29410</v>
      </c>
      <c r="GC216" s="315">
        <v>63675</v>
      </c>
      <c r="GD216" s="315">
        <v>-3090</v>
      </c>
      <c r="GE216" s="315"/>
      <c r="GF216" s="315">
        <v>66765</v>
      </c>
      <c r="GG216" s="315">
        <v>79617</v>
      </c>
      <c r="GH216" s="315">
        <v>7990</v>
      </c>
      <c r="GI216" s="315">
        <v>2064</v>
      </c>
      <c r="GJ216" s="315">
        <v>69563</v>
      </c>
      <c r="GL216"/>
      <c r="GM216"/>
      <c r="GN216"/>
      <c r="GO216"/>
    </row>
    <row r="217" spans="1:197">
      <c r="A217" s="98" t="s">
        <v>30</v>
      </c>
      <c r="B217" s="98">
        <v>6</v>
      </c>
      <c r="C217" s="98" t="s">
        <v>222</v>
      </c>
      <c r="D217" s="315">
        <v>13232520</v>
      </c>
      <c r="E217" s="315">
        <v>-6345429</v>
      </c>
      <c r="F217" s="315">
        <v>-13266</v>
      </c>
      <c r="G217" s="315">
        <v>6873825</v>
      </c>
      <c r="H217" s="315">
        <v>959277</v>
      </c>
      <c r="I217" s="315">
        <v>5914548</v>
      </c>
      <c r="J217" s="315">
        <v>5736769</v>
      </c>
      <c r="K217" s="315">
        <v>177779</v>
      </c>
      <c r="L217" s="315">
        <v>5838574</v>
      </c>
      <c r="M217" s="315">
        <v>4179908</v>
      </c>
      <c r="N217" s="315">
        <v>693522</v>
      </c>
      <c r="O217" s="315">
        <v>612892</v>
      </c>
      <c r="P217" s="315">
        <v>80630</v>
      </c>
      <c r="Q217" s="315">
        <v>57634</v>
      </c>
      <c r="R217" s="315">
        <v>907510</v>
      </c>
      <c r="S217" s="315">
        <v>-3022121</v>
      </c>
      <c r="T217" s="315">
        <v>-3008791</v>
      </c>
      <c r="U217" s="315">
        <v>-58292</v>
      </c>
      <c r="V217" s="315">
        <v>-28</v>
      </c>
      <c r="W217" s="315">
        <v>-2919487</v>
      </c>
      <c r="X217" s="315">
        <v>0</v>
      </c>
      <c r="Y217" s="315">
        <v>-30984</v>
      </c>
      <c r="Z217" s="315">
        <v>-5374</v>
      </c>
      <c r="AA217" s="315">
        <v>-7956</v>
      </c>
      <c r="AB217" s="315">
        <v>0</v>
      </c>
      <c r="AC217" s="315">
        <v>-13266</v>
      </c>
      <c r="AD217" s="315">
        <v>2803187</v>
      </c>
      <c r="AE217" s="315">
        <v>-103933</v>
      </c>
      <c r="AF217" s="315">
        <v>2907120</v>
      </c>
      <c r="AG217" s="315">
        <v>2842082</v>
      </c>
      <c r="AH217" s="315">
        <v>65038</v>
      </c>
      <c r="AI217" s="315">
        <v>4175156</v>
      </c>
      <c r="AJ217" s="315">
        <v>1603215</v>
      </c>
      <c r="AK217" s="315">
        <v>2358451</v>
      </c>
      <c r="AL217" s="315">
        <v>12443</v>
      </c>
      <c r="AM217" s="315">
        <v>801720</v>
      </c>
      <c r="AN217" s="315">
        <v>62667</v>
      </c>
      <c r="AO217" s="315">
        <v>25814</v>
      </c>
      <c r="AP217" s="315"/>
      <c r="AQ217" s="315">
        <v>14105</v>
      </c>
      <c r="AR217" s="315">
        <v>-2315269</v>
      </c>
      <c r="AS217" s="315">
        <v>52260</v>
      </c>
      <c r="AT217" s="315">
        <v>0</v>
      </c>
      <c r="AU217" s="315">
        <v>-13266</v>
      </c>
      <c r="AV217" s="315">
        <v>706891</v>
      </c>
      <c r="AW217" s="315">
        <v>109533</v>
      </c>
      <c r="AX217" s="315">
        <v>48439</v>
      </c>
      <c r="AY217" s="315">
        <v>4800</v>
      </c>
      <c r="AZ217" s="315">
        <v>2568</v>
      </c>
      <c r="BA217" s="315">
        <v>6776</v>
      </c>
      <c r="BB217" s="315">
        <v>34295</v>
      </c>
      <c r="BC217" s="315">
        <v>191996</v>
      </c>
      <c r="BD217" s="315">
        <v>356923</v>
      </c>
      <c r="BE217" s="315">
        <v>-95795</v>
      </c>
      <c r="BF217" s="315">
        <v>-90185</v>
      </c>
      <c r="BG217" s="315">
        <v>-46501</v>
      </c>
      <c r="BH217" s="315">
        <v>-43684</v>
      </c>
      <c r="BI217" s="315">
        <v>0</v>
      </c>
      <c r="BJ217" s="315">
        <v>-28842.000000000004</v>
      </c>
      <c r="BK217" s="315">
        <v>-61343</v>
      </c>
      <c r="BL217" s="315">
        <v>-1704</v>
      </c>
      <c r="BM217" s="315">
        <v>-3906</v>
      </c>
      <c r="BN217" s="315">
        <v>611096</v>
      </c>
      <c r="BO217" s="315">
        <v>322949</v>
      </c>
      <c r="BP217" s="315">
        <v>17500</v>
      </c>
      <c r="BQ217" s="315">
        <v>10988</v>
      </c>
      <c r="BR217" s="315"/>
      <c r="BS217" s="315">
        <v>109123</v>
      </c>
      <c r="BT217" s="315">
        <v>9645</v>
      </c>
      <c r="BU217" s="315">
        <v>76837</v>
      </c>
      <c r="BV217" s="315">
        <v>1057</v>
      </c>
      <c r="BW217" s="315">
        <v>21584</v>
      </c>
      <c r="BX217" s="315">
        <v>1938</v>
      </c>
      <c r="BY217" s="315">
        <v>148312</v>
      </c>
      <c r="BZ217" s="315">
        <v>286</v>
      </c>
      <c r="CA217" s="315">
        <v>307099</v>
      </c>
      <c r="CB217" s="315">
        <v>-38497</v>
      </c>
      <c r="CC217" s="315">
        <v>-35301</v>
      </c>
      <c r="CD217" s="315">
        <v>-3196</v>
      </c>
      <c r="CE217" s="315">
        <v>268602</v>
      </c>
      <c r="CF217" s="315">
        <v>267910</v>
      </c>
      <c r="CG217" s="315">
        <v>47</v>
      </c>
      <c r="CH217" s="315">
        <v>645</v>
      </c>
      <c r="CI217" s="315">
        <v>4415559</v>
      </c>
      <c r="CJ217" s="315">
        <v>689906</v>
      </c>
      <c r="CK217" s="315">
        <v>3725653</v>
      </c>
      <c r="CL217" s="315">
        <v>3170700</v>
      </c>
      <c r="CM217" s="315">
        <v>78646</v>
      </c>
      <c r="CN217" s="315">
        <v>476307</v>
      </c>
      <c r="CO217" s="315">
        <v>0</v>
      </c>
      <c r="CP217" s="315">
        <v>0</v>
      </c>
      <c r="CQ217" s="315">
        <v>476307</v>
      </c>
      <c r="CR217" s="315">
        <v>-3097364</v>
      </c>
      <c r="CS217" s="315">
        <v>-1071219</v>
      </c>
      <c r="CT217" s="315">
        <v>-940444</v>
      </c>
      <c r="CU217" s="315">
        <v>-23235</v>
      </c>
      <c r="CV217" s="315">
        <v>-353</v>
      </c>
      <c r="CW217" s="315">
        <v>-107187</v>
      </c>
      <c r="CX217" s="315">
        <v>-1748492</v>
      </c>
      <c r="CY217" s="315">
        <v>-1420903</v>
      </c>
      <c r="CZ217" s="315">
        <v>-322165</v>
      </c>
      <c r="DA217" s="315">
        <v>-5424</v>
      </c>
      <c r="DB217" s="315">
        <v>0</v>
      </c>
      <c r="DC217" s="315">
        <v>-277653</v>
      </c>
      <c r="DD217" s="315">
        <v>1318195</v>
      </c>
      <c r="DE217" s="315">
        <v>-639832</v>
      </c>
      <c r="DF217" s="315">
        <v>1958027</v>
      </c>
      <c r="DG217" s="315">
        <v>1863693</v>
      </c>
      <c r="DH217" s="315">
        <v>94334</v>
      </c>
      <c r="DI217" s="315">
        <v>1467014</v>
      </c>
      <c r="DJ217" s="315">
        <v>61030</v>
      </c>
      <c r="DK217" s="315">
        <v>24921</v>
      </c>
      <c r="DL217" s="315">
        <v>1141</v>
      </c>
      <c r="DM217" s="315">
        <v>721727</v>
      </c>
      <c r="DN217" s="315">
        <v>542282</v>
      </c>
      <c r="DO217" s="315">
        <v>115877</v>
      </c>
      <c r="DP217" s="315"/>
      <c r="DQ217" s="315"/>
      <c r="DR217" s="315">
        <v>36</v>
      </c>
      <c r="DS217" s="315">
        <v>-43789</v>
      </c>
      <c r="DT217" s="315">
        <v>-432</v>
      </c>
      <c r="DU217" s="315">
        <v>-80</v>
      </c>
      <c r="DV217" s="315">
        <v>-21</v>
      </c>
      <c r="DW217" s="315">
        <v>-24426</v>
      </c>
      <c r="DX217" s="315">
        <v>-22879</v>
      </c>
      <c r="DY217" s="315">
        <v>-1119</v>
      </c>
      <c r="DZ217" s="315">
        <v>-428</v>
      </c>
      <c r="EA217" s="315">
        <v>-18789</v>
      </c>
      <c r="EB217" s="315">
        <v>-12</v>
      </c>
      <c r="EC217" s="315"/>
      <c r="ED217" s="315"/>
      <c r="EE217" s="315">
        <v>-29</v>
      </c>
      <c r="EF217" s="315">
        <v>1423225</v>
      </c>
      <c r="EG217" s="315">
        <v>373824</v>
      </c>
      <c r="EH217" s="315">
        <v>1049401</v>
      </c>
      <c r="EI217" s="315">
        <v>1030994</v>
      </c>
      <c r="EJ217" s="315">
        <v>18407</v>
      </c>
      <c r="EK217" s="315">
        <v>60598</v>
      </c>
      <c r="EL217" s="315">
        <v>20876</v>
      </c>
      <c r="EM217" s="315">
        <v>39722</v>
      </c>
      <c r="EN217" s="315">
        <v>38769</v>
      </c>
      <c r="EO217" s="315">
        <v>953</v>
      </c>
      <c r="EP217" s="315">
        <v>24841</v>
      </c>
      <c r="EQ217" s="315">
        <v>10648</v>
      </c>
      <c r="ER217" s="315">
        <v>14193</v>
      </c>
      <c r="ES217" s="315">
        <v>13797</v>
      </c>
      <c r="ET217" s="315">
        <v>396</v>
      </c>
      <c r="EU217" s="315">
        <v>1120</v>
      </c>
      <c r="EV217" s="315">
        <v>208</v>
      </c>
      <c r="EW217" s="315">
        <v>912</v>
      </c>
      <c r="EX217" s="315">
        <v>891</v>
      </c>
      <c r="EY217" s="315">
        <v>21</v>
      </c>
      <c r="EZ217" s="315">
        <v>697301</v>
      </c>
      <c r="FA217" s="315">
        <v>217844</v>
      </c>
      <c r="FB217" s="315">
        <v>479457</v>
      </c>
      <c r="FC217" s="315">
        <v>470003</v>
      </c>
      <c r="FD217" s="315">
        <v>9454</v>
      </c>
      <c r="FE217" s="315">
        <v>523493</v>
      </c>
      <c r="FF217" s="315">
        <v>125166</v>
      </c>
      <c r="FG217" s="315">
        <v>398327</v>
      </c>
      <c r="FH217" s="315">
        <v>390744</v>
      </c>
      <c r="FI217" s="315">
        <v>7583</v>
      </c>
      <c r="FJ217" s="315">
        <v>115865</v>
      </c>
      <c r="FK217" s="315">
        <v>-925</v>
      </c>
      <c r="FL217" s="315">
        <v>116790</v>
      </c>
      <c r="FM217" s="315">
        <v>116790</v>
      </c>
      <c r="FN217" s="315"/>
      <c r="FO217" s="315"/>
      <c r="FP217" s="315"/>
      <c r="FQ217" s="315">
        <v>7</v>
      </c>
      <c r="FR217" s="315">
        <v>497383</v>
      </c>
      <c r="FS217" s="315">
        <v>-47863</v>
      </c>
      <c r="FT217" s="315">
        <v>449520</v>
      </c>
      <c r="FU217" s="315"/>
      <c r="FV217" s="315"/>
      <c r="FW217" s="315"/>
      <c r="FX217" s="315">
        <v>98323</v>
      </c>
      <c r="FY217" s="315">
        <v>115370</v>
      </c>
      <c r="FZ217" s="315"/>
      <c r="GA217" s="315"/>
      <c r="GB217" s="315">
        <v>0</v>
      </c>
      <c r="GC217" s="315">
        <v>102977</v>
      </c>
      <c r="GD217" s="315">
        <v>-25929</v>
      </c>
      <c r="GE217" s="315"/>
      <c r="GF217" s="315">
        <v>128906</v>
      </c>
      <c r="GG217" s="315">
        <v>132850</v>
      </c>
      <c r="GH217" s="315">
        <v>29394</v>
      </c>
      <c r="GI217" s="315">
        <v>371</v>
      </c>
      <c r="GJ217" s="315">
        <v>103085</v>
      </c>
      <c r="GL217"/>
      <c r="GM217"/>
      <c r="GN217"/>
      <c r="GO217"/>
    </row>
    <row r="218" spans="1:197">
      <c r="A218" s="98" t="s">
        <v>30</v>
      </c>
      <c r="B218" s="98">
        <v>7</v>
      </c>
      <c r="C218" s="98" t="s">
        <v>223</v>
      </c>
      <c r="D218" s="315">
        <v>28073336</v>
      </c>
      <c r="E218" s="315">
        <v>-5422553</v>
      </c>
      <c r="F218" s="315">
        <v>-13267</v>
      </c>
      <c r="G218" s="315">
        <v>22637516</v>
      </c>
      <c r="H218" s="315">
        <v>-7730290</v>
      </c>
      <c r="I218" s="315">
        <v>30367806</v>
      </c>
      <c r="J218" s="315">
        <v>30311933</v>
      </c>
      <c r="K218" s="315">
        <v>55873</v>
      </c>
      <c r="L218" s="315">
        <v>13855333</v>
      </c>
      <c r="M218" s="315">
        <v>8974609</v>
      </c>
      <c r="N218" s="315">
        <v>3347386</v>
      </c>
      <c r="O218" s="315">
        <v>3264482</v>
      </c>
      <c r="P218" s="315">
        <v>82904</v>
      </c>
      <c r="Q218" s="315">
        <v>58904</v>
      </c>
      <c r="R218" s="315">
        <v>1474434</v>
      </c>
      <c r="S218" s="315">
        <v>-1751755</v>
      </c>
      <c r="T218" s="315">
        <v>-1741873</v>
      </c>
      <c r="U218" s="315">
        <v>-57260</v>
      </c>
      <c r="V218" s="315">
        <v>-8</v>
      </c>
      <c r="W218" s="315">
        <v>-1659707</v>
      </c>
      <c r="X218" s="315">
        <v>0</v>
      </c>
      <c r="Y218" s="315">
        <v>-24898</v>
      </c>
      <c r="Z218" s="315">
        <v>-6146</v>
      </c>
      <c r="AA218" s="315">
        <v>-3736</v>
      </c>
      <c r="AB218" s="315">
        <v>0</v>
      </c>
      <c r="AC218" s="315">
        <v>-13267</v>
      </c>
      <c r="AD218" s="315">
        <v>12090311</v>
      </c>
      <c r="AE218" s="315">
        <v>-1011000</v>
      </c>
      <c r="AF218" s="315">
        <v>13101311</v>
      </c>
      <c r="AG218" s="315">
        <v>13045506</v>
      </c>
      <c r="AH218" s="315">
        <v>55805</v>
      </c>
      <c r="AI218" s="315">
        <v>8971632</v>
      </c>
      <c r="AJ218" s="315">
        <v>2126586</v>
      </c>
      <c r="AK218" s="315">
        <v>3113730</v>
      </c>
      <c r="AL218" s="315">
        <v>3543096</v>
      </c>
      <c r="AM218" s="315">
        <v>558191</v>
      </c>
      <c r="AN218" s="315">
        <v>390748</v>
      </c>
      <c r="AO218" s="315">
        <v>34481</v>
      </c>
      <c r="AP218" s="315"/>
      <c r="AQ218" s="315">
        <v>490255</v>
      </c>
      <c r="AR218" s="315">
        <v>1605513</v>
      </c>
      <c r="AS218" s="315">
        <v>52758</v>
      </c>
      <c r="AT218" s="315">
        <v>0</v>
      </c>
      <c r="AU218" s="315">
        <v>-13267</v>
      </c>
      <c r="AV218" s="315">
        <v>2119754</v>
      </c>
      <c r="AW218" s="315">
        <v>31387</v>
      </c>
      <c r="AX218" s="315">
        <v>277104</v>
      </c>
      <c r="AY218" s="315">
        <v>107149</v>
      </c>
      <c r="AZ218" s="315">
        <v>57604</v>
      </c>
      <c r="BA218" s="315">
        <v>71811</v>
      </c>
      <c r="BB218" s="315">
        <v>40540</v>
      </c>
      <c r="BC218" s="315">
        <v>502908</v>
      </c>
      <c r="BD218" s="315">
        <v>1308355</v>
      </c>
      <c r="BE218" s="315">
        <v>-420052</v>
      </c>
      <c r="BF218" s="315">
        <v>-418936</v>
      </c>
      <c r="BG218" s="315">
        <v>-53561</v>
      </c>
      <c r="BH218" s="315">
        <v>-365375</v>
      </c>
      <c r="BI218" s="315">
        <v>0</v>
      </c>
      <c r="BJ218" s="315">
        <v>-33767</v>
      </c>
      <c r="BK218" s="315">
        <v>-385169</v>
      </c>
      <c r="BL218" s="315">
        <v>-565</v>
      </c>
      <c r="BM218" s="315">
        <v>-551</v>
      </c>
      <c r="BN218" s="315">
        <v>1699702</v>
      </c>
      <c r="BO218" s="315">
        <v>1132434</v>
      </c>
      <c r="BP218" s="315">
        <v>159167</v>
      </c>
      <c r="BQ218" s="315">
        <v>14674</v>
      </c>
      <c r="BR218" s="315"/>
      <c r="BS218" s="315">
        <v>31126</v>
      </c>
      <c r="BT218" s="315">
        <v>390</v>
      </c>
      <c r="BU218" s="315">
        <v>449</v>
      </c>
      <c r="BV218" s="315">
        <v>1162</v>
      </c>
      <c r="BW218" s="315">
        <v>29125</v>
      </c>
      <c r="BX218" s="315">
        <v>223543</v>
      </c>
      <c r="BY218" s="315">
        <v>137533</v>
      </c>
      <c r="BZ218" s="315">
        <v>1225</v>
      </c>
      <c r="CA218" s="315">
        <v>906656</v>
      </c>
      <c r="CB218" s="315">
        <v>-8257</v>
      </c>
      <c r="CC218" s="315">
        <v>-7806</v>
      </c>
      <c r="CD218" s="315">
        <v>-451</v>
      </c>
      <c r="CE218" s="315">
        <v>898399</v>
      </c>
      <c r="CF218" s="315">
        <v>143943</v>
      </c>
      <c r="CG218" s="315">
        <v>9</v>
      </c>
      <c r="CH218" s="315">
        <v>754447</v>
      </c>
      <c r="CI218" s="315">
        <v>9122351</v>
      </c>
      <c r="CJ218" s="315">
        <v>733996</v>
      </c>
      <c r="CK218" s="315">
        <v>8388355</v>
      </c>
      <c r="CL218" s="315">
        <v>3555897</v>
      </c>
      <c r="CM218" s="315">
        <v>4381623</v>
      </c>
      <c r="CN218" s="315">
        <v>450835</v>
      </c>
      <c r="CO218" s="315">
        <v>0</v>
      </c>
      <c r="CP218" s="315">
        <v>0</v>
      </c>
      <c r="CQ218" s="315">
        <v>450835</v>
      </c>
      <c r="CR218" s="315">
        <v>-3168705</v>
      </c>
      <c r="CS218" s="315">
        <v>-1224091</v>
      </c>
      <c r="CT218" s="315">
        <v>-1130622</v>
      </c>
      <c r="CU218" s="315">
        <v>-12271</v>
      </c>
      <c r="CV218" s="315">
        <v>-328</v>
      </c>
      <c r="CW218" s="315">
        <v>-80870</v>
      </c>
      <c r="CX218" s="315">
        <v>-1751894</v>
      </c>
      <c r="CY218" s="315">
        <v>-1453467</v>
      </c>
      <c r="CZ218" s="315">
        <v>-293576</v>
      </c>
      <c r="DA218" s="315">
        <v>-4851</v>
      </c>
      <c r="DB218" s="315">
        <v>-192720</v>
      </c>
      <c r="DC218" s="315">
        <v>0</v>
      </c>
      <c r="DD218" s="315">
        <v>5953646</v>
      </c>
      <c r="DE218" s="315">
        <v>-7681095</v>
      </c>
      <c r="DF218" s="315">
        <v>13634741</v>
      </c>
      <c r="DG218" s="315">
        <v>13636565</v>
      </c>
      <c r="DH218" s="315">
        <v>-1824</v>
      </c>
      <c r="DI218" s="315">
        <v>1591799</v>
      </c>
      <c r="DJ218" s="315">
        <v>34732</v>
      </c>
      <c r="DK218" s="315">
        <v>23950</v>
      </c>
      <c r="DL218" s="315">
        <v>1346</v>
      </c>
      <c r="DM218" s="315">
        <v>751239</v>
      </c>
      <c r="DN218" s="315">
        <v>663021</v>
      </c>
      <c r="DO218" s="315">
        <v>117412</v>
      </c>
      <c r="DP218" s="315"/>
      <c r="DQ218" s="315"/>
      <c r="DR218" s="315">
        <v>99</v>
      </c>
      <c r="DS218" s="315">
        <v>-29820</v>
      </c>
      <c r="DT218" s="315">
        <v>-8666</v>
      </c>
      <c r="DU218" s="315">
        <v>-2091</v>
      </c>
      <c r="DV218" s="315">
        <v>-5</v>
      </c>
      <c r="DW218" s="315">
        <v>-19016</v>
      </c>
      <c r="DX218" s="315">
        <v>-18071</v>
      </c>
      <c r="DY218" s="315">
        <v>-528</v>
      </c>
      <c r="DZ218" s="315">
        <v>-417</v>
      </c>
      <c r="EA218" s="315">
        <v>0</v>
      </c>
      <c r="EB218" s="315">
        <v>0</v>
      </c>
      <c r="EC218" s="315"/>
      <c r="ED218" s="315"/>
      <c r="EE218" s="315">
        <v>-42</v>
      </c>
      <c r="EF218" s="315">
        <v>1561979</v>
      </c>
      <c r="EG218" s="315">
        <v>-2069775</v>
      </c>
      <c r="EH218" s="315">
        <v>3631754</v>
      </c>
      <c r="EI218" s="315">
        <v>3629862</v>
      </c>
      <c r="EJ218" s="315">
        <v>1892</v>
      </c>
      <c r="EK218" s="315">
        <v>26066</v>
      </c>
      <c r="EL218" s="315">
        <v>-159701</v>
      </c>
      <c r="EM218" s="315">
        <v>185767</v>
      </c>
      <c r="EN218" s="315">
        <v>185787</v>
      </c>
      <c r="EO218" s="315">
        <v>-20</v>
      </c>
      <c r="EP218" s="315">
        <v>21859</v>
      </c>
      <c r="EQ218" s="315">
        <v>-49005</v>
      </c>
      <c r="ER218" s="315">
        <v>70864</v>
      </c>
      <c r="ES218" s="315">
        <v>70862</v>
      </c>
      <c r="ET218" s="315">
        <v>2</v>
      </c>
      <c r="EU218" s="315">
        <v>1341</v>
      </c>
      <c r="EV218" s="315">
        <v>-2768</v>
      </c>
      <c r="EW218" s="315">
        <v>4109</v>
      </c>
      <c r="EX218" s="315">
        <v>4110</v>
      </c>
      <c r="EY218" s="315">
        <v>-1</v>
      </c>
      <c r="EZ218" s="315">
        <v>732223</v>
      </c>
      <c r="FA218" s="315">
        <v>-1303606</v>
      </c>
      <c r="FB218" s="315">
        <v>2035829</v>
      </c>
      <c r="FC218" s="315">
        <v>2035041</v>
      </c>
      <c r="FD218" s="315">
        <v>788</v>
      </c>
      <c r="FE218" s="315">
        <v>663021</v>
      </c>
      <c r="FF218" s="315">
        <v>-574800</v>
      </c>
      <c r="FG218" s="315">
        <v>1237821</v>
      </c>
      <c r="FH218" s="315">
        <v>1236698</v>
      </c>
      <c r="FI218" s="315">
        <v>1123</v>
      </c>
      <c r="FJ218" s="315">
        <v>117412</v>
      </c>
      <c r="FK218" s="315">
        <v>20048</v>
      </c>
      <c r="FL218" s="315">
        <v>97364</v>
      </c>
      <c r="FM218" s="315">
        <v>97364</v>
      </c>
      <c r="FN218" s="315"/>
      <c r="FO218" s="315"/>
      <c r="FP218" s="315"/>
      <c r="FQ218" s="315">
        <v>57</v>
      </c>
      <c r="FR218" s="315">
        <v>477443</v>
      </c>
      <c r="FS218" s="315">
        <v>-43964</v>
      </c>
      <c r="FT218" s="315">
        <v>433479</v>
      </c>
      <c r="FU218" s="315"/>
      <c r="FV218" s="315"/>
      <c r="FW218" s="315"/>
      <c r="FX218" s="315">
        <v>107946</v>
      </c>
      <c r="FY218" s="315">
        <v>116041</v>
      </c>
      <c r="FZ218" s="315"/>
      <c r="GA218" s="315"/>
      <c r="GB218" s="315">
        <v>0</v>
      </c>
      <c r="GC218" s="315">
        <v>41291</v>
      </c>
      <c r="GD218" s="315">
        <v>-18811</v>
      </c>
      <c r="GE218" s="315"/>
      <c r="GF218" s="315">
        <v>60102</v>
      </c>
      <c r="GG218" s="315">
        <v>168201</v>
      </c>
      <c r="GH218" s="315">
        <v>45297</v>
      </c>
      <c r="GI218" s="315">
        <v>329</v>
      </c>
      <c r="GJ218" s="315">
        <v>122575</v>
      </c>
      <c r="GL218"/>
      <c r="GM218"/>
      <c r="GN218"/>
      <c r="GO218"/>
    </row>
    <row r="219" spans="1:197">
      <c r="A219" s="98" t="s">
        <v>30</v>
      </c>
      <c r="B219" s="98">
        <v>8</v>
      </c>
      <c r="C219" s="98" t="s">
        <v>224</v>
      </c>
      <c r="D219" s="315">
        <v>8048474</v>
      </c>
      <c r="E219" s="315">
        <v>-4609495</v>
      </c>
      <c r="F219" s="315">
        <v>-13266</v>
      </c>
      <c r="G219" s="315">
        <v>3425713</v>
      </c>
      <c r="H219" s="315">
        <v>-1971187</v>
      </c>
      <c r="I219" s="315">
        <v>5396900</v>
      </c>
      <c r="J219" s="315">
        <v>5222707</v>
      </c>
      <c r="K219" s="315">
        <v>174193</v>
      </c>
      <c r="L219" s="315">
        <v>828424</v>
      </c>
      <c r="M219" s="315">
        <v>656688</v>
      </c>
      <c r="N219" s="315">
        <v>92296</v>
      </c>
      <c r="O219" s="315">
        <v>23530</v>
      </c>
      <c r="P219" s="315">
        <v>68766</v>
      </c>
      <c r="Q219" s="315">
        <v>36218</v>
      </c>
      <c r="R219" s="315">
        <v>43222</v>
      </c>
      <c r="S219" s="315">
        <v>-1093507</v>
      </c>
      <c r="T219" s="315">
        <v>-1037174</v>
      </c>
      <c r="U219" s="315">
        <v>-54942</v>
      </c>
      <c r="V219" s="315">
        <v>-12</v>
      </c>
      <c r="W219" s="315">
        <v>-964030</v>
      </c>
      <c r="X219" s="315">
        <v>0</v>
      </c>
      <c r="Y219" s="315">
        <v>-18190</v>
      </c>
      <c r="Z219" s="315">
        <v>-53015</v>
      </c>
      <c r="AA219" s="315">
        <v>-3318</v>
      </c>
      <c r="AB219" s="315">
        <v>0</v>
      </c>
      <c r="AC219" s="315">
        <v>-13266</v>
      </c>
      <c r="AD219" s="315">
        <v>-278349</v>
      </c>
      <c r="AE219" s="315">
        <v>-2995831</v>
      </c>
      <c r="AF219" s="315">
        <v>2717482</v>
      </c>
      <c r="AG219" s="315">
        <v>2660384</v>
      </c>
      <c r="AH219" s="315">
        <v>57098</v>
      </c>
      <c r="AI219" s="315">
        <v>653729</v>
      </c>
      <c r="AJ219" s="315">
        <v>350571</v>
      </c>
      <c r="AK219" s="315">
        <v>161443</v>
      </c>
      <c r="AL219" s="315">
        <v>10803</v>
      </c>
      <c r="AM219" s="315">
        <v>8748</v>
      </c>
      <c r="AN219" s="315">
        <v>18082</v>
      </c>
      <c r="AO219" s="315">
        <v>951</v>
      </c>
      <c r="AP219" s="315"/>
      <c r="AQ219" s="315">
        <v>15082</v>
      </c>
      <c r="AR219" s="315">
        <v>-944878</v>
      </c>
      <c r="AS219" s="315">
        <v>-16797</v>
      </c>
      <c r="AT219" s="315">
        <v>0</v>
      </c>
      <c r="AU219" s="315">
        <v>-13266</v>
      </c>
      <c r="AV219" s="315">
        <v>3905556</v>
      </c>
      <c r="AW219" s="315">
        <v>8233</v>
      </c>
      <c r="AX219" s="315">
        <v>3408701</v>
      </c>
      <c r="AY219" s="315">
        <v>1499257</v>
      </c>
      <c r="AZ219" s="315">
        <v>371911</v>
      </c>
      <c r="BA219" s="315">
        <v>1477458</v>
      </c>
      <c r="BB219" s="315">
        <v>60075</v>
      </c>
      <c r="BC219" s="315">
        <v>483566</v>
      </c>
      <c r="BD219" s="315">
        <v>5056</v>
      </c>
      <c r="BE219" s="315">
        <v>-1005606</v>
      </c>
      <c r="BF219" s="315">
        <v>-111007</v>
      </c>
      <c r="BG219" s="315">
        <v>-17141</v>
      </c>
      <c r="BH219" s="315">
        <v>-93866</v>
      </c>
      <c r="BI219" s="315">
        <v>0</v>
      </c>
      <c r="BJ219" s="315">
        <v>-10774</v>
      </c>
      <c r="BK219" s="315">
        <v>-100233</v>
      </c>
      <c r="BL219" s="315">
        <v>-242</v>
      </c>
      <c r="BM219" s="315">
        <v>-894357</v>
      </c>
      <c r="BN219" s="315">
        <v>2899950</v>
      </c>
      <c r="BO219" s="315">
        <v>-891917</v>
      </c>
      <c r="BP219" s="315">
        <v>1970</v>
      </c>
      <c r="BQ219" s="315">
        <v>406</v>
      </c>
      <c r="BR219" s="315"/>
      <c r="BS219" s="315">
        <v>8115</v>
      </c>
      <c r="BT219" s="315">
        <v>192</v>
      </c>
      <c r="BU219" s="315">
        <v>77</v>
      </c>
      <c r="BV219" s="315">
        <v>272</v>
      </c>
      <c r="BW219" s="315">
        <v>7574</v>
      </c>
      <c r="BX219" s="315">
        <v>3391560</v>
      </c>
      <c r="BY219" s="315">
        <v>389700</v>
      </c>
      <c r="BZ219" s="315">
        <v>116</v>
      </c>
      <c r="CA219" s="315">
        <v>85071</v>
      </c>
      <c r="CB219" s="315">
        <v>-736313</v>
      </c>
      <c r="CC219" s="315">
        <v>-4567</v>
      </c>
      <c r="CD219" s="315">
        <v>-731746</v>
      </c>
      <c r="CE219" s="315">
        <v>-651242</v>
      </c>
      <c r="CF219" s="315">
        <v>11646</v>
      </c>
      <c r="CG219" s="315">
        <v>3</v>
      </c>
      <c r="CH219" s="315">
        <v>-662891</v>
      </c>
      <c r="CI219" s="315">
        <v>1237057</v>
      </c>
      <c r="CJ219" s="315">
        <v>723779</v>
      </c>
      <c r="CK219" s="315">
        <v>513278</v>
      </c>
      <c r="CL219" s="315">
        <v>69837</v>
      </c>
      <c r="CM219" s="315">
        <v>53637</v>
      </c>
      <c r="CN219" s="315">
        <v>389804</v>
      </c>
      <c r="CO219" s="315">
        <v>0</v>
      </c>
      <c r="CP219" s="315">
        <v>0</v>
      </c>
      <c r="CQ219" s="315">
        <v>389804</v>
      </c>
      <c r="CR219" s="315">
        <v>-1699627</v>
      </c>
      <c r="CS219" s="315">
        <v>-865464</v>
      </c>
      <c r="CT219" s="315">
        <v>-769580</v>
      </c>
      <c r="CU219" s="315">
        <v>-15829</v>
      </c>
      <c r="CV219" s="315">
        <v>-112</v>
      </c>
      <c r="CW219" s="315">
        <v>-79943</v>
      </c>
      <c r="CX219" s="315">
        <v>-834163</v>
      </c>
      <c r="CY219" s="315">
        <v>-736582</v>
      </c>
      <c r="CZ219" s="315">
        <v>-96938</v>
      </c>
      <c r="DA219" s="315">
        <v>-643</v>
      </c>
      <c r="DB219" s="315">
        <v>0</v>
      </c>
      <c r="DC219" s="315">
        <v>0</v>
      </c>
      <c r="DD219" s="315">
        <v>-462570</v>
      </c>
      <c r="DE219" s="315">
        <v>-2337706</v>
      </c>
      <c r="DF219" s="315">
        <v>1875136</v>
      </c>
      <c r="DG219" s="315">
        <v>1760711</v>
      </c>
      <c r="DH219" s="315">
        <v>114425</v>
      </c>
      <c r="DI219" s="315">
        <v>1655280</v>
      </c>
      <c r="DJ219" s="315">
        <v>78698</v>
      </c>
      <c r="DK219" s="315">
        <v>28624</v>
      </c>
      <c r="DL219" s="315">
        <v>2653</v>
      </c>
      <c r="DM219" s="315">
        <v>735668</v>
      </c>
      <c r="DN219" s="315">
        <v>681930</v>
      </c>
      <c r="DO219" s="315">
        <v>127650</v>
      </c>
      <c r="DP219" s="315"/>
      <c r="DQ219" s="315"/>
      <c r="DR219" s="315">
        <v>57</v>
      </c>
      <c r="DS219" s="315">
        <v>-10266</v>
      </c>
      <c r="DT219" s="315">
        <v>-676</v>
      </c>
      <c r="DU219" s="315">
        <v>-30</v>
      </c>
      <c r="DV219" s="315">
        <v>-4</v>
      </c>
      <c r="DW219" s="315">
        <v>-9545</v>
      </c>
      <c r="DX219" s="315">
        <v>-8551</v>
      </c>
      <c r="DY219" s="315">
        <v>-714</v>
      </c>
      <c r="DZ219" s="315">
        <v>-280</v>
      </c>
      <c r="EA219" s="315">
        <v>0</v>
      </c>
      <c r="EB219" s="315">
        <v>0</v>
      </c>
      <c r="EC219" s="315"/>
      <c r="ED219" s="315"/>
      <c r="EE219" s="315">
        <v>-11</v>
      </c>
      <c r="EF219" s="315">
        <v>1645014</v>
      </c>
      <c r="EG219" s="315">
        <v>840732</v>
      </c>
      <c r="EH219" s="315">
        <v>804282</v>
      </c>
      <c r="EI219" s="315">
        <v>801612</v>
      </c>
      <c r="EJ219" s="315">
        <v>2670</v>
      </c>
      <c r="EK219" s="315">
        <v>78022</v>
      </c>
      <c r="EL219" s="315">
        <v>46142</v>
      </c>
      <c r="EM219" s="315">
        <v>31880</v>
      </c>
      <c r="EN219" s="315">
        <v>31568</v>
      </c>
      <c r="EO219" s="315">
        <v>312</v>
      </c>
      <c r="EP219" s="315">
        <v>28594</v>
      </c>
      <c r="EQ219" s="315">
        <v>16071</v>
      </c>
      <c r="ER219" s="315">
        <v>12523</v>
      </c>
      <c r="ES219" s="315">
        <v>12282</v>
      </c>
      <c r="ET219" s="315">
        <v>241</v>
      </c>
      <c r="EU219" s="315">
        <v>2649</v>
      </c>
      <c r="EV219" s="315">
        <v>1938</v>
      </c>
      <c r="EW219" s="315">
        <v>711</v>
      </c>
      <c r="EX219" s="315">
        <v>703</v>
      </c>
      <c r="EY219" s="315">
        <v>8</v>
      </c>
      <c r="EZ219" s="315">
        <v>726123</v>
      </c>
      <c r="FA219" s="315">
        <v>338879</v>
      </c>
      <c r="FB219" s="315">
        <v>387244</v>
      </c>
      <c r="FC219" s="315">
        <v>386257</v>
      </c>
      <c r="FD219" s="315">
        <v>987</v>
      </c>
      <c r="FE219" s="315">
        <v>681930</v>
      </c>
      <c r="FF219" s="315">
        <v>421742</v>
      </c>
      <c r="FG219" s="315">
        <v>260188</v>
      </c>
      <c r="FH219" s="315">
        <v>259066</v>
      </c>
      <c r="FI219" s="315">
        <v>1122</v>
      </c>
      <c r="FJ219" s="315">
        <v>127650</v>
      </c>
      <c r="FK219" s="315">
        <v>15914</v>
      </c>
      <c r="FL219" s="315">
        <v>111736</v>
      </c>
      <c r="FM219" s="315">
        <v>111736</v>
      </c>
      <c r="FN219" s="315"/>
      <c r="FO219" s="315"/>
      <c r="FP219" s="315"/>
      <c r="FQ219" s="315">
        <v>46</v>
      </c>
      <c r="FR219" s="315">
        <v>337086</v>
      </c>
      <c r="FS219" s="315">
        <v>-64176</v>
      </c>
      <c r="FT219" s="315">
        <v>272910</v>
      </c>
      <c r="FU219" s="315"/>
      <c r="FV219" s="315"/>
      <c r="FW219" s="315"/>
      <c r="FX219" s="315">
        <v>127588</v>
      </c>
      <c r="FY219" s="315">
        <v>3451</v>
      </c>
      <c r="FZ219" s="315"/>
      <c r="GA219" s="315"/>
      <c r="GB219" s="315">
        <v>0</v>
      </c>
      <c r="GC219" s="315">
        <v>28549</v>
      </c>
      <c r="GD219" s="315">
        <v>-7787</v>
      </c>
      <c r="GE219" s="315"/>
      <c r="GF219" s="315">
        <v>36336</v>
      </c>
      <c r="GG219" s="315">
        <v>113322</v>
      </c>
      <c r="GH219" s="315">
        <v>25872</v>
      </c>
      <c r="GI219" s="315">
        <v>265</v>
      </c>
      <c r="GJ219" s="315">
        <v>87185</v>
      </c>
      <c r="GL219"/>
      <c r="GM219"/>
      <c r="GN219"/>
      <c r="GO219"/>
    </row>
    <row r="220" spans="1:197">
      <c r="A220" s="98" t="s">
        <v>30</v>
      </c>
      <c r="B220" s="98">
        <v>9</v>
      </c>
      <c r="C220" s="98" t="s">
        <v>225</v>
      </c>
      <c r="D220" s="315">
        <v>19387213</v>
      </c>
      <c r="E220" s="315">
        <v>-2010678</v>
      </c>
      <c r="F220" s="315">
        <v>-13266</v>
      </c>
      <c r="G220" s="315">
        <v>17363269</v>
      </c>
      <c r="H220" s="315">
        <v>12077961</v>
      </c>
      <c r="I220" s="315">
        <v>5285308</v>
      </c>
      <c r="J220" s="315">
        <v>5222703</v>
      </c>
      <c r="K220" s="315">
        <v>62605</v>
      </c>
      <c r="L220" s="315">
        <v>8087786</v>
      </c>
      <c r="M220" s="315">
        <v>7095511</v>
      </c>
      <c r="N220" s="315">
        <v>90647</v>
      </c>
      <c r="O220" s="315">
        <v>15888</v>
      </c>
      <c r="P220" s="315">
        <v>74759</v>
      </c>
      <c r="Q220" s="315">
        <v>42312</v>
      </c>
      <c r="R220" s="315">
        <v>859316</v>
      </c>
      <c r="S220" s="315">
        <v>-498183</v>
      </c>
      <c r="T220" s="315">
        <v>-494658</v>
      </c>
      <c r="U220" s="315">
        <v>-56842</v>
      </c>
      <c r="V220" s="315">
        <v>-13</v>
      </c>
      <c r="W220" s="315">
        <v>-419297</v>
      </c>
      <c r="X220" s="315">
        <v>0</v>
      </c>
      <c r="Y220" s="315">
        <v>-18506</v>
      </c>
      <c r="Z220" s="315">
        <v>-1029</v>
      </c>
      <c r="AA220" s="315">
        <v>-2496</v>
      </c>
      <c r="AB220" s="315">
        <v>0</v>
      </c>
      <c r="AC220" s="315">
        <v>-13266</v>
      </c>
      <c r="AD220" s="315">
        <v>7576337</v>
      </c>
      <c r="AE220" s="315">
        <v>4858437</v>
      </c>
      <c r="AF220" s="315">
        <v>2717900</v>
      </c>
      <c r="AG220" s="315">
        <v>2660384</v>
      </c>
      <c r="AH220" s="315">
        <v>57516</v>
      </c>
      <c r="AI220" s="315">
        <v>7093618</v>
      </c>
      <c r="AJ220" s="315">
        <v>2246912</v>
      </c>
      <c r="AK220" s="315">
        <v>4667818</v>
      </c>
      <c r="AL220" s="315">
        <v>9708</v>
      </c>
      <c r="AM220" s="315">
        <v>701307</v>
      </c>
      <c r="AN220" s="315">
        <v>97794</v>
      </c>
      <c r="AO220" s="315">
        <v>48444</v>
      </c>
      <c r="AP220" s="315"/>
      <c r="AQ220" s="315">
        <v>11168</v>
      </c>
      <c r="AR220" s="315">
        <v>-404011</v>
      </c>
      <c r="AS220" s="315">
        <v>41283</v>
      </c>
      <c r="AT220" s="315">
        <v>0</v>
      </c>
      <c r="AU220" s="315">
        <v>-13266</v>
      </c>
      <c r="AV220" s="315">
        <v>830147</v>
      </c>
      <c r="AW220" s="315">
        <v>7516</v>
      </c>
      <c r="AX220" s="315">
        <v>163327</v>
      </c>
      <c r="AY220" s="315">
        <v>9781</v>
      </c>
      <c r="AZ220" s="315">
        <v>91326</v>
      </c>
      <c r="BA220" s="315">
        <v>3415</v>
      </c>
      <c r="BB220" s="315">
        <v>58805</v>
      </c>
      <c r="BC220" s="315">
        <v>224729</v>
      </c>
      <c r="BD220" s="315">
        <v>434575</v>
      </c>
      <c r="BE220" s="315">
        <v>-38661</v>
      </c>
      <c r="BF220" s="315">
        <v>-30854</v>
      </c>
      <c r="BG220" s="315">
        <v>-20684</v>
      </c>
      <c r="BH220" s="315">
        <v>-10170</v>
      </c>
      <c r="BI220" s="315">
        <v>0</v>
      </c>
      <c r="BJ220" s="315">
        <v>-9020</v>
      </c>
      <c r="BK220" s="315">
        <v>-21834</v>
      </c>
      <c r="BL220" s="315">
        <v>-6671</v>
      </c>
      <c r="BM220" s="315">
        <v>-1136</v>
      </c>
      <c r="BN220" s="315">
        <v>791486</v>
      </c>
      <c r="BO220" s="315">
        <v>296883</v>
      </c>
      <c r="BP220" s="315">
        <v>34203</v>
      </c>
      <c r="BQ220" s="315">
        <v>20622</v>
      </c>
      <c r="BR220" s="315"/>
      <c r="BS220" s="315">
        <v>1064</v>
      </c>
      <c r="BT220" s="315">
        <v>124</v>
      </c>
      <c r="BU220" s="315">
        <v>0</v>
      </c>
      <c r="BV220" s="315">
        <v>103</v>
      </c>
      <c r="BW220" s="315">
        <v>837</v>
      </c>
      <c r="BX220" s="315">
        <v>142643</v>
      </c>
      <c r="BY220" s="315">
        <v>214559</v>
      </c>
      <c r="BZ220" s="315">
        <v>81512</v>
      </c>
      <c r="CA220" s="315">
        <v>260388</v>
      </c>
      <c r="CB220" s="315">
        <v>-7064</v>
      </c>
      <c r="CC220" s="315">
        <v>-6134</v>
      </c>
      <c r="CD220" s="315">
        <v>-930</v>
      </c>
      <c r="CE220" s="315">
        <v>253324</v>
      </c>
      <c r="CF220" s="315">
        <v>255191</v>
      </c>
      <c r="CG220" s="315">
        <v>-4</v>
      </c>
      <c r="CH220" s="315">
        <v>-1863</v>
      </c>
      <c r="CI220" s="315">
        <v>7932506</v>
      </c>
      <c r="CJ220" s="315">
        <v>714652</v>
      </c>
      <c r="CK220" s="315">
        <v>7217854</v>
      </c>
      <c r="CL220" s="315">
        <v>6732313</v>
      </c>
      <c r="CM220" s="315">
        <v>108947</v>
      </c>
      <c r="CN220" s="315">
        <v>376594</v>
      </c>
      <c r="CO220" s="315">
        <v>0</v>
      </c>
      <c r="CP220" s="315">
        <v>0</v>
      </c>
      <c r="CQ220" s="315">
        <v>376594</v>
      </c>
      <c r="CR220" s="315">
        <v>-1407375</v>
      </c>
      <c r="CS220" s="315">
        <v>-430206</v>
      </c>
      <c r="CT220" s="315">
        <v>-357487</v>
      </c>
      <c r="CU220" s="315">
        <v>-7712</v>
      </c>
      <c r="CV220" s="315">
        <v>-139</v>
      </c>
      <c r="CW220" s="315">
        <v>-64868</v>
      </c>
      <c r="CX220" s="315">
        <v>-939632</v>
      </c>
      <c r="CY220" s="315">
        <v>-902393</v>
      </c>
      <c r="CZ220" s="315">
        <v>-34807</v>
      </c>
      <c r="DA220" s="315">
        <v>-2432</v>
      </c>
      <c r="DB220" s="315">
        <v>0</v>
      </c>
      <c r="DC220" s="315">
        <v>-37537</v>
      </c>
      <c r="DD220" s="315">
        <v>6525131</v>
      </c>
      <c r="DE220" s="315">
        <v>4761334</v>
      </c>
      <c r="DF220" s="315">
        <v>1763797</v>
      </c>
      <c r="DG220" s="315">
        <v>1760710</v>
      </c>
      <c r="DH220" s="315">
        <v>3087</v>
      </c>
      <c r="DI220" s="315">
        <v>1711552</v>
      </c>
      <c r="DJ220" s="315">
        <v>85483</v>
      </c>
      <c r="DK220" s="315">
        <v>30572</v>
      </c>
      <c r="DL220" s="315">
        <v>968</v>
      </c>
      <c r="DM220" s="315">
        <v>762596</v>
      </c>
      <c r="DN220" s="315">
        <v>696545</v>
      </c>
      <c r="DO220" s="315">
        <v>135341</v>
      </c>
      <c r="DP220" s="315"/>
      <c r="DQ220" s="315"/>
      <c r="DR220" s="315">
        <v>47</v>
      </c>
      <c r="DS220" s="315">
        <v>-22736</v>
      </c>
      <c r="DT220" s="315">
        <v>-2343</v>
      </c>
      <c r="DU220" s="315">
        <v>-77</v>
      </c>
      <c r="DV220" s="315">
        <v>-13</v>
      </c>
      <c r="DW220" s="315">
        <v>-10802</v>
      </c>
      <c r="DX220" s="315">
        <v>-9694</v>
      </c>
      <c r="DY220" s="315">
        <v>-522</v>
      </c>
      <c r="DZ220" s="315">
        <v>-586</v>
      </c>
      <c r="EA220" s="315">
        <v>-9188</v>
      </c>
      <c r="EB220" s="315">
        <v>0</v>
      </c>
      <c r="EC220" s="315"/>
      <c r="ED220" s="315"/>
      <c r="EE220" s="315">
        <v>-313</v>
      </c>
      <c r="EF220" s="315">
        <v>1688816</v>
      </c>
      <c r="EG220" s="315">
        <v>885205</v>
      </c>
      <c r="EH220" s="315">
        <v>803611</v>
      </c>
      <c r="EI220" s="315">
        <v>801609</v>
      </c>
      <c r="EJ220" s="315">
        <v>2002</v>
      </c>
      <c r="EK220" s="315">
        <v>83140</v>
      </c>
      <c r="EL220" s="315">
        <v>51569</v>
      </c>
      <c r="EM220" s="315">
        <v>31571</v>
      </c>
      <c r="EN220" s="315">
        <v>31569</v>
      </c>
      <c r="EO220" s="315">
        <v>2</v>
      </c>
      <c r="EP220" s="315">
        <v>30495</v>
      </c>
      <c r="EQ220" s="315">
        <v>18210</v>
      </c>
      <c r="ER220" s="315">
        <v>12285</v>
      </c>
      <c r="ES220" s="315">
        <v>12281</v>
      </c>
      <c r="ET220" s="315">
        <v>4</v>
      </c>
      <c r="EU220" s="315">
        <v>955</v>
      </c>
      <c r="EV220" s="315">
        <v>253</v>
      </c>
      <c r="EW220" s="315">
        <v>702</v>
      </c>
      <c r="EX220" s="315">
        <v>702</v>
      </c>
      <c r="EY220" s="315">
        <v>0</v>
      </c>
      <c r="EZ220" s="315">
        <v>751794</v>
      </c>
      <c r="FA220" s="315">
        <v>364681</v>
      </c>
      <c r="FB220" s="315">
        <v>387113</v>
      </c>
      <c r="FC220" s="315">
        <v>386259</v>
      </c>
      <c r="FD220" s="315">
        <v>854</v>
      </c>
      <c r="FE220" s="315">
        <v>687357</v>
      </c>
      <c r="FF220" s="315">
        <v>427151</v>
      </c>
      <c r="FG220" s="315">
        <v>260206</v>
      </c>
      <c r="FH220" s="315">
        <v>259064</v>
      </c>
      <c r="FI220" s="315">
        <v>1142</v>
      </c>
      <c r="FJ220" s="315">
        <v>135341</v>
      </c>
      <c r="FK220" s="315">
        <v>23607</v>
      </c>
      <c r="FL220" s="315">
        <v>111734</v>
      </c>
      <c r="FM220" s="315">
        <v>111734</v>
      </c>
      <c r="FN220" s="315"/>
      <c r="FO220" s="315"/>
      <c r="FP220" s="315"/>
      <c r="FQ220" s="315">
        <v>-266</v>
      </c>
      <c r="FR220" s="315">
        <v>564834</v>
      </c>
      <c r="FS220" s="315">
        <v>-36659</v>
      </c>
      <c r="FT220" s="315">
        <v>528175</v>
      </c>
      <c r="FU220" s="315"/>
      <c r="FV220" s="315"/>
      <c r="FW220" s="315"/>
      <c r="FX220" s="315">
        <v>146202</v>
      </c>
      <c r="FY220" s="315">
        <v>230793</v>
      </c>
      <c r="FZ220" s="315"/>
      <c r="GA220" s="315"/>
      <c r="GB220" s="315">
        <v>0</v>
      </c>
      <c r="GC220" s="315">
        <v>24130</v>
      </c>
      <c r="GD220" s="315">
        <v>-19303</v>
      </c>
      <c r="GE220" s="315"/>
      <c r="GF220" s="315">
        <v>43433</v>
      </c>
      <c r="GG220" s="315">
        <v>127050</v>
      </c>
      <c r="GH220" s="315">
        <v>20375</v>
      </c>
      <c r="GI220" s="315">
        <v>211</v>
      </c>
      <c r="GJ220" s="315">
        <v>106464</v>
      </c>
      <c r="GL220"/>
      <c r="GM220"/>
      <c r="GN220"/>
      <c r="GO220"/>
    </row>
    <row r="221" spans="1:197">
      <c r="A221" s="98" t="s">
        <v>30</v>
      </c>
      <c r="B221" s="98">
        <v>10</v>
      </c>
      <c r="C221" s="98" t="s">
        <v>226</v>
      </c>
      <c r="D221" s="315">
        <v>28012523</v>
      </c>
      <c r="E221" s="315">
        <v>-2257822</v>
      </c>
      <c r="F221" s="315">
        <v>-13266</v>
      </c>
      <c r="G221" s="315">
        <v>25741435</v>
      </c>
      <c r="H221" s="315">
        <v>20455925</v>
      </c>
      <c r="I221" s="315">
        <v>5285510</v>
      </c>
      <c r="J221" s="315">
        <v>5222704</v>
      </c>
      <c r="K221" s="315">
        <v>62806</v>
      </c>
      <c r="L221" s="315">
        <v>8371536</v>
      </c>
      <c r="M221" s="315">
        <v>6943893</v>
      </c>
      <c r="N221" s="315">
        <v>112810</v>
      </c>
      <c r="O221" s="315">
        <v>28131</v>
      </c>
      <c r="P221" s="315">
        <v>84679</v>
      </c>
      <c r="Q221" s="315">
        <v>35283</v>
      </c>
      <c r="R221" s="315">
        <v>1279550</v>
      </c>
      <c r="S221" s="315">
        <v>-444666</v>
      </c>
      <c r="T221" s="315">
        <v>-439632</v>
      </c>
      <c r="U221" s="315">
        <v>-56086</v>
      </c>
      <c r="V221" s="315">
        <v>0</v>
      </c>
      <c r="W221" s="315">
        <v>-359520</v>
      </c>
      <c r="X221" s="315">
        <v>0</v>
      </c>
      <c r="Y221" s="315">
        <v>-24026</v>
      </c>
      <c r="Z221" s="315">
        <v>-1532</v>
      </c>
      <c r="AA221" s="315">
        <v>-3502</v>
      </c>
      <c r="AB221" s="315">
        <v>0</v>
      </c>
      <c r="AC221" s="315">
        <v>-13266</v>
      </c>
      <c r="AD221" s="315">
        <v>7913604</v>
      </c>
      <c r="AE221" s="315">
        <v>5195658</v>
      </c>
      <c r="AF221" s="315">
        <v>2717946</v>
      </c>
      <c r="AG221" s="315">
        <v>2660383</v>
      </c>
      <c r="AH221" s="315">
        <v>57563</v>
      </c>
      <c r="AI221" s="315">
        <v>6941048</v>
      </c>
      <c r="AJ221" s="315">
        <v>1260041</v>
      </c>
      <c r="AK221" s="315">
        <v>2232982</v>
      </c>
      <c r="AL221" s="315">
        <v>3274264</v>
      </c>
      <c r="AM221" s="315">
        <v>388695</v>
      </c>
      <c r="AN221" s="315">
        <v>382268</v>
      </c>
      <c r="AO221" s="315">
        <v>33780</v>
      </c>
      <c r="AP221" s="315"/>
      <c r="AQ221" s="315">
        <v>474150</v>
      </c>
      <c r="AR221" s="315">
        <v>-326822</v>
      </c>
      <c r="AS221" s="315">
        <v>33751</v>
      </c>
      <c r="AT221" s="315">
        <v>0</v>
      </c>
      <c r="AU221" s="315">
        <v>-13266</v>
      </c>
      <c r="AV221" s="315">
        <v>7748321</v>
      </c>
      <c r="AW221" s="315">
        <v>6743535</v>
      </c>
      <c r="AX221" s="315">
        <v>89040</v>
      </c>
      <c r="AY221" s="315">
        <v>12440</v>
      </c>
      <c r="AZ221" s="315">
        <v>1003</v>
      </c>
      <c r="BA221" s="315">
        <v>3599</v>
      </c>
      <c r="BB221" s="315">
        <v>71998</v>
      </c>
      <c r="BC221" s="315">
        <v>80151</v>
      </c>
      <c r="BD221" s="315">
        <v>835595</v>
      </c>
      <c r="BE221" s="315">
        <v>-45873</v>
      </c>
      <c r="BF221" s="315">
        <v>-44925</v>
      </c>
      <c r="BG221" s="315">
        <v>-18900</v>
      </c>
      <c r="BH221" s="315">
        <v>-26025</v>
      </c>
      <c r="BI221" s="315">
        <v>0</v>
      </c>
      <c r="BJ221" s="315">
        <v>-7388</v>
      </c>
      <c r="BK221" s="315">
        <v>-37537</v>
      </c>
      <c r="BL221" s="315">
        <v>-545</v>
      </c>
      <c r="BM221" s="315">
        <v>-403</v>
      </c>
      <c r="BN221" s="315">
        <v>7702448</v>
      </c>
      <c r="BO221" s="315">
        <v>663857</v>
      </c>
      <c r="BP221" s="315">
        <v>156751</v>
      </c>
      <c r="BQ221" s="315">
        <v>14384</v>
      </c>
      <c r="BR221" s="315"/>
      <c r="BS221" s="315">
        <v>6743184</v>
      </c>
      <c r="BT221" s="315">
        <v>2723134</v>
      </c>
      <c r="BU221" s="315">
        <v>3404913</v>
      </c>
      <c r="BV221" s="315">
        <v>607689</v>
      </c>
      <c r="BW221" s="315">
        <v>7448</v>
      </c>
      <c r="BX221" s="315">
        <v>70140</v>
      </c>
      <c r="BY221" s="315">
        <v>54126</v>
      </c>
      <c r="BZ221" s="315">
        <v>6</v>
      </c>
      <c r="CA221" s="315">
        <v>548553</v>
      </c>
      <c r="CB221" s="315">
        <v>-25352</v>
      </c>
      <c r="CC221" s="315">
        <v>-25023</v>
      </c>
      <c r="CD221" s="315">
        <v>-329</v>
      </c>
      <c r="CE221" s="315">
        <v>523201</v>
      </c>
      <c r="CF221" s="315">
        <v>105859</v>
      </c>
      <c r="CG221" s="315">
        <v>20102</v>
      </c>
      <c r="CH221" s="315">
        <v>397240</v>
      </c>
      <c r="CI221" s="315">
        <v>9405912</v>
      </c>
      <c r="CJ221" s="315">
        <v>845608</v>
      </c>
      <c r="CK221" s="315">
        <v>8560304</v>
      </c>
      <c r="CL221" s="315">
        <v>3572299</v>
      </c>
      <c r="CM221" s="315">
        <v>4618867</v>
      </c>
      <c r="CN221" s="315">
        <v>369138</v>
      </c>
      <c r="CO221" s="315">
        <v>0</v>
      </c>
      <c r="CP221" s="315">
        <v>511</v>
      </c>
      <c r="CQ221" s="315">
        <v>368627</v>
      </c>
      <c r="CR221" s="315">
        <v>-1669117</v>
      </c>
      <c r="CS221" s="315">
        <v>-320678</v>
      </c>
      <c r="CT221" s="315">
        <v>-237386</v>
      </c>
      <c r="CU221" s="315">
        <v>-7228</v>
      </c>
      <c r="CV221" s="315">
        <v>-200</v>
      </c>
      <c r="CW221" s="315">
        <v>-75864</v>
      </c>
      <c r="CX221" s="315">
        <v>-1135841</v>
      </c>
      <c r="CY221" s="315">
        <v>-1072123</v>
      </c>
      <c r="CZ221" s="315">
        <v>-24359</v>
      </c>
      <c r="DA221" s="315">
        <v>-39359</v>
      </c>
      <c r="DB221" s="315">
        <v>-212057</v>
      </c>
      <c r="DC221" s="315">
        <v>-541</v>
      </c>
      <c r="DD221" s="315">
        <v>7736795</v>
      </c>
      <c r="DE221" s="315">
        <v>5972845</v>
      </c>
      <c r="DF221" s="315">
        <v>1763950</v>
      </c>
      <c r="DG221" s="315">
        <v>1760712</v>
      </c>
      <c r="DH221" s="315">
        <v>3238</v>
      </c>
      <c r="DI221" s="315">
        <v>1447557</v>
      </c>
      <c r="DJ221" s="315">
        <v>61049</v>
      </c>
      <c r="DK221" s="315">
        <v>32325</v>
      </c>
      <c r="DL221" s="315">
        <v>813</v>
      </c>
      <c r="DM221" s="315">
        <v>681462</v>
      </c>
      <c r="DN221" s="315">
        <v>539067</v>
      </c>
      <c r="DO221" s="315">
        <v>132824</v>
      </c>
      <c r="DP221" s="315"/>
      <c r="DQ221" s="315"/>
      <c r="DR221" s="315">
        <v>17</v>
      </c>
      <c r="DS221" s="315">
        <v>-31679</v>
      </c>
      <c r="DT221" s="315">
        <v>-11045</v>
      </c>
      <c r="DU221" s="315">
        <v>-4305</v>
      </c>
      <c r="DV221" s="315">
        <v>-27</v>
      </c>
      <c r="DW221" s="315">
        <v>-6885</v>
      </c>
      <c r="DX221" s="315">
        <v>-5454</v>
      </c>
      <c r="DY221" s="315">
        <v>-359</v>
      </c>
      <c r="DZ221" s="315">
        <v>-1072</v>
      </c>
      <c r="EA221" s="315">
        <v>-9363</v>
      </c>
      <c r="EB221" s="315">
        <v>-25</v>
      </c>
      <c r="EC221" s="315"/>
      <c r="ED221" s="315"/>
      <c r="EE221" s="315">
        <v>-29</v>
      </c>
      <c r="EF221" s="315">
        <v>1415878</v>
      </c>
      <c r="EG221" s="315">
        <v>612264</v>
      </c>
      <c r="EH221" s="315">
        <v>803614</v>
      </c>
      <c r="EI221" s="315">
        <v>801609</v>
      </c>
      <c r="EJ221" s="315">
        <v>2005</v>
      </c>
      <c r="EK221" s="315">
        <v>50004</v>
      </c>
      <c r="EL221" s="315">
        <v>18433</v>
      </c>
      <c r="EM221" s="315">
        <v>31571</v>
      </c>
      <c r="EN221" s="315">
        <v>31569</v>
      </c>
      <c r="EO221" s="315">
        <v>2</v>
      </c>
      <c r="EP221" s="315">
        <v>28020</v>
      </c>
      <c r="EQ221" s="315">
        <v>15734</v>
      </c>
      <c r="ER221" s="315">
        <v>12286</v>
      </c>
      <c r="ES221" s="315">
        <v>12281</v>
      </c>
      <c r="ET221" s="315">
        <v>5</v>
      </c>
      <c r="EU221" s="315">
        <v>786</v>
      </c>
      <c r="EV221" s="315">
        <v>83</v>
      </c>
      <c r="EW221" s="315">
        <v>703</v>
      </c>
      <c r="EX221" s="315">
        <v>703</v>
      </c>
      <c r="EY221" s="315">
        <v>0</v>
      </c>
      <c r="EZ221" s="315">
        <v>674577</v>
      </c>
      <c r="FA221" s="315">
        <v>287463</v>
      </c>
      <c r="FB221" s="315">
        <v>387114</v>
      </c>
      <c r="FC221" s="315">
        <v>386258</v>
      </c>
      <c r="FD221" s="315">
        <v>856</v>
      </c>
      <c r="FE221" s="315">
        <v>529704</v>
      </c>
      <c r="FF221" s="315">
        <v>269498</v>
      </c>
      <c r="FG221" s="315">
        <v>260206</v>
      </c>
      <c r="FH221" s="315">
        <v>259064</v>
      </c>
      <c r="FI221" s="315">
        <v>1142</v>
      </c>
      <c r="FJ221" s="315">
        <v>132799</v>
      </c>
      <c r="FK221" s="315">
        <v>21065</v>
      </c>
      <c r="FL221" s="315">
        <v>111734</v>
      </c>
      <c r="FM221" s="315">
        <v>111734</v>
      </c>
      <c r="FN221" s="315"/>
      <c r="FO221" s="315"/>
      <c r="FP221" s="315"/>
      <c r="FQ221" s="315">
        <v>-12</v>
      </c>
      <c r="FR221" s="315">
        <v>490644</v>
      </c>
      <c r="FS221" s="315">
        <v>-41135</v>
      </c>
      <c r="FT221" s="315">
        <v>449509</v>
      </c>
      <c r="FU221" s="315"/>
      <c r="FV221" s="315"/>
      <c r="FW221" s="315"/>
      <c r="FX221" s="315">
        <v>147848</v>
      </c>
      <c r="FY221" s="315">
        <v>96067</v>
      </c>
      <c r="FZ221" s="315"/>
      <c r="GA221" s="315"/>
      <c r="GB221" s="315">
        <v>16766</v>
      </c>
      <c r="GC221" s="315">
        <v>26090</v>
      </c>
      <c r="GD221" s="315">
        <v>-22099</v>
      </c>
      <c r="GE221" s="315"/>
      <c r="GF221" s="315">
        <v>48189</v>
      </c>
      <c r="GG221" s="315">
        <v>162738</v>
      </c>
      <c r="GH221" s="315">
        <v>53131</v>
      </c>
      <c r="GI221" s="315">
        <v>286</v>
      </c>
      <c r="GJ221" s="315">
        <v>109321</v>
      </c>
      <c r="GL221"/>
      <c r="GM221"/>
      <c r="GN221"/>
      <c r="GO221"/>
    </row>
    <row r="222" spans="1:197">
      <c r="A222" s="98" t="s">
        <v>30</v>
      </c>
      <c r="B222" s="98">
        <v>11</v>
      </c>
      <c r="C222" s="98" t="s">
        <v>227</v>
      </c>
      <c r="D222" s="315">
        <v>13909256</v>
      </c>
      <c r="E222" s="315">
        <v>-3124149</v>
      </c>
      <c r="F222" s="315">
        <v>-13266</v>
      </c>
      <c r="G222" s="315">
        <v>10771841</v>
      </c>
      <c r="H222" s="315">
        <v>5525140</v>
      </c>
      <c r="I222" s="315">
        <v>5246701</v>
      </c>
      <c r="J222" s="315">
        <v>5222707</v>
      </c>
      <c r="K222" s="315">
        <v>23994</v>
      </c>
      <c r="L222" s="315">
        <v>6176752</v>
      </c>
      <c r="M222" s="315">
        <v>3702838</v>
      </c>
      <c r="N222" s="315">
        <v>2021183</v>
      </c>
      <c r="O222" s="315">
        <v>1946646</v>
      </c>
      <c r="P222" s="315">
        <v>74537</v>
      </c>
      <c r="Q222" s="315">
        <v>42979</v>
      </c>
      <c r="R222" s="315">
        <v>409752</v>
      </c>
      <c r="S222" s="315">
        <v>-479488</v>
      </c>
      <c r="T222" s="315">
        <v>-471472</v>
      </c>
      <c r="U222" s="315">
        <v>-55801</v>
      </c>
      <c r="V222" s="315">
        <v>-2</v>
      </c>
      <c r="W222" s="315">
        <v>-388148</v>
      </c>
      <c r="X222" s="315">
        <v>0</v>
      </c>
      <c r="Y222" s="315">
        <v>-27521</v>
      </c>
      <c r="Z222" s="315">
        <v>-2846</v>
      </c>
      <c r="AA222" s="315">
        <v>-5170</v>
      </c>
      <c r="AB222" s="315">
        <v>0</v>
      </c>
      <c r="AC222" s="315">
        <v>-13266</v>
      </c>
      <c r="AD222" s="315">
        <v>5683998</v>
      </c>
      <c r="AE222" s="315">
        <v>2985145</v>
      </c>
      <c r="AF222" s="315">
        <v>2698853</v>
      </c>
      <c r="AG222" s="315">
        <v>2660384</v>
      </c>
      <c r="AH222" s="315">
        <v>38469</v>
      </c>
      <c r="AI222" s="315">
        <v>3698599</v>
      </c>
      <c r="AJ222" s="315">
        <v>1328271</v>
      </c>
      <c r="AK222" s="315">
        <v>2178611</v>
      </c>
      <c r="AL222" s="315">
        <v>13179</v>
      </c>
      <c r="AM222" s="315">
        <v>315944</v>
      </c>
      <c r="AN222" s="315">
        <v>57488</v>
      </c>
      <c r="AO222" s="315">
        <v>23021</v>
      </c>
      <c r="AP222" s="315"/>
      <c r="AQ222" s="315">
        <v>12368</v>
      </c>
      <c r="AR222" s="315">
        <v>1549711</v>
      </c>
      <c r="AS222" s="315">
        <v>40133</v>
      </c>
      <c r="AT222" s="315">
        <v>0</v>
      </c>
      <c r="AU222" s="315">
        <v>-13266</v>
      </c>
      <c r="AV222" s="315">
        <v>534182</v>
      </c>
      <c r="AW222" s="315">
        <v>62761</v>
      </c>
      <c r="AX222" s="315">
        <v>73806</v>
      </c>
      <c r="AY222" s="315">
        <v>9159</v>
      </c>
      <c r="AZ222" s="315">
        <v>2298</v>
      </c>
      <c r="BA222" s="315">
        <v>9065</v>
      </c>
      <c r="BB222" s="315">
        <v>53284</v>
      </c>
      <c r="BC222" s="315">
        <v>232442</v>
      </c>
      <c r="BD222" s="315">
        <v>165173</v>
      </c>
      <c r="BE222" s="315">
        <v>-623559</v>
      </c>
      <c r="BF222" s="315">
        <v>-129956</v>
      </c>
      <c r="BG222" s="315">
        <v>-91927</v>
      </c>
      <c r="BH222" s="315">
        <v>-38029</v>
      </c>
      <c r="BI222" s="315">
        <v>-75244</v>
      </c>
      <c r="BJ222" s="315">
        <v>-6526.0000000000009</v>
      </c>
      <c r="BK222" s="315">
        <v>-48186</v>
      </c>
      <c r="BL222" s="315">
        <v>-949</v>
      </c>
      <c r="BM222" s="315">
        <v>-492654</v>
      </c>
      <c r="BN222" s="315">
        <v>-89377</v>
      </c>
      <c r="BO222" s="315">
        <v>-359224</v>
      </c>
      <c r="BP222" s="315">
        <v>19440</v>
      </c>
      <c r="BQ222" s="315">
        <v>9740</v>
      </c>
      <c r="BR222" s="315"/>
      <c r="BS222" s="315">
        <v>62140</v>
      </c>
      <c r="BT222" s="315">
        <v>3078</v>
      </c>
      <c r="BU222" s="315">
        <v>4321</v>
      </c>
      <c r="BV222" s="315">
        <v>2774</v>
      </c>
      <c r="BW222" s="315">
        <v>51967</v>
      </c>
      <c r="BX222" s="315">
        <v>-18121</v>
      </c>
      <c r="BY222" s="315">
        <v>194413</v>
      </c>
      <c r="BZ222" s="315">
        <v>2235</v>
      </c>
      <c r="CA222" s="315">
        <v>104728</v>
      </c>
      <c r="CB222" s="315">
        <v>-438738</v>
      </c>
      <c r="CC222" s="315">
        <v>-34790</v>
      </c>
      <c r="CD222" s="315">
        <v>-403948</v>
      </c>
      <c r="CE222" s="315">
        <v>-334010</v>
      </c>
      <c r="CF222" s="315">
        <v>84483</v>
      </c>
      <c r="CG222" s="315">
        <v>30</v>
      </c>
      <c r="CH222" s="315">
        <v>-418523</v>
      </c>
      <c r="CI222" s="315">
        <v>4909299</v>
      </c>
      <c r="CJ222" s="315">
        <v>809335</v>
      </c>
      <c r="CK222" s="315">
        <v>4099964</v>
      </c>
      <c r="CL222" s="315">
        <v>3578449</v>
      </c>
      <c r="CM222" s="315">
        <v>85074</v>
      </c>
      <c r="CN222" s="315">
        <v>436441</v>
      </c>
      <c r="CO222" s="315">
        <v>0</v>
      </c>
      <c r="CP222" s="315">
        <v>0</v>
      </c>
      <c r="CQ222" s="315">
        <v>436441</v>
      </c>
      <c r="CR222" s="315">
        <v>-1534371</v>
      </c>
      <c r="CS222" s="315">
        <v>-256958</v>
      </c>
      <c r="CT222" s="315">
        <v>-181927</v>
      </c>
      <c r="CU222" s="315">
        <v>-7756</v>
      </c>
      <c r="CV222" s="315">
        <v>-453</v>
      </c>
      <c r="CW222" s="315">
        <v>-66822</v>
      </c>
      <c r="CX222" s="315">
        <v>-1277413</v>
      </c>
      <c r="CY222" s="315">
        <v>-1263767</v>
      </c>
      <c r="CZ222" s="315">
        <v>-10885</v>
      </c>
      <c r="DA222" s="315">
        <v>-2761</v>
      </c>
      <c r="DB222" s="315">
        <v>0</v>
      </c>
      <c r="DC222" s="315">
        <v>0</v>
      </c>
      <c r="DD222" s="315">
        <v>3374928</v>
      </c>
      <c r="DE222" s="315">
        <v>1610980</v>
      </c>
      <c r="DF222" s="315">
        <v>1763948</v>
      </c>
      <c r="DG222" s="315">
        <v>1760711</v>
      </c>
      <c r="DH222" s="315">
        <v>3237</v>
      </c>
      <c r="DI222" s="315">
        <v>1552491</v>
      </c>
      <c r="DJ222" s="315">
        <v>87044</v>
      </c>
      <c r="DK222" s="315">
        <v>34389</v>
      </c>
      <c r="DL222" s="315">
        <v>2280</v>
      </c>
      <c r="DM222" s="315">
        <v>702331</v>
      </c>
      <c r="DN222" s="315">
        <v>595364</v>
      </c>
      <c r="DO222" s="315">
        <v>131053</v>
      </c>
      <c r="DP222" s="315"/>
      <c r="DQ222" s="315"/>
      <c r="DR222" s="315">
        <v>30</v>
      </c>
      <c r="DS222" s="315">
        <v>-8182</v>
      </c>
      <c r="DT222" s="315">
        <v>-2106</v>
      </c>
      <c r="DU222" s="315">
        <v>-70</v>
      </c>
      <c r="DV222" s="315">
        <v>-7</v>
      </c>
      <c r="DW222" s="315">
        <v>-5597</v>
      </c>
      <c r="DX222" s="315">
        <v>-4588</v>
      </c>
      <c r="DY222" s="315">
        <v>-481</v>
      </c>
      <c r="DZ222" s="315">
        <v>-528</v>
      </c>
      <c r="EA222" s="315">
        <v>0</v>
      </c>
      <c r="EB222" s="315">
        <v>-388</v>
      </c>
      <c r="EC222" s="315"/>
      <c r="ED222" s="315"/>
      <c r="EE222" s="315">
        <v>-14</v>
      </c>
      <c r="EF222" s="315">
        <v>1544309</v>
      </c>
      <c r="EG222" s="315">
        <v>760409</v>
      </c>
      <c r="EH222" s="315">
        <v>783900</v>
      </c>
      <c r="EI222" s="315">
        <v>801612</v>
      </c>
      <c r="EJ222" s="315">
        <v>-17712</v>
      </c>
      <c r="EK222" s="315">
        <v>84938</v>
      </c>
      <c r="EL222" s="315">
        <v>53406</v>
      </c>
      <c r="EM222" s="315">
        <v>31532</v>
      </c>
      <c r="EN222" s="315">
        <v>31569</v>
      </c>
      <c r="EO222" s="315">
        <v>-37</v>
      </c>
      <c r="EP222" s="315">
        <v>34319</v>
      </c>
      <c r="EQ222" s="315">
        <v>22036</v>
      </c>
      <c r="ER222" s="315">
        <v>12283</v>
      </c>
      <c r="ES222" s="315">
        <v>12282</v>
      </c>
      <c r="ET222" s="315">
        <v>1</v>
      </c>
      <c r="EU222" s="315">
        <v>2273</v>
      </c>
      <c r="EV222" s="315">
        <v>1573</v>
      </c>
      <c r="EW222" s="315">
        <v>700</v>
      </c>
      <c r="EX222" s="315">
        <v>702</v>
      </c>
      <c r="EY222" s="315">
        <v>-2</v>
      </c>
      <c r="EZ222" s="315">
        <v>696734</v>
      </c>
      <c r="FA222" s="315">
        <v>314577</v>
      </c>
      <c r="FB222" s="315">
        <v>382157</v>
      </c>
      <c r="FC222" s="315">
        <v>386258</v>
      </c>
      <c r="FD222" s="315">
        <v>-4101</v>
      </c>
      <c r="FE222" s="315">
        <v>595364</v>
      </c>
      <c r="FF222" s="315">
        <v>349871</v>
      </c>
      <c r="FG222" s="315">
        <v>245493</v>
      </c>
      <c r="FH222" s="315">
        <v>259066</v>
      </c>
      <c r="FI222" s="315">
        <v>-13573</v>
      </c>
      <c r="FJ222" s="315">
        <v>130665</v>
      </c>
      <c r="FK222" s="315">
        <v>18930</v>
      </c>
      <c r="FL222" s="315">
        <v>111735</v>
      </c>
      <c r="FM222" s="315">
        <v>111735</v>
      </c>
      <c r="FN222" s="315"/>
      <c r="FO222" s="315"/>
      <c r="FP222" s="315"/>
      <c r="FQ222" s="315">
        <v>16</v>
      </c>
      <c r="FR222" s="315">
        <v>631804</v>
      </c>
      <c r="FS222" s="315">
        <v>-39811</v>
      </c>
      <c r="FT222" s="315">
        <v>591993</v>
      </c>
      <c r="FU222" s="315"/>
      <c r="FV222" s="315"/>
      <c r="FW222" s="315"/>
      <c r="FX222" s="315">
        <v>109367</v>
      </c>
      <c r="FY222" s="315">
        <v>117322</v>
      </c>
      <c r="FZ222" s="315"/>
      <c r="GA222" s="315"/>
      <c r="GB222" s="315">
        <v>17455</v>
      </c>
      <c r="GC222" s="315">
        <v>57674</v>
      </c>
      <c r="GD222" s="315">
        <v>-23320</v>
      </c>
      <c r="GE222" s="315"/>
      <c r="GF222" s="315">
        <v>80994</v>
      </c>
      <c r="GG222" s="315">
        <v>290175</v>
      </c>
      <c r="GH222" s="315">
        <v>206943</v>
      </c>
      <c r="GI222" s="315">
        <v>505</v>
      </c>
      <c r="GJ222" s="315">
        <v>82727</v>
      </c>
      <c r="GL222"/>
      <c r="GM222"/>
      <c r="GN222"/>
      <c r="GO222"/>
    </row>
    <row r="223" spans="1:197">
      <c r="A223" s="98" t="s">
        <v>30</v>
      </c>
      <c r="B223" s="98">
        <v>12</v>
      </c>
      <c r="C223" s="98" t="s">
        <v>228</v>
      </c>
      <c r="D223" s="315">
        <v>16978524</v>
      </c>
      <c r="E223" s="315">
        <v>-1940980</v>
      </c>
      <c r="F223" s="315">
        <v>-13267</v>
      </c>
      <c r="G223" s="315">
        <v>15024277</v>
      </c>
      <c r="H223" s="315">
        <v>9746542</v>
      </c>
      <c r="I223" s="315">
        <v>5277735</v>
      </c>
      <c r="J223" s="315">
        <v>5222704</v>
      </c>
      <c r="K223" s="315">
        <v>55031</v>
      </c>
      <c r="L223" s="315">
        <v>4982287</v>
      </c>
      <c r="M223" s="315">
        <v>4307532</v>
      </c>
      <c r="N223" s="315">
        <v>215994</v>
      </c>
      <c r="O223" s="315">
        <v>143358</v>
      </c>
      <c r="P223" s="315">
        <v>72636</v>
      </c>
      <c r="Q223" s="315">
        <v>33236</v>
      </c>
      <c r="R223" s="315">
        <v>425525</v>
      </c>
      <c r="S223" s="315">
        <v>-248371</v>
      </c>
      <c r="T223" s="315">
        <v>-236274</v>
      </c>
      <c r="U223" s="315">
        <v>-53647</v>
      </c>
      <c r="V223" s="315">
        <v>-25</v>
      </c>
      <c r="W223" s="315">
        <v>-166772</v>
      </c>
      <c r="X223" s="315">
        <v>0</v>
      </c>
      <c r="Y223" s="315">
        <v>-15830</v>
      </c>
      <c r="Z223" s="315">
        <v>-7839</v>
      </c>
      <c r="AA223" s="315">
        <v>-4258</v>
      </c>
      <c r="AB223" s="315">
        <v>0</v>
      </c>
      <c r="AC223" s="315">
        <v>-13267</v>
      </c>
      <c r="AD223" s="315">
        <v>4720649</v>
      </c>
      <c r="AE223" s="315">
        <v>2009706</v>
      </c>
      <c r="AF223" s="315">
        <v>2710943</v>
      </c>
      <c r="AG223" s="315">
        <v>2660384</v>
      </c>
      <c r="AH223" s="315">
        <v>50559</v>
      </c>
      <c r="AI223" s="315">
        <v>4304231</v>
      </c>
      <c r="AJ223" s="315">
        <v>1793215</v>
      </c>
      <c r="AK223" s="315">
        <v>2339773</v>
      </c>
      <c r="AL223" s="315">
        <v>6450</v>
      </c>
      <c r="AM223" s="315">
        <v>323574</v>
      </c>
      <c r="AN223" s="315">
        <v>59085</v>
      </c>
      <c r="AO223" s="315">
        <v>32732</v>
      </c>
      <c r="AP223" s="315"/>
      <c r="AQ223" s="315">
        <v>9177</v>
      </c>
      <c r="AR223" s="315">
        <v>-20280</v>
      </c>
      <c r="AS223" s="315">
        <v>25397</v>
      </c>
      <c r="AT223" s="315">
        <v>0</v>
      </c>
      <c r="AU223" s="315">
        <v>-13267</v>
      </c>
      <c r="AV223" s="315">
        <v>4322758</v>
      </c>
      <c r="AW223" s="315">
        <v>3622004</v>
      </c>
      <c r="AX223" s="315">
        <v>67147</v>
      </c>
      <c r="AY223" s="315">
        <v>10003</v>
      </c>
      <c r="AZ223" s="315">
        <v>11506</v>
      </c>
      <c r="BA223" s="315">
        <v>6151</v>
      </c>
      <c r="BB223" s="315">
        <v>39487</v>
      </c>
      <c r="BC223" s="315">
        <v>460930</v>
      </c>
      <c r="BD223" s="315">
        <v>172677</v>
      </c>
      <c r="BE223" s="315">
        <v>-78579</v>
      </c>
      <c r="BF223" s="315">
        <v>-75538</v>
      </c>
      <c r="BG223" s="315">
        <v>-61993</v>
      </c>
      <c r="BH223" s="315">
        <v>-13545</v>
      </c>
      <c r="BI223" s="315">
        <v>-50381</v>
      </c>
      <c r="BJ223" s="315">
        <v>-5143</v>
      </c>
      <c r="BK223" s="315">
        <v>-20014</v>
      </c>
      <c r="BL223" s="315">
        <v>-1093</v>
      </c>
      <c r="BM223" s="315">
        <v>-1948</v>
      </c>
      <c r="BN223" s="315">
        <v>4244179</v>
      </c>
      <c r="BO223" s="315">
        <v>135944</v>
      </c>
      <c r="BP223" s="315">
        <v>16953</v>
      </c>
      <c r="BQ223" s="315">
        <v>13923</v>
      </c>
      <c r="BR223" s="315"/>
      <c r="BS223" s="315">
        <v>3621267</v>
      </c>
      <c r="BT223" s="315">
        <v>1181948</v>
      </c>
      <c r="BU223" s="315">
        <v>1822302</v>
      </c>
      <c r="BV223" s="315">
        <v>601968</v>
      </c>
      <c r="BW223" s="315">
        <v>15049</v>
      </c>
      <c r="BX223" s="315">
        <v>5154</v>
      </c>
      <c r="BY223" s="315">
        <v>447385</v>
      </c>
      <c r="BZ223" s="315">
        <v>3553</v>
      </c>
      <c r="CA223" s="315">
        <v>153788</v>
      </c>
      <c r="CB223" s="315">
        <v>-14380</v>
      </c>
      <c r="CC223" s="315">
        <v>-12786</v>
      </c>
      <c r="CD223" s="315">
        <v>-1594</v>
      </c>
      <c r="CE223" s="315">
        <v>139408</v>
      </c>
      <c r="CF223" s="315">
        <v>117638</v>
      </c>
      <c r="CG223" s="315">
        <v>10764</v>
      </c>
      <c r="CH223" s="315">
        <v>11006</v>
      </c>
      <c r="CI223" s="315">
        <v>4734534</v>
      </c>
      <c r="CJ223" s="315">
        <v>782211</v>
      </c>
      <c r="CK223" s="315">
        <v>3952323</v>
      </c>
      <c r="CL223" s="315">
        <v>3520760</v>
      </c>
      <c r="CM223" s="315">
        <v>56368</v>
      </c>
      <c r="CN223" s="315">
        <v>375195</v>
      </c>
      <c r="CO223" s="315">
        <v>0</v>
      </c>
      <c r="CP223" s="315">
        <v>0</v>
      </c>
      <c r="CQ223" s="315">
        <v>375195</v>
      </c>
      <c r="CR223" s="315">
        <v>-1499387</v>
      </c>
      <c r="CS223" s="315">
        <v>-140376</v>
      </c>
      <c r="CT223" s="315">
        <v>-101813</v>
      </c>
      <c r="CU223" s="315">
        <v>-12185</v>
      </c>
      <c r="CV223" s="315">
        <v>-138</v>
      </c>
      <c r="CW223" s="315">
        <v>-26240</v>
      </c>
      <c r="CX223" s="315">
        <v>-753321</v>
      </c>
      <c r="CY223" s="315">
        <v>-745775</v>
      </c>
      <c r="CZ223" s="315">
        <v>-6859</v>
      </c>
      <c r="DA223" s="315">
        <v>-687</v>
      </c>
      <c r="DB223" s="315">
        <v>-382162</v>
      </c>
      <c r="DC223" s="315">
        <v>-223528</v>
      </c>
      <c r="DD223" s="315">
        <v>3235147</v>
      </c>
      <c r="DE223" s="315">
        <v>1471199</v>
      </c>
      <c r="DF223" s="315">
        <v>1763948</v>
      </c>
      <c r="DG223" s="315">
        <v>1760710</v>
      </c>
      <c r="DH223" s="315">
        <v>3238</v>
      </c>
      <c r="DI223" s="315">
        <v>1525470</v>
      </c>
      <c r="DJ223" s="315">
        <v>66290</v>
      </c>
      <c r="DK223" s="315">
        <v>23515</v>
      </c>
      <c r="DL223" s="315">
        <v>887</v>
      </c>
      <c r="DM223" s="315">
        <v>719659</v>
      </c>
      <c r="DN223" s="315">
        <v>582950</v>
      </c>
      <c r="DO223" s="315">
        <v>132105</v>
      </c>
      <c r="DP223" s="315"/>
      <c r="DQ223" s="315"/>
      <c r="DR223" s="315">
        <v>64</v>
      </c>
      <c r="DS223" s="315">
        <v>-61673</v>
      </c>
      <c r="DT223" s="315">
        <v>-5938</v>
      </c>
      <c r="DU223" s="315">
        <v>-3721</v>
      </c>
      <c r="DV223" s="315">
        <v>-5</v>
      </c>
      <c r="DW223" s="315">
        <v>-2976</v>
      </c>
      <c r="DX223" s="315">
        <v>-1801</v>
      </c>
      <c r="DY223" s="315">
        <v>-569</v>
      </c>
      <c r="DZ223" s="315">
        <v>-606</v>
      </c>
      <c r="EA223" s="315">
        <v>-49012</v>
      </c>
      <c r="EB223" s="315">
        <v>-1</v>
      </c>
      <c r="EC223" s="315"/>
      <c r="ED223" s="315"/>
      <c r="EE223" s="315">
        <v>-20</v>
      </c>
      <c r="EF223" s="315">
        <v>1463797</v>
      </c>
      <c r="EG223" s="315">
        <v>660953</v>
      </c>
      <c r="EH223" s="315">
        <v>802844</v>
      </c>
      <c r="EI223" s="315">
        <v>801610</v>
      </c>
      <c r="EJ223" s="315">
        <v>1234</v>
      </c>
      <c r="EK223" s="315">
        <v>60352</v>
      </c>
      <c r="EL223" s="315">
        <v>28778</v>
      </c>
      <c r="EM223" s="315">
        <v>31574</v>
      </c>
      <c r="EN223" s="315">
        <v>31570</v>
      </c>
      <c r="EO223" s="315">
        <v>4</v>
      </c>
      <c r="EP223" s="315">
        <v>19794</v>
      </c>
      <c r="EQ223" s="315">
        <v>7510</v>
      </c>
      <c r="ER223" s="315">
        <v>12284</v>
      </c>
      <c r="ES223" s="315">
        <v>12280</v>
      </c>
      <c r="ET223" s="315">
        <v>4</v>
      </c>
      <c r="EU223" s="315">
        <v>882</v>
      </c>
      <c r="EV223" s="315">
        <v>177</v>
      </c>
      <c r="EW223" s="315">
        <v>705</v>
      </c>
      <c r="EX223" s="315">
        <v>703</v>
      </c>
      <c r="EY223" s="315">
        <v>2</v>
      </c>
      <c r="EZ223" s="315">
        <v>716683</v>
      </c>
      <c r="FA223" s="315">
        <v>329569</v>
      </c>
      <c r="FB223" s="315">
        <v>387114</v>
      </c>
      <c r="FC223" s="315">
        <v>386259</v>
      </c>
      <c r="FD223" s="315">
        <v>855</v>
      </c>
      <c r="FE223" s="315">
        <v>533938</v>
      </c>
      <c r="FF223" s="315">
        <v>274505</v>
      </c>
      <c r="FG223" s="315">
        <v>259433</v>
      </c>
      <c r="FH223" s="315">
        <v>259064</v>
      </c>
      <c r="FI223" s="315">
        <v>369</v>
      </c>
      <c r="FJ223" s="315">
        <v>132104</v>
      </c>
      <c r="FK223" s="315">
        <v>20370</v>
      </c>
      <c r="FL223" s="315">
        <v>111734</v>
      </c>
      <c r="FM223" s="315">
        <v>111734</v>
      </c>
      <c r="FN223" s="315"/>
      <c r="FO223" s="315"/>
      <c r="FP223" s="315"/>
      <c r="FQ223" s="315">
        <v>44</v>
      </c>
      <c r="FR223" s="315">
        <v>1259687</v>
      </c>
      <c r="FS223" s="315">
        <v>-38590</v>
      </c>
      <c r="FT223" s="315">
        <v>1221097</v>
      </c>
      <c r="FU223" s="315"/>
      <c r="FV223" s="315"/>
      <c r="FW223" s="315"/>
      <c r="FX223" s="315">
        <v>101042</v>
      </c>
      <c r="FY223" s="315">
        <v>106793</v>
      </c>
      <c r="FZ223" s="315"/>
      <c r="GA223" s="315"/>
      <c r="GB223" s="315">
        <v>13070</v>
      </c>
      <c r="GC223" s="315">
        <v>10097</v>
      </c>
      <c r="GD223" s="315">
        <v>-27358</v>
      </c>
      <c r="GE223" s="315"/>
      <c r="GF223" s="315">
        <v>37455</v>
      </c>
      <c r="GG223" s="315">
        <v>990095</v>
      </c>
      <c r="GH223" s="315">
        <v>894756</v>
      </c>
      <c r="GI223" s="315">
        <v>321</v>
      </c>
      <c r="GJ223" s="315">
        <v>95018</v>
      </c>
      <c r="GL223"/>
      <c r="GM223"/>
      <c r="GN223"/>
      <c r="GO223"/>
    </row>
    <row r="224" spans="1:197">
      <c r="A224" s="96" t="s">
        <v>31</v>
      </c>
      <c r="B224" s="96">
        <v>1</v>
      </c>
      <c r="C224" s="97" t="s">
        <v>217</v>
      </c>
      <c r="D224" s="314">
        <v>16127409</v>
      </c>
      <c r="E224" s="314">
        <v>-5434864</v>
      </c>
      <c r="F224" s="314">
        <v>-101130</v>
      </c>
      <c r="G224" s="314">
        <v>10591415</v>
      </c>
      <c r="H224" s="314">
        <v>4640655</v>
      </c>
      <c r="I224" s="314">
        <v>5950760</v>
      </c>
      <c r="J224" s="314">
        <v>5828344</v>
      </c>
      <c r="K224" s="314">
        <v>122416</v>
      </c>
      <c r="L224" s="314">
        <v>9958083</v>
      </c>
      <c r="M224" s="314">
        <v>8605713</v>
      </c>
      <c r="N224" s="314">
        <v>131106</v>
      </c>
      <c r="O224" s="314">
        <v>0</v>
      </c>
      <c r="P224" s="314">
        <v>131106</v>
      </c>
      <c r="Q224" s="314">
        <v>36361</v>
      </c>
      <c r="R224" s="314">
        <v>1184903</v>
      </c>
      <c r="S224" s="314">
        <v>-625417</v>
      </c>
      <c r="T224" s="314">
        <v>-609441</v>
      </c>
      <c r="U224" s="314">
        <v>0</v>
      </c>
      <c r="V224" s="314">
        <v>-54938</v>
      </c>
      <c r="W224" s="314">
        <v>0</v>
      </c>
      <c r="X224" s="314">
        <v>-535976</v>
      </c>
      <c r="Y224" s="314">
        <v>-18527</v>
      </c>
      <c r="Z224" s="314">
        <v>-11101</v>
      </c>
      <c r="AA224" s="314">
        <v>-4875</v>
      </c>
      <c r="AB224" s="314">
        <v>0</v>
      </c>
      <c r="AC224" s="314">
        <v>-101130</v>
      </c>
      <c r="AD224" s="314">
        <v>9231536</v>
      </c>
      <c r="AE224" s="314">
        <v>6457670</v>
      </c>
      <c r="AF224" s="314">
        <v>2773866</v>
      </c>
      <c r="AG224" s="314">
        <v>2715606</v>
      </c>
      <c r="AH224" s="314">
        <v>58260</v>
      </c>
      <c r="AI224" s="314">
        <v>8601347</v>
      </c>
      <c r="AJ224" s="314">
        <v>1387530</v>
      </c>
      <c r="AK224" s="314">
        <v>3207175</v>
      </c>
      <c r="AL224" s="314">
        <v>3809082</v>
      </c>
      <c r="AM224" s="314">
        <v>685186</v>
      </c>
      <c r="AN224" s="314">
        <v>384296</v>
      </c>
      <c r="AO224" s="314">
        <v>48555</v>
      </c>
      <c r="AP224" s="314">
        <v>0</v>
      </c>
      <c r="AQ224" s="314">
        <v>66357</v>
      </c>
      <c r="AR224" s="314">
        <v>-478335</v>
      </c>
      <c r="AS224" s="314">
        <v>25260</v>
      </c>
      <c r="AT224" s="314">
        <v>0</v>
      </c>
      <c r="AU224" s="314">
        <v>-101130</v>
      </c>
      <c r="AV224" s="314">
        <v>1596905</v>
      </c>
      <c r="AW224" s="314">
        <v>39306</v>
      </c>
      <c r="AX224" s="314">
        <v>68425</v>
      </c>
      <c r="AY224" s="314">
        <v>16612</v>
      </c>
      <c r="AZ224" s="314">
        <v>5381</v>
      </c>
      <c r="BA224" s="314">
        <v>11210</v>
      </c>
      <c r="BB224" s="314">
        <v>35222</v>
      </c>
      <c r="BC224" s="314">
        <v>144819</v>
      </c>
      <c r="BD224" s="314">
        <v>1344355</v>
      </c>
      <c r="BE224" s="314">
        <v>-2730564</v>
      </c>
      <c r="BF224" s="314">
        <v>-2728341</v>
      </c>
      <c r="BG224" s="314">
        <v>-2682199</v>
      </c>
      <c r="BH224" s="314">
        <v>-46142</v>
      </c>
      <c r="BI224" s="314">
        <v>0</v>
      </c>
      <c r="BJ224" s="314">
        <v>-2665033</v>
      </c>
      <c r="BK224" s="314">
        <v>-63308</v>
      </c>
      <c r="BL224" s="314">
        <v>-1705</v>
      </c>
      <c r="BM224" s="314">
        <v>-518</v>
      </c>
      <c r="BN224" s="314">
        <v>-1133659</v>
      </c>
      <c r="BO224" s="314">
        <v>1155572</v>
      </c>
      <c r="BP224" s="314">
        <v>158473</v>
      </c>
      <c r="BQ224" s="314">
        <v>20671</v>
      </c>
      <c r="BR224" s="314">
        <v>0</v>
      </c>
      <c r="BS224" s="314">
        <v>37731</v>
      </c>
      <c r="BT224" s="314">
        <v>1624</v>
      </c>
      <c r="BU224" s="314">
        <v>81</v>
      </c>
      <c r="BV224" s="314">
        <v>10113</v>
      </c>
      <c r="BW224" s="314">
        <v>25913</v>
      </c>
      <c r="BX224" s="314">
        <v>-2613774</v>
      </c>
      <c r="BY224" s="314">
        <v>98677</v>
      </c>
      <c r="BZ224" s="314">
        <v>8991</v>
      </c>
      <c r="CA224" s="314">
        <v>922028</v>
      </c>
      <c r="CB224" s="314">
        <v>-57792</v>
      </c>
      <c r="CC224" s="314">
        <v>-55508</v>
      </c>
      <c r="CD224" s="314">
        <v>-2284</v>
      </c>
      <c r="CE224" s="314">
        <v>864236</v>
      </c>
      <c r="CF224" s="314">
        <v>188383</v>
      </c>
      <c r="CG224" s="314">
        <v>62</v>
      </c>
      <c r="CH224" s="314">
        <v>675791</v>
      </c>
      <c r="CI224" s="314">
        <v>1641811</v>
      </c>
      <c r="CJ224" s="314">
        <v>754445</v>
      </c>
      <c r="CK224" s="314">
        <v>887366</v>
      </c>
      <c r="CL224" s="314">
        <v>197717</v>
      </c>
      <c r="CM224" s="314">
        <v>263355</v>
      </c>
      <c r="CN224" s="314">
        <v>426294</v>
      </c>
      <c r="CO224" s="314">
        <v>0</v>
      </c>
      <c r="CP224" s="314">
        <v>0</v>
      </c>
      <c r="CQ224" s="314">
        <v>426294</v>
      </c>
      <c r="CR224" s="314">
        <v>-1973457</v>
      </c>
      <c r="CS224" s="314">
        <v>-271546</v>
      </c>
      <c r="CT224" s="314">
        <v>0</v>
      </c>
      <c r="CU224" s="314">
        <v>-179440</v>
      </c>
      <c r="CV224" s="314">
        <v>-144</v>
      </c>
      <c r="CW224" s="314">
        <v>-91962</v>
      </c>
      <c r="CX224" s="314">
        <v>-1701911</v>
      </c>
      <c r="CY224" s="314">
        <v>0</v>
      </c>
      <c r="CZ224" s="314">
        <v>-1641375</v>
      </c>
      <c r="DA224" s="314">
        <v>-60536</v>
      </c>
      <c r="DB224" s="314">
        <v>0</v>
      </c>
      <c r="DC224" s="314">
        <v>0</v>
      </c>
      <c r="DD224" s="314">
        <v>-331646</v>
      </c>
      <c r="DE224" s="314">
        <v>-2475709</v>
      </c>
      <c r="DF224" s="314">
        <v>2144063</v>
      </c>
      <c r="DG224" s="314">
        <v>2096646</v>
      </c>
      <c r="DH224" s="314">
        <v>47417</v>
      </c>
      <c r="DI224" s="314">
        <v>1631602</v>
      </c>
      <c r="DJ224" s="314">
        <v>39997</v>
      </c>
      <c r="DK224" s="314">
        <v>24425</v>
      </c>
      <c r="DL224" s="314">
        <v>1028</v>
      </c>
      <c r="DM224" s="314">
        <v>678700</v>
      </c>
      <c r="DN224" s="314">
        <v>769194</v>
      </c>
      <c r="DO224" s="314">
        <v>118228</v>
      </c>
      <c r="DP224" s="314"/>
      <c r="DQ224" s="314"/>
      <c r="DR224" s="314">
        <v>30</v>
      </c>
      <c r="DS224" s="314">
        <v>-6131</v>
      </c>
      <c r="DT224" s="314">
        <v>-1882</v>
      </c>
      <c r="DU224" s="314">
        <v>-23</v>
      </c>
      <c r="DV224" s="314">
        <v>-4</v>
      </c>
      <c r="DW224" s="314">
        <v>-3344</v>
      </c>
      <c r="DX224" s="314">
        <v>-67</v>
      </c>
      <c r="DY224" s="314">
        <v>-306</v>
      </c>
      <c r="DZ224" s="314">
        <v>-2971</v>
      </c>
      <c r="EA224" s="314">
        <v>0</v>
      </c>
      <c r="EB224" s="314">
        <v>-713</v>
      </c>
      <c r="EC224" s="314"/>
      <c r="ED224" s="314"/>
      <c r="EE224" s="314">
        <v>-165</v>
      </c>
      <c r="EF224" s="314">
        <v>1625471</v>
      </c>
      <c r="EG224" s="314">
        <v>592640</v>
      </c>
      <c r="EH224" s="314">
        <v>1032831</v>
      </c>
      <c r="EI224" s="314">
        <v>1016092</v>
      </c>
      <c r="EJ224" s="314">
        <v>16739</v>
      </c>
      <c r="EK224" s="314">
        <v>38115</v>
      </c>
      <c r="EL224" s="314">
        <v>3913</v>
      </c>
      <c r="EM224" s="314">
        <v>34202</v>
      </c>
      <c r="EN224" s="314">
        <v>33464</v>
      </c>
      <c r="EO224" s="314">
        <v>738</v>
      </c>
      <c r="EP224" s="314">
        <v>24402</v>
      </c>
      <c r="EQ224" s="314">
        <v>11039</v>
      </c>
      <c r="ER224" s="314">
        <v>13363</v>
      </c>
      <c r="ES224" s="314">
        <v>13087</v>
      </c>
      <c r="ET224" s="314">
        <v>276</v>
      </c>
      <c r="EU224" s="314">
        <v>1024</v>
      </c>
      <c r="EV224" s="314">
        <v>256</v>
      </c>
      <c r="EW224" s="314">
        <v>768</v>
      </c>
      <c r="EX224" s="314">
        <v>750</v>
      </c>
      <c r="EY224" s="314">
        <v>18</v>
      </c>
      <c r="EZ224" s="314">
        <v>675356</v>
      </c>
      <c r="FA224" s="314">
        <v>154244</v>
      </c>
      <c r="FB224" s="314">
        <v>521112</v>
      </c>
      <c r="FC224" s="314">
        <v>512750</v>
      </c>
      <c r="FD224" s="314">
        <v>8362</v>
      </c>
      <c r="FE224" s="314">
        <v>769194</v>
      </c>
      <c r="FF224" s="314">
        <v>426761</v>
      </c>
      <c r="FG224" s="314">
        <v>342433</v>
      </c>
      <c r="FH224" s="314">
        <v>335088</v>
      </c>
      <c r="FI224" s="314">
        <v>7345</v>
      </c>
      <c r="FJ224" s="314">
        <v>117515</v>
      </c>
      <c r="FK224" s="314">
        <v>-3438</v>
      </c>
      <c r="FL224" s="314">
        <v>120953</v>
      </c>
      <c r="FM224" s="314">
        <v>120953</v>
      </c>
      <c r="FN224" s="314"/>
      <c r="FO224" s="314"/>
      <c r="FP224" s="314"/>
      <c r="FQ224" s="314">
        <v>-135</v>
      </c>
      <c r="FR224" s="314">
        <v>376980</v>
      </c>
      <c r="FS224" s="314">
        <v>-41503</v>
      </c>
      <c r="FT224" s="314">
        <v>335477</v>
      </c>
      <c r="FU224" s="314"/>
      <c r="FV224" s="314"/>
      <c r="FW224" s="314"/>
      <c r="FX224" s="314">
        <v>104686</v>
      </c>
      <c r="FY224" s="314">
        <v>114687</v>
      </c>
      <c r="FZ224" s="314"/>
      <c r="GA224" s="314"/>
      <c r="GB224" s="314">
        <v>0</v>
      </c>
      <c r="GC224" s="314">
        <v>20471</v>
      </c>
      <c r="GD224" s="314">
        <v>-27030</v>
      </c>
      <c r="GE224" s="314"/>
      <c r="GF224" s="314">
        <v>47501</v>
      </c>
      <c r="GG224" s="314">
        <v>95633</v>
      </c>
      <c r="GH224" s="314">
        <v>7910</v>
      </c>
      <c r="GI224" s="314">
        <v>361</v>
      </c>
      <c r="GJ224" s="314">
        <v>87362</v>
      </c>
      <c r="GL224"/>
      <c r="GM224"/>
      <c r="GN224"/>
      <c r="GO224"/>
    </row>
    <row r="225" spans="1:197">
      <c r="A225" s="98" t="s">
        <v>31</v>
      </c>
      <c r="B225" s="98">
        <v>2</v>
      </c>
      <c r="C225" s="98" t="s">
        <v>218</v>
      </c>
      <c r="D225" s="315">
        <v>21117830</v>
      </c>
      <c r="E225" s="315">
        <v>-4274489</v>
      </c>
      <c r="F225" s="315">
        <v>-13266</v>
      </c>
      <c r="G225" s="315">
        <v>16830075</v>
      </c>
      <c r="H225" s="315">
        <v>10877319</v>
      </c>
      <c r="I225" s="315">
        <v>5952756</v>
      </c>
      <c r="J225" s="315">
        <v>5828347</v>
      </c>
      <c r="K225" s="315">
        <v>124409</v>
      </c>
      <c r="L225" s="315">
        <v>5004434</v>
      </c>
      <c r="M225" s="315">
        <v>4013966</v>
      </c>
      <c r="N225" s="315">
        <v>86362</v>
      </c>
      <c r="O225" s="315">
        <v>0</v>
      </c>
      <c r="P225" s="315">
        <v>86362</v>
      </c>
      <c r="Q225" s="315">
        <v>39420</v>
      </c>
      <c r="R225" s="315">
        <v>864686</v>
      </c>
      <c r="S225" s="315">
        <v>-193527</v>
      </c>
      <c r="T225" s="315">
        <v>-181609</v>
      </c>
      <c r="U225" s="315">
        <v>-51968</v>
      </c>
      <c r="V225" s="315">
        <v>-1694</v>
      </c>
      <c r="W225" s="315">
        <v>0</v>
      </c>
      <c r="X225" s="315">
        <v>-106670</v>
      </c>
      <c r="Y225" s="315">
        <v>-21277</v>
      </c>
      <c r="Z225" s="315">
        <v>-6450</v>
      </c>
      <c r="AA225" s="315">
        <v>-5468</v>
      </c>
      <c r="AB225" s="315">
        <v>0</v>
      </c>
      <c r="AC225" s="315">
        <v>-13266</v>
      </c>
      <c r="AD225" s="315">
        <v>4797641</v>
      </c>
      <c r="AE225" s="315">
        <v>2021844</v>
      </c>
      <c r="AF225" s="315">
        <v>2775797</v>
      </c>
      <c r="AG225" s="315">
        <v>2715606</v>
      </c>
      <c r="AH225" s="315">
        <v>60191</v>
      </c>
      <c r="AI225" s="315">
        <v>4010201</v>
      </c>
      <c r="AJ225" s="315">
        <v>1414545</v>
      </c>
      <c r="AK225" s="315">
        <v>2355887</v>
      </c>
      <c r="AL225" s="315">
        <v>27040</v>
      </c>
      <c r="AM225" s="315">
        <v>357271</v>
      </c>
      <c r="AN225" s="315">
        <v>58325</v>
      </c>
      <c r="AO225" s="315">
        <v>24450</v>
      </c>
      <c r="AP225" s="315">
        <v>39169</v>
      </c>
      <c r="AQ225" s="315">
        <v>383793</v>
      </c>
      <c r="AR225" s="315">
        <v>-95247</v>
      </c>
      <c r="AS225" s="315">
        <v>32970</v>
      </c>
      <c r="AT225" s="315">
        <v>-25</v>
      </c>
      <c r="AU225" s="315">
        <v>-13266</v>
      </c>
      <c r="AV225" s="315">
        <v>397803</v>
      </c>
      <c r="AW225" s="315">
        <v>26256</v>
      </c>
      <c r="AX225" s="315">
        <v>84681</v>
      </c>
      <c r="AY225" s="315">
        <v>28059</v>
      </c>
      <c r="AZ225" s="315">
        <v>15992</v>
      </c>
      <c r="BA225" s="315">
        <v>7684</v>
      </c>
      <c r="BB225" s="315">
        <v>32946</v>
      </c>
      <c r="BC225" s="315">
        <v>106345</v>
      </c>
      <c r="BD225" s="315">
        <v>180521</v>
      </c>
      <c r="BE225" s="315">
        <v>-1513694</v>
      </c>
      <c r="BF225" s="315">
        <v>-663595</v>
      </c>
      <c r="BG225" s="315">
        <v>-640436</v>
      </c>
      <c r="BH225" s="315">
        <v>-23159</v>
      </c>
      <c r="BI225" s="315">
        <v>0</v>
      </c>
      <c r="BJ225" s="315">
        <v>-623459.99999999988</v>
      </c>
      <c r="BK225" s="315">
        <v>-40135.000000000116</v>
      </c>
      <c r="BL225" s="315">
        <v>-1224</v>
      </c>
      <c r="BM225" s="315">
        <v>-848875</v>
      </c>
      <c r="BN225" s="315">
        <v>-1115891</v>
      </c>
      <c r="BO225" s="315">
        <v>-698662</v>
      </c>
      <c r="BP225" s="315">
        <v>19283</v>
      </c>
      <c r="BQ225" s="315">
        <v>10366</v>
      </c>
      <c r="BR225" s="315">
        <v>0</v>
      </c>
      <c r="BS225" s="315">
        <v>25690</v>
      </c>
      <c r="BT225" s="315">
        <v>3195</v>
      </c>
      <c r="BU225" s="315">
        <v>82</v>
      </c>
      <c r="BV225" s="315">
        <v>1858</v>
      </c>
      <c r="BW225" s="315">
        <v>20555</v>
      </c>
      <c r="BX225" s="315">
        <v>-555755</v>
      </c>
      <c r="BY225" s="315">
        <v>83186</v>
      </c>
      <c r="BZ225" s="315">
        <v>1</v>
      </c>
      <c r="CA225" s="315">
        <v>162045</v>
      </c>
      <c r="CB225" s="315">
        <v>-727629</v>
      </c>
      <c r="CC225" s="315">
        <v>-33095</v>
      </c>
      <c r="CD225" s="315">
        <v>-694534</v>
      </c>
      <c r="CE225" s="315">
        <v>-565584</v>
      </c>
      <c r="CF225" s="315">
        <v>144261</v>
      </c>
      <c r="CG225" s="315">
        <v>31</v>
      </c>
      <c r="CH225" s="315">
        <v>-709876</v>
      </c>
      <c r="CI225" s="315">
        <v>13723983</v>
      </c>
      <c r="CJ225" s="315">
        <v>751233</v>
      </c>
      <c r="CK225" s="315">
        <v>12972750</v>
      </c>
      <c r="CL225" s="315">
        <v>7922369</v>
      </c>
      <c r="CM225" s="315">
        <v>4560539</v>
      </c>
      <c r="CN225" s="315">
        <v>489842</v>
      </c>
      <c r="CO225" s="315">
        <v>0</v>
      </c>
      <c r="CP225" s="315">
        <v>0</v>
      </c>
      <c r="CQ225" s="315">
        <v>489842</v>
      </c>
      <c r="CR225" s="315">
        <v>-1782371</v>
      </c>
      <c r="CS225" s="315">
        <v>-196702</v>
      </c>
      <c r="CT225" s="315">
        <v>-52</v>
      </c>
      <c r="CU225" s="315">
        <v>-102622</v>
      </c>
      <c r="CV225" s="315">
        <v>-596</v>
      </c>
      <c r="CW225" s="315">
        <v>-93432</v>
      </c>
      <c r="CX225" s="315">
        <v>-1585669</v>
      </c>
      <c r="CY225" s="315">
        <v>-690</v>
      </c>
      <c r="CZ225" s="315">
        <v>-1578906</v>
      </c>
      <c r="DA225" s="315">
        <v>-6073</v>
      </c>
      <c r="DB225" s="315">
        <v>0</v>
      </c>
      <c r="DC225" s="315">
        <v>0</v>
      </c>
      <c r="DD225" s="315">
        <v>11941612</v>
      </c>
      <c r="DE225" s="315">
        <v>9797546</v>
      </c>
      <c r="DF225" s="315">
        <v>2144066</v>
      </c>
      <c r="DG225" s="315">
        <v>2096648</v>
      </c>
      <c r="DH225" s="315">
        <v>47418</v>
      </c>
      <c r="DI225" s="315">
        <v>1370478</v>
      </c>
      <c r="DJ225" s="315">
        <v>86402</v>
      </c>
      <c r="DK225" s="315">
        <v>20908</v>
      </c>
      <c r="DL225" s="315">
        <v>2618</v>
      </c>
      <c r="DM225" s="315">
        <v>769069</v>
      </c>
      <c r="DN225" s="315">
        <v>356050</v>
      </c>
      <c r="DO225" s="315">
        <v>135372</v>
      </c>
      <c r="DP225" s="315"/>
      <c r="DQ225" s="315"/>
      <c r="DR225" s="315">
        <v>59</v>
      </c>
      <c r="DS225" s="315">
        <v>-5690</v>
      </c>
      <c r="DT225" s="315">
        <v>-2182</v>
      </c>
      <c r="DU225" s="315">
        <v>-107</v>
      </c>
      <c r="DV225" s="315">
        <v>-51</v>
      </c>
      <c r="DW225" s="315">
        <v>-3209</v>
      </c>
      <c r="DX225" s="315">
        <v>-22</v>
      </c>
      <c r="DY225" s="315">
        <v>-488</v>
      </c>
      <c r="DZ225" s="315">
        <v>-2699</v>
      </c>
      <c r="EA225" s="315">
        <v>0</v>
      </c>
      <c r="EB225" s="315">
        <v>-118</v>
      </c>
      <c r="EC225" s="315"/>
      <c r="ED225" s="315"/>
      <c r="EE225" s="315">
        <v>-23</v>
      </c>
      <c r="EF225" s="315">
        <v>1364788</v>
      </c>
      <c r="EG225" s="315">
        <v>331895</v>
      </c>
      <c r="EH225" s="315">
        <v>1032893</v>
      </c>
      <c r="EI225" s="315">
        <v>1016093</v>
      </c>
      <c r="EJ225" s="315">
        <v>16800</v>
      </c>
      <c r="EK225" s="315">
        <v>84220</v>
      </c>
      <c r="EL225" s="315">
        <v>50018</v>
      </c>
      <c r="EM225" s="315">
        <v>34202</v>
      </c>
      <c r="EN225" s="315">
        <v>33464</v>
      </c>
      <c r="EO225" s="315">
        <v>738</v>
      </c>
      <c r="EP225" s="315">
        <v>20801</v>
      </c>
      <c r="EQ225" s="315">
        <v>7442</v>
      </c>
      <c r="ER225" s="315">
        <v>13359</v>
      </c>
      <c r="ES225" s="315">
        <v>13086</v>
      </c>
      <c r="ET225" s="315">
        <v>273</v>
      </c>
      <c r="EU225" s="315">
        <v>2567</v>
      </c>
      <c r="EV225" s="315">
        <v>1801</v>
      </c>
      <c r="EW225" s="315">
        <v>766</v>
      </c>
      <c r="EX225" s="315">
        <v>750</v>
      </c>
      <c r="EY225" s="315">
        <v>16</v>
      </c>
      <c r="EZ225" s="315">
        <v>765860</v>
      </c>
      <c r="FA225" s="315">
        <v>244746</v>
      </c>
      <c r="FB225" s="315">
        <v>521114</v>
      </c>
      <c r="FC225" s="315">
        <v>512750</v>
      </c>
      <c r="FD225" s="315">
        <v>8364</v>
      </c>
      <c r="FE225" s="315">
        <v>356050</v>
      </c>
      <c r="FF225" s="315">
        <v>13552</v>
      </c>
      <c r="FG225" s="315">
        <v>342498</v>
      </c>
      <c r="FH225" s="315">
        <v>335089</v>
      </c>
      <c r="FI225" s="315">
        <v>7409</v>
      </c>
      <c r="FJ225" s="315">
        <v>135254</v>
      </c>
      <c r="FK225" s="315">
        <v>14300</v>
      </c>
      <c r="FL225" s="315">
        <v>120954</v>
      </c>
      <c r="FM225" s="315">
        <v>120954</v>
      </c>
      <c r="FN225" s="315"/>
      <c r="FO225" s="315"/>
      <c r="FP225" s="315"/>
      <c r="FQ225" s="315">
        <v>36</v>
      </c>
      <c r="FR225" s="315">
        <v>459087</v>
      </c>
      <c r="FS225" s="315">
        <v>-51578</v>
      </c>
      <c r="FT225" s="315">
        <v>407509</v>
      </c>
      <c r="FU225" s="315"/>
      <c r="FV225" s="315"/>
      <c r="FW225" s="315"/>
      <c r="FX225" s="315">
        <v>105035</v>
      </c>
      <c r="FY225" s="315">
        <v>118508</v>
      </c>
      <c r="FZ225" s="315"/>
      <c r="GA225" s="315"/>
      <c r="GB225" s="315">
        <v>27585</v>
      </c>
      <c r="GC225" s="315">
        <v>70168</v>
      </c>
      <c r="GD225" s="315">
        <v>-25877</v>
      </c>
      <c r="GE225" s="315"/>
      <c r="GF225" s="315">
        <v>96045</v>
      </c>
      <c r="GG225" s="315">
        <v>86213</v>
      </c>
      <c r="GH225" s="315">
        <v>11588</v>
      </c>
      <c r="GI225" s="315">
        <v>276</v>
      </c>
      <c r="GJ225" s="315">
        <v>74349</v>
      </c>
      <c r="GL225"/>
      <c r="GM225"/>
      <c r="GN225"/>
      <c r="GO225"/>
    </row>
    <row r="226" spans="1:197">
      <c r="A226" s="98" t="s">
        <v>31</v>
      </c>
      <c r="B226" s="98">
        <v>3</v>
      </c>
      <c r="C226" s="98" t="s">
        <v>219</v>
      </c>
      <c r="D226" s="315">
        <v>12049038</v>
      </c>
      <c r="E226" s="315">
        <v>-3107802</v>
      </c>
      <c r="F226" s="315">
        <v>-13266</v>
      </c>
      <c r="G226" s="315">
        <v>8927970</v>
      </c>
      <c r="H226" s="315">
        <v>2975220</v>
      </c>
      <c r="I226" s="315">
        <v>5952750</v>
      </c>
      <c r="J226" s="315">
        <v>5828344</v>
      </c>
      <c r="K226" s="315">
        <v>124406</v>
      </c>
      <c r="L226" s="315">
        <v>4906317</v>
      </c>
      <c r="M226" s="315">
        <v>4395092</v>
      </c>
      <c r="N226" s="315">
        <v>94114</v>
      </c>
      <c r="O226" s="315">
        <v>0</v>
      </c>
      <c r="P226" s="315">
        <v>94114</v>
      </c>
      <c r="Q226" s="315">
        <v>31842</v>
      </c>
      <c r="R226" s="315">
        <v>385269</v>
      </c>
      <c r="S226" s="315">
        <v>-144311</v>
      </c>
      <c r="T226" s="315">
        <v>-129127</v>
      </c>
      <c r="U226" s="315">
        <v>-49713</v>
      </c>
      <c r="V226" s="315">
        <v>-455</v>
      </c>
      <c r="W226" s="315">
        <v>0</v>
      </c>
      <c r="X226" s="315">
        <v>-61902</v>
      </c>
      <c r="Y226" s="315">
        <v>-17057</v>
      </c>
      <c r="Z226" s="315">
        <v>-5732</v>
      </c>
      <c r="AA226" s="315">
        <v>-9452</v>
      </c>
      <c r="AB226" s="315">
        <v>0</v>
      </c>
      <c r="AC226" s="315">
        <v>-13266</v>
      </c>
      <c r="AD226" s="315">
        <v>4748740</v>
      </c>
      <c r="AE226" s="315">
        <v>1972944</v>
      </c>
      <c r="AF226" s="315">
        <v>2775796</v>
      </c>
      <c r="AG226" s="315">
        <v>2715606</v>
      </c>
      <c r="AH226" s="315">
        <v>60190</v>
      </c>
      <c r="AI226" s="315">
        <v>4388958</v>
      </c>
      <c r="AJ226" s="315">
        <v>1547814</v>
      </c>
      <c r="AK226" s="315">
        <v>2643619</v>
      </c>
      <c r="AL226" s="315">
        <v>8525</v>
      </c>
      <c r="AM226" s="315">
        <v>272757</v>
      </c>
      <c r="AN226" s="315">
        <v>58382</v>
      </c>
      <c r="AO226" s="315">
        <v>19617</v>
      </c>
      <c r="AP226" s="315">
        <v>22768</v>
      </c>
      <c r="AQ226" s="315">
        <v>8427</v>
      </c>
      <c r="AR226" s="315">
        <v>-35013</v>
      </c>
      <c r="AS226" s="315">
        <v>26110</v>
      </c>
      <c r="AT226" s="315">
        <v>0</v>
      </c>
      <c r="AU226" s="315">
        <v>-13266</v>
      </c>
      <c r="AV226" s="315">
        <v>378089</v>
      </c>
      <c r="AW226" s="315">
        <v>15903</v>
      </c>
      <c r="AX226" s="315">
        <v>58113</v>
      </c>
      <c r="AY226" s="315">
        <v>8517</v>
      </c>
      <c r="AZ226" s="315">
        <v>1252</v>
      </c>
      <c r="BA226" s="315">
        <v>8583</v>
      </c>
      <c r="BB226" s="315">
        <v>39761</v>
      </c>
      <c r="BC226" s="315">
        <v>163829</v>
      </c>
      <c r="BD226" s="315">
        <v>140244</v>
      </c>
      <c r="BE226" s="315">
        <v>-285087</v>
      </c>
      <c r="BF226" s="315">
        <v>-272583</v>
      </c>
      <c r="BG226" s="315">
        <v>-238469</v>
      </c>
      <c r="BH226" s="315">
        <v>-34114</v>
      </c>
      <c r="BI226" s="315">
        <v>0</v>
      </c>
      <c r="BJ226" s="315">
        <v>-224973</v>
      </c>
      <c r="BK226" s="315">
        <v>-47610</v>
      </c>
      <c r="BL226" s="315">
        <v>-1930</v>
      </c>
      <c r="BM226" s="315">
        <v>-10574</v>
      </c>
      <c r="BN226" s="315">
        <v>93002</v>
      </c>
      <c r="BO226" s="315">
        <v>103125</v>
      </c>
      <c r="BP226" s="315">
        <v>16268</v>
      </c>
      <c r="BQ226" s="315">
        <v>8342</v>
      </c>
      <c r="BR226" s="315">
        <v>520</v>
      </c>
      <c r="BS226" s="315">
        <v>15335</v>
      </c>
      <c r="BT226" s="315">
        <v>268</v>
      </c>
      <c r="BU226" s="315">
        <v>13</v>
      </c>
      <c r="BV226" s="315">
        <v>828</v>
      </c>
      <c r="BW226" s="315">
        <v>14226</v>
      </c>
      <c r="BX226" s="315">
        <v>-180356</v>
      </c>
      <c r="BY226" s="315">
        <v>129715</v>
      </c>
      <c r="BZ226" s="315">
        <v>53</v>
      </c>
      <c r="CA226" s="315">
        <v>84532</v>
      </c>
      <c r="CB226" s="315">
        <v>-49792</v>
      </c>
      <c r="CC226" s="315">
        <v>-41140</v>
      </c>
      <c r="CD226" s="315">
        <v>-8652</v>
      </c>
      <c r="CE226" s="315">
        <v>34740</v>
      </c>
      <c r="CF226" s="315">
        <v>78560</v>
      </c>
      <c r="CG226" s="315">
        <v>5</v>
      </c>
      <c r="CH226" s="315">
        <v>-43825</v>
      </c>
      <c r="CI226" s="315">
        <v>4886864</v>
      </c>
      <c r="CJ226" s="315">
        <v>763250</v>
      </c>
      <c r="CK226" s="315">
        <v>4123614</v>
      </c>
      <c r="CL226" s="315">
        <v>3545612</v>
      </c>
      <c r="CM226" s="315">
        <v>48385</v>
      </c>
      <c r="CN226" s="315">
        <v>529617</v>
      </c>
      <c r="CO226" s="315">
        <v>0</v>
      </c>
      <c r="CP226" s="315">
        <v>159889</v>
      </c>
      <c r="CQ226" s="315">
        <v>369728</v>
      </c>
      <c r="CR226" s="315">
        <v>-2550366</v>
      </c>
      <c r="CS226" s="315">
        <v>-297286</v>
      </c>
      <c r="CT226" s="315">
        <v>-144460</v>
      </c>
      <c r="CU226" s="315">
        <v>-48678</v>
      </c>
      <c r="CV226" s="315">
        <v>-305</v>
      </c>
      <c r="CW226" s="315">
        <v>-103843</v>
      </c>
      <c r="CX226" s="315">
        <v>-2109370</v>
      </c>
      <c r="CY226" s="315">
        <v>-854843</v>
      </c>
      <c r="CZ226" s="315">
        <v>-1244179</v>
      </c>
      <c r="DA226" s="315">
        <v>-10348</v>
      </c>
      <c r="DB226" s="315">
        <v>0</v>
      </c>
      <c r="DC226" s="315">
        <v>-143710</v>
      </c>
      <c r="DD226" s="315">
        <v>2336498</v>
      </c>
      <c r="DE226" s="315">
        <v>192435</v>
      </c>
      <c r="DF226" s="315">
        <v>2144063</v>
      </c>
      <c r="DG226" s="315">
        <v>2096646</v>
      </c>
      <c r="DH226" s="315">
        <v>47417</v>
      </c>
      <c r="DI226" s="315">
        <v>1377542</v>
      </c>
      <c r="DJ226" s="315">
        <v>74200</v>
      </c>
      <c r="DK226" s="315">
        <v>20446</v>
      </c>
      <c r="DL226" s="315">
        <v>1273</v>
      </c>
      <c r="DM226" s="315">
        <v>772415</v>
      </c>
      <c r="DN226" s="315">
        <v>377268</v>
      </c>
      <c r="DO226" s="315">
        <v>131859</v>
      </c>
      <c r="DP226" s="315"/>
      <c r="DQ226" s="315"/>
      <c r="DR226" s="315">
        <v>81</v>
      </c>
      <c r="DS226" s="315">
        <v>-39117</v>
      </c>
      <c r="DT226" s="315">
        <v>-943</v>
      </c>
      <c r="DU226" s="315">
        <v>-4295</v>
      </c>
      <c r="DV226" s="315">
        <v>-25</v>
      </c>
      <c r="DW226" s="315">
        <v>-28313</v>
      </c>
      <c r="DX226" s="315">
        <v>-4915</v>
      </c>
      <c r="DY226" s="315">
        <v>-273</v>
      </c>
      <c r="DZ226" s="315">
        <v>-23125</v>
      </c>
      <c r="EA226" s="315">
        <v>-5375</v>
      </c>
      <c r="EB226" s="315">
        <v>-2</v>
      </c>
      <c r="EC226" s="315"/>
      <c r="ED226" s="315"/>
      <c r="EE226" s="315">
        <v>-164</v>
      </c>
      <c r="EF226" s="315">
        <v>1338425</v>
      </c>
      <c r="EG226" s="315">
        <v>305534</v>
      </c>
      <c r="EH226" s="315">
        <v>1032891</v>
      </c>
      <c r="EI226" s="315">
        <v>1016092</v>
      </c>
      <c r="EJ226" s="315">
        <v>16799</v>
      </c>
      <c r="EK226" s="315">
        <v>73257</v>
      </c>
      <c r="EL226" s="315">
        <v>39056</v>
      </c>
      <c r="EM226" s="315">
        <v>34201</v>
      </c>
      <c r="EN226" s="315">
        <v>33464</v>
      </c>
      <c r="EO226" s="315">
        <v>737</v>
      </c>
      <c r="EP226" s="315">
        <v>16151</v>
      </c>
      <c r="EQ226" s="315">
        <v>2789</v>
      </c>
      <c r="ER226" s="315">
        <v>13362</v>
      </c>
      <c r="ES226" s="315">
        <v>13086</v>
      </c>
      <c r="ET226" s="315">
        <v>276</v>
      </c>
      <c r="EU226" s="315">
        <v>1248</v>
      </c>
      <c r="EV226" s="315">
        <v>480</v>
      </c>
      <c r="EW226" s="315">
        <v>768</v>
      </c>
      <c r="EX226" s="315">
        <v>750</v>
      </c>
      <c r="EY226" s="315">
        <v>18</v>
      </c>
      <c r="EZ226" s="315">
        <v>744102</v>
      </c>
      <c r="FA226" s="315">
        <v>222990</v>
      </c>
      <c r="FB226" s="315">
        <v>521112</v>
      </c>
      <c r="FC226" s="315">
        <v>512750</v>
      </c>
      <c r="FD226" s="315">
        <v>8362</v>
      </c>
      <c r="FE226" s="315">
        <v>371893</v>
      </c>
      <c r="FF226" s="315">
        <v>29399</v>
      </c>
      <c r="FG226" s="315">
        <v>342494</v>
      </c>
      <c r="FH226" s="315">
        <v>335088</v>
      </c>
      <c r="FI226" s="315">
        <v>7406</v>
      </c>
      <c r="FJ226" s="315">
        <v>131857</v>
      </c>
      <c r="FK226" s="315">
        <v>10903</v>
      </c>
      <c r="FL226" s="315">
        <v>120954</v>
      </c>
      <c r="FM226" s="315">
        <v>120954</v>
      </c>
      <c r="FN226" s="315"/>
      <c r="FO226" s="315"/>
      <c r="FP226" s="315"/>
      <c r="FQ226" s="315">
        <v>-83</v>
      </c>
      <c r="FR226" s="315">
        <v>415694</v>
      </c>
      <c r="FS226" s="315">
        <v>-39129</v>
      </c>
      <c r="FT226" s="315">
        <v>376565</v>
      </c>
      <c r="FU226" s="315"/>
      <c r="FV226" s="315"/>
      <c r="FW226" s="315"/>
      <c r="FX226" s="315">
        <v>115790</v>
      </c>
      <c r="FY226" s="315">
        <v>106723</v>
      </c>
      <c r="FZ226" s="315"/>
      <c r="GA226" s="315"/>
      <c r="GB226" s="315">
        <v>8</v>
      </c>
      <c r="GC226" s="315">
        <v>39531</v>
      </c>
      <c r="GD226" s="315">
        <v>-24264</v>
      </c>
      <c r="GE226" s="315"/>
      <c r="GF226" s="315">
        <v>63795</v>
      </c>
      <c r="GG226" s="315">
        <v>114513</v>
      </c>
      <c r="GH226" s="315">
        <v>9049</v>
      </c>
      <c r="GI226" s="315">
        <v>7279</v>
      </c>
      <c r="GJ226" s="315">
        <v>98185</v>
      </c>
      <c r="GL226"/>
      <c r="GM226"/>
      <c r="GN226"/>
      <c r="GO226"/>
    </row>
    <row r="227" spans="1:197">
      <c r="A227" s="98" t="s">
        <v>31</v>
      </c>
      <c r="B227" s="98">
        <v>4</v>
      </c>
      <c r="C227" s="98" t="s">
        <v>220</v>
      </c>
      <c r="D227" s="315">
        <v>25798811</v>
      </c>
      <c r="E227" s="315">
        <v>-4733691</v>
      </c>
      <c r="F227" s="315">
        <v>-13266</v>
      </c>
      <c r="G227" s="315">
        <v>21051854</v>
      </c>
      <c r="H227" s="315">
        <v>15099104</v>
      </c>
      <c r="I227" s="315">
        <v>5952750</v>
      </c>
      <c r="J227" s="315">
        <v>5828345</v>
      </c>
      <c r="K227" s="315">
        <v>124405</v>
      </c>
      <c r="L227" s="315">
        <v>8943996</v>
      </c>
      <c r="M227" s="315">
        <v>7571797</v>
      </c>
      <c r="N227" s="315">
        <v>96174</v>
      </c>
      <c r="O227" s="315">
        <v>0</v>
      </c>
      <c r="P227" s="315">
        <v>96174</v>
      </c>
      <c r="Q227" s="315">
        <v>59842</v>
      </c>
      <c r="R227" s="315">
        <v>1216183</v>
      </c>
      <c r="S227" s="315">
        <v>-1190128</v>
      </c>
      <c r="T227" s="315">
        <v>-1171898</v>
      </c>
      <c r="U227" s="315">
        <v>-55482</v>
      </c>
      <c r="V227" s="315">
        <v>-157</v>
      </c>
      <c r="W227" s="315">
        <v>-1046872</v>
      </c>
      <c r="X227" s="315">
        <v>0</v>
      </c>
      <c r="Y227" s="315">
        <v>-69387</v>
      </c>
      <c r="Z227" s="315">
        <v>-11351</v>
      </c>
      <c r="AA227" s="315">
        <v>-6879</v>
      </c>
      <c r="AB227" s="315">
        <v>0</v>
      </c>
      <c r="AC227" s="315">
        <v>-13266</v>
      </c>
      <c r="AD227" s="315">
        <v>7740602</v>
      </c>
      <c r="AE227" s="315">
        <v>4964805</v>
      </c>
      <c r="AF227" s="315">
        <v>2775797</v>
      </c>
      <c r="AG227" s="315">
        <v>2715607</v>
      </c>
      <c r="AH227" s="315">
        <v>60190</v>
      </c>
      <c r="AI227" s="315">
        <v>7565702</v>
      </c>
      <c r="AJ227" s="315">
        <v>1409422</v>
      </c>
      <c r="AK227" s="315">
        <v>2734014</v>
      </c>
      <c r="AL227" s="315">
        <v>3230183</v>
      </c>
      <c r="AM227" s="315">
        <v>384959</v>
      </c>
      <c r="AN227" s="315">
        <v>362540</v>
      </c>
      <c r="AO227" s="315">
        <v>30415</v>
      </c>
      <c r="AP227" s="315">
        <v>16283</v>
      </c>
      <c r="AQ227" s="315">
        <v>421202</v>
      </c>
      <c r="AR227" s="315">
        <v>-1075724</v>
      </c>
      <c r="AS227" s="315">
        <v>48491</v>
      </c>
      <c r="AT227" s="315">
        <v>0</v>
      </c>
      <c r="AU227" s="315">
        <v>-13266</v>
      </c>
      <c r="AV227" s="315">
        <v>4755670</v>
      </c>
      <c r="AW227" s="315">
        <v>3670597</v>
      </c>
      <c r="AX227" s="315">
        <v>82804</v>
      </c>
      <c r="AY227" s="315">
        <v>32159</v>
      </c>
      <c r="AZ227" s="315">
        <v>8581</v>
      </c>
      <c r="BA227" s="315">
        <v>14600</v>
      </c>
      <c r="BB227" s="315">
        <v>27464</v>
      </c>
      <c r="BC227" s="315">
        <v>186184</v>
      </c>
      <c r="BD227" s="315">
        <v>816085</v>
      </c>
      <c r="BE227" s="315">
        <v>-241220</v>
      </c>
      <c r="BF227" s="315">
        <v>-239464</v>
      </c>
      <c r="BG227" s="315">
        <v>-123900</v>
      </c>
      <c r="BH227" s="315">
        <v>-115564</v>
      </c>
      <c r="BI227" s="315">
        <v>0</v>
      </c>
      <c r="BJ227" s="315">
        <v>-93426.999999999985</v>
      </c>
      <c r="BK227" s="315">
        <v>-146037</v>
      </c>
      <c r="BL227" s="315">
        <v>-1485</v>
      </c>
      <c r="BM227" s="315">
        <v>-271</v>
      </c>
      <c r="BN227" s="315">
        <v>4514450</v>
      </c>
      <c r="BO227" s="315">
        <v>655872</v>
      </c>
      <c r="BP227" s="315">
        <v>146484</v>
      </c>
      <c r="BQ227" s="315">
        <v>12943</v>
      </c>
      <c r="BR227" s="315">
        <v>237</v>
      </c>
      <c r="BS227" s="315">
        <v>3669977</v>
      </c>
      <c r="BT227" s="315">
        <v>1435764</v>
      </c>
      <c r="BU227" s="315">
        <v>1752450</v>
      </c>
      <c r="BV227" s="315">
        <v>467910</v>
      </c>
      <c r="BW227" s="315">
        <v>13853</v>
      </c>
      <c r="BX227" s="315">
        <v>-41096</v>
      </c>
      <c r="BY227" s="315">
        <v>70620</v>
      </c>
      <c r="BZ227" s="315">
        <v>-587</v>
      </c>
      <c r="CA227" s="315">
        <v>538439</v>
      </c>
      <c r="CB227" s="315">
        <v>-42869</v>
      </c>
      <c r="CC227" s="315">
        <v>-42648</v>
      </c>
      <c r="CD227" s="315">
        <v>-221</v>
      </c>
      <c r="CE227" s="315">
        <v>495570</v>
      </c>
      <c r="CF227" s="315">
        <v>95415</v>
      </c>
      <c r="CG227" s="315">
        <v>11491</v>
      </c>
      <c r="CH227" s="315">
        <v>388664</v>
      </c>
      <c r="CI227" s="315">
        <v>9227064</v>
      </c>
      <c r="CJ227" s="315">
        <v>820794</v>
      </c>
      <c r="CK227" s="315">
        <v>8406270</v>
      </c>
      <c r="CL227" s="315">
        <v>3605644</v>
      </c>
      <c r="CM227" s="315">
        <v>4141442</v>
      </c>
      <c r="CN227" s="315">
        <v>659184</v>
      </c>
      <c r="CO227" s="315">
        <v>0</v>
      </c>
      <c r="CP227" s="315">
        <v>6257</v>
      </c>
      <c r="CQ227" s="315">
        <v>652927</v>
      </c>
      <c r="CR227" s="315">
        <v>-3182299</v>
      </c>
      <c r="CS227" s="315">
        <v>-1153897</v>
      </c>
      <c r="CT227" s="315">
        <v>-991702</v>
      </c>
      <c r="CU227" s="315">
        <v>-55831</v>
      </c>
      <c r="CV227" s="315">
        <v>-543</v>
      </c>
      <c r="CW227" s="315">
        <v>-105821</v>
      </c>
      <c r="CX227" s="315">
        <v>-1759186</v>
      </c>
      <c r="CY227" s="315">
        <v>-1029096</v>
      </c>
      <c r="CZ227" s="315">
        <v>-722807</v>
      </c>
      <c r="DA227" s="315">
        <v>-7283</v>
      </c>
      <c r="DB227" s="315">
        <v>-269216</v>
      </c>
      <c r="DC227" s="315">
        <v>0</v>
      </c>
      <c r="DD227" s="315">
        <v>6044765</v>
      </c>
      <c r="DE227" s="315">
        <v>3900701</v>
      </c>
      <c r="DF227" s="315">
        <v>2144064</v>
      </c>
      <c r="DG227" s="315">
        <v>2096647</v>
      </c>
      <c r="DH227" s="315">
        <v>47417</v>
      </c>
      <c r="DI227" s="315">
        <v>1630597</v>
      </c>
      <c r="DJ227" s="315">
        <v>35262</v>
      </c>
      <c r="DK227" s="315">
        <v>19899</v>
      </c>
      <c r="DL227" s="315">
        <v>878</v>
      </c>
      <c r="DM227" s="315">
        <v>930900</v>
      </c>
      <c r="DN227" s="315">
        <v>477043</v>
      </c>
      <c r="DO227" s="315">
        <v>125291</v>
      </c>
      <c r="DP227" s="315"/>
      <c r="DQ227" s="315">
        <v>41293</v>
      </c>
      <c r="DR227" s="315">
        <v>31</v>
      </c>
      <c r="DS227" s="315">
        <v>-33595</v>
      </c>
      <c r="DT227" s="315">
        <v>-16736</v>
      </c>
      <c r="DU227" s="315">
        <v>-5477</v>
      </c>
      <c r="DV227" s="315">
        <v>-11</v>
      </c>
      <c r="DW227" s="315">
        <v>-2939</v>
      </c>
      <c r="DX227" s="315">
        <v>-2263</v>
      </c>
      <c r="DY227" s="315">
        <v>-126</v>
      </c>
      <c r="DZ227" s="315">
        <v>-550</v>
      </c>
      <c r="EA227" s="315">
        <v>-8280</v>
      </c>
      <c r="EB227" s="315">
        <v>-38</v>
      </c>
      <c r="EC227" s="315"/>
      <c r="ED227" s="315">
        <v>0</v>
      </c>
      <c r="EE227" s="315">
        <v>-114</v>
      </c>
      <c r="EF227" s="315">
        <v>1597002</v>
      </c>
      <c r="EG227" s="315">
        <v>564113</v>
      </c>
      <c r="EH227" s="315">
        <v>1032889</v>
      </c>
      <c r="EI227" s="315">
        <v>1016091</v>
      </c>
      <c r="EJ227" s="315">
        <v>16798</v>
      </c>
      <c r="EK227" s="315">
        <v>18526</v>
      </c>
      <c r="EL227" s="315">
        <v>-15676</v>
      </c>
      <c r="EM227" s="315">
        <v>34202</v>
      </c>
      <c r="EN227" s="315">
        <v>33464</v>
      </c>
      <c r="EO227" s="315">
        <v>738</v>
      </c>
      <c r="EP227" s="315">
        <v>14422</v>
      </c>
      <c r="EQ227" s="315">
        <v>1063</v>
      </c>
      <c r="ER227" s="315">
        <v>13359</v>
      </c>
      <c r="ES227" s="315">
        <v>13086</v>
      </c>
      <c r="ET227" s="315">
        <v>273</v>
      </c>
      <c r="EU227" s="315">
        <v>867</v>
      </c>
      <c r="EV227" s="315">
        <v>102</v>
      </c>
      <c r="EW227" s="315">
        <v>765</v>
      </c>
      <c r="EX227" s="315">
        <v>749</v>
      </c>
      <c r="EY227" s="315">
        <v>16</v>
      </c>
      <c r="EZ227" s="315">
        <v>927961</v>
      </c>
      <c r="FA227" s="315">
        <v>406848</v>
      </c>
      <c r="FB227" s="315">
        <v>521113</v>
      </c>
      <c r="FC227" s="315">
        <v>512750</v>
      </c>
      <c r="FD227" s="315">
        <v>8363</v>
      </c>
      <c r="FE227" s="315">
        <v>468763</v>
      </c>
      <c r="FF227" s="315">
        <v>126267</v>
      </c>
      <c r="FG227" s="315">
        <v>342496</v>
      </c>
      <c r="FH227" s="315">
        <v>335088</v>
      </c>
      <c r="FI227" s="315">
        <v>7408</v>
      </c>
      <c r="FJ227" s="315">
        <v>125253</v>
      </c>
      <c r="FK227" s="315">
        <v>4299</v>
      </c>
      <c r="FL227" s="315">
        <v>120954</v>
      </c>
      <c r="FM227" s="315">
        <v>120954</v>
      </c>
      <c r="FN227" s="315"/>
      <c r="FO227" s="315"/>
      <c r="FP227" s="315">
        <v>41293</v>
      </c>
      <c r="FQ227" s="315">
        <v>-83</v>
      </c>
      <c r="FR227" s="315">
        <v>703045</v>
      </c>
      <c r="FS227" s="315">
        <v>-43580</v>
      </c>
      <c r="FT227" s="315">
        <v>659465</v>
      </c>
      <c r="FU227" s="315">
        <v>2486</v>
      </c>
      <c r="FV227" s="315">
        <v>2486</v>
      </c>
      <c r="FW227" s="315"/>
      <c r="FX227" s="315">
        <v>111393</v>
      </c>
      <c r="FY227" s="315">
        <v>111211</v>
      </c>
      <c r="FZ227" s="315"/>
      <c r="GA227" s="315"/>
      <c r="GB227" s="315">
        <v>12</v>
      </c>
      <c r="GC227" s="315">
        <v>309197</v>
      </c>
      <c r="GD227" s="315">
        <v>249429</v>
      </c>
      <c r="GE227" s="315"/>
      <c r="GF227" s="315">
        <v>59768</v>
      </c>
      <c r="GG227" s="315">
        <v>125166</v>
      </c>
      <c r="GH227" s="315">
        <v>14097</v>
      </c>
      <c r="GI227" s="315">
        <v>498</v>
      </c>
      <c r="GJ227" s="315">
        <v>110571</v>
      </c>
      <c r="GL227"/>
      <c r="GM227"/>
      <c r="GN227"/>
      <c r="GO227"/>
    </row>
    <row r="228" spans="1:197">
      <c r="A228" s="98" t="s">
        <v>31</v>
      </c>
      <c r="B228" s="98">
        <v>5</v>
      </c>
      <c r="C228" s="98" t="s">
        <v>221</v>
      </c>
      <c r="D228" s="315">
        <v>12368313</v>
      </c>
      <c r="E228" s="315">
        <v>-5934235</v>
      </c>
      <c r="F228" s="315">
        <v>-13266</v>
      </c>
      <c r="G228" s="315">
        <v>6420812</v>
      </c>
      <c r="H228" s="315">
        <v>468057</v>
      </c>
      <c r="I228" s="315">
        <v>5952755</v>
      </c>
      <c r="J228" s="315">
        <v>5828343</v>
      </c>
      <c r="K228" s="315">
        <v>124412</v>
      </c>
      <c r="L228" s="315">
        <v>4672730</v>
      </c>
      <c r="M228" s="315">
        <v>3923048</v>
      </c>
      <c r="N228" s="315">
        <v>206356</v>
      </c>
      <c r="O228" s="315">
        <v>133640</v>
      </c>
      <c r="P228" s="315">
        <v>72716</v>
      </c>
      <c r="Q228" s="315">
        <v>50579</v>
      </c>
      <c r="R228" s="315">
        <v>492747</v>
      </c>
      <c r="S228" s="315">
        <v>-2801460</v>
      </c>
      <c r="T228" s="315">
        <v>-2791758</v>
      </c>
      <c r="U228" s="315">
        <v>-53598</v>
      </c>
      <c r="V228" s="315">
        <v>-78</v>
      </c>
      <c r="W228" s="315">
        <v>-2694841</v>
      </c>
      <c r="X228" s="315">
        <v>0</v>
      </c>
      <c r="Y228" s="315">
        <v>-43241</v>
      </c>
      <c r="Z228" s="315">
        <v>-4001</v>
      </c>
      <c r="AA228" s="315">
        <v>-5701</v>
      </c>
      <c r="AB228" s="315">
        <v>0</v>
      </c>
      <c r="AC228" s="315">
        <v>-13266</v>
      </c>
      <c r="AD228" s="315">
        <v>1858004</v>
      </c>
      <c r="AE228" s="315">
        <v>-917792</v>
      </c>
      <c r="AF228" s="315">
        <v>2775796</v>
      </c>
      <c r="AG228" s="315">
        <v>2715605</v>
      </c>
      <c r="AH228" s="315">
        <v>60191</v>
      </c>
      <c r="AI228" s="315">
        <v>3918537</v>
      </c>
      <c r="AJ228" s="315">
        <v>1392307</v>
      </c>
      <c r="AK228" s="315">
        <v>2328766</v>
      </c>
      <c r="AL228" s="315">
        <v>16710</v>
      </c>
      <c r="AM228" s="315">
        <v>369428</v>
      </c>
      <c r="AN228" s="315">
        <v>60904</v>
      </c>
      <c r="AO228" s="315">
        <v>22394</v>
      </c>
      <c r="AP228" s="315">
        <v>24145</v>
      </c>
      <c r="AQ228" s="315">
        <v>14686</v>
      </c>
      <c r="AR228" s="315">
        <v>-2585402</v>
      </c>
      <c r="AS228" s="315">
        <v>46578</v>
      </c>
      <c r="AT228" s="315">
        <v>0</v>
      </c>
      <c r="AU228" s="315">
        <v>-13266</v>
      </c>
      <c r="AV228" s="315">
        <v>405151</v>
      </c>
      <c r="AW228" s="315">
        <v>29813</v>
      </c>
      <c r="AX228" s="315">
        <v>48140</v>
      </c>
      <c r="AY228" s="315">
        <v>8076</v>
      </c>
      <c r="AZ228" s="315">
        <v>5731</v>
      </c>
      <c r="BA228" s="315">
        <v>9838</v>
      </c>
      <c r="BB228" s="315">
        <v>24495</v>
      </c>
      <c r="BC228" s="315">
        <v>144414</v>
      </c>
      <c r="BD228" s="315">
        <v>182784</v>
      </c>
      <c r="BE228" s="315">
        <v>-647541</v>
      </c>
      <c r="BF228" s="315">
        <v>-157707</v>
      </c>
      <c r="BG228" s="315">
        <v>-86471</v>
      </c>
      <c r="BH228" s="315">
        <v>-71236</v>
      </c>
      <c r="BI228" s="315">
        <v>0</v>
      </c>
      <c r="BJ228" s="315">
        <v>-65484.000000000007</v>
      </c>
      <c r="BK228" s="315">
        <v>-92223</v>
      </c>
      <c r="BL228" s="315">
        <v>-839</v>
      </c>
      <c r="BM228" s="315">
        <v>-488995</v>
      </c>
      <c r="BN228" s="315">
        <v>-242390</v>
      </c>
      <c r="BO228" s="315">
        <v>-334681</v>
      </c>
      <c r="BP228" s="315">
        <v>18543</v>
      </c>
      <c r="BQ228" s="315">
        <v>9529</v>
      </c>
      <c r="BR228" s="315">
        <v>0</v>
      </c>
      <c r="BS228" s="315">
        <v>29301</v>
      </c>
      <c r="BT228" s="315">
        <v>4944</v>
      </c>
      <c r="BU228" s="315">
        <v>415</v>
      </c>
      <c r="BV228" s="315">
        <v>2891</v>
      </c>
      <c r="BW228" s="315">
        <v>21051</v>
      </c>
      <c r="BX228" s="315">
        <v>-38331</v>
      </c>
      <c r="BY228" s="315">
        <v>73178</v>
      </c>
      <c r="BZ228" s="315">
        <v>71</v>
      </c>
      <c r="CA228" s="315">
        <v>82921</v>
      </c>
      <c r="CB228" s="315">
        <v>-440071</v>
      </c>
      <c r="CC228" s="315">
        <v>-39984</v>
      </c>
      <c r="CD228" s="315">
        <v>-400087</v>
      </c>
      <c r="CE228" s="315">
        <v>-357150</v>
      </c>
      <c r="CF228" s="315">
        <v>76323</v>
      </c>
      <c r="CG228" s="315">
        <v>42</v>
      </c>
      <c r="CH228" s="315">
        <v>-433515</v>
      </c>
      <c r="CI228" s="315">
        <v>4822318</v>
      </c>
      <c r="CJ228" s="315">
        <v>721971</v>
      </c>
      <c r="CK228" s="315">
        <v>4100347</v>
      </c>
      <c r="CL228" s="315">
        <v>3519596</v>
      </c>
      <c r="CM228" s="315">
        <v>62015</v>
      </c>
      <c r="CN228" s="315">
        <v>518736</v>
      </c>
      <c r="CO228" s="315">
        <v>3759</v>
      </c>
      <c r="CP228" s="315">
        <v>0</v>
      </c>
      <c r="CQ228" s="315">
        <v>514977</v>
      </c>
      <c r="CR228" s="315">
        <v>-1984370</v>
      </c>
      <c r="CS228" s="315">
        <v>-703609</v>
      </c>
      <c r="CT228" s="315">
        <v>-625305</v>
      </c>
      <c r="CU228" s="315">
        <v>-28965</v>
      </c>
      <c r="CV228" s="315">
        <v>-558</v>
      </c>
      <c r="CW228" s="315">
        <v>-48781</v>
      </c>
      <c r="CX228" s="315">
        <v>-1277002</v>
      </c>
      <c r="CY228" s="315">
        <v>-988510</v>
      </c>
      <c r="CZ228" s="315">
        <v>-285227</v>
      </c>
      <c r="DA228" s="315">
        <v>-3265</v>
      </c>
      <c r="DB228" s="315">
        <v>-3759</v>
      </c>
      <c r="DC228" s="315">
        <v>0</v>
      </c>
      <c r="DD228" s="315">
        <v>2837948</v>
      </c>
      <c r="DE228" s="315">
        <v>693882</v>
      </c>
      <c r="DF228" s="315">
        <v>2144066</v>
      </c>
      <c r="DG228" s="315">
        <v>2096646</v>
      </c>
      <c r="DH228" s="315">
        <v>47420</v>
      </c>
      <c r="DI228" s="315">
        <v>1562888</v>
      </c>
      <c r="DJ228" s="315">
        <v>55156</v>
      </c>
      <c r="DK228" s="315">
        <v>19808</v>
      </c>
      <c r="DL228" s="315">
        <v>1756</v>
      </c>
      <c r="DM228" s="315">
        <v>844358</v>
      </c>
      <c r="DN228" s="315">
        <v>538325</v>
      </c>
      <c r="DO228" s="315">
        <v>103415</v>
      </c>
      <c r="DP228" s="315"/>
      <c r="DQ228" s="315">
        <v>0</v>
      </c>
      <c r="DR228" s="315">
        <v>70</v>
      </c>
      <c r="DS228" s="315">
        <v>-20191</v>
      </c>
      <c r="DT228" s="315">
        <v>-2782</v>
      </c>
      <c r="DU228" s="315">
        <v>-24</v>
      </c>
      <c r="DV228" s="315">
        <v>-36</v>
      </c>
      <c r="DW228" s="315">
        <v>-16866</v>
      </c>
      <c r="DX228" s="315">
        <v>-15221</v>
      </c>
      <c r="DY228" s="315">
        <v>-432</v>
      </c>
      <c r="DZ228" s="315">
        <v>-1213</v>
      </c>
      <c r="EA228" s="315">
        <v>0</v>
      </c>
      <c r="EB228" s="315">
        <v>-433</v>
      </c>
      <c r="EC228" s="315"/>
      <c r="ED228" s="315">
        <v>0</v>
      </c>
      <c r="EE228" s="315">
        <v>-50</v>
      </c>
      <c r="EF228" s="315">
        <v>1542697</v>
      </c>
      <c r="EG228" s="315">
        <v>509804</v>
      </c>
      <c r="EH228" s="315">
        <v>1032893</v>
      </c>
      <c r="EI228" s="315">
        <v>1016092</v>
      </c>
      <c r="EJ228" s="315">
        <v>16801</v>
      </c>
      <c r="EK228" s="315">
        <v>52374</v>
      </c>
      <c r="EL228" s="315">
        <v>18172</v>
      </c>
      <c r="EM228" s="315">
        <v>34202</v>
      </c>
      <c r="EN228" s="315">
        <v>33463</v>
      </c>
      <c r="EO228" s="315">
        <v>739</v>
      </c>
      <c r="EP228" s="315">
        <v>19784</v>
      </c>
      <c r="EQ228" s="315">
        <v>6421</v>
      </c>
      <c r="ER228" s="315">
        <v>13363</v>
      </c>
      <c r="ES228" s="315">
        <v>13087</v>
      </c>
      <c r="ET228" s="315">
        <v>276</v>
      </c>
      <c r="EU228" s="315">
        <v>1720</v>
      </c>
      <c r="EV228" s="315">
        <v>953</v>
      </c>
      <c r="EW228" s="315">
        <v>767</v>
      </c>
      <c r="EX228" s="315">
        <v>750</v>
      </c>
      <c r="EY228" s="315">
        <v>17</v>
      </c>
      <c r="EZ228" s="315">
        <v>827492</v>
      </c>
      <c r="FA228" s="315">
        <v>306381</v>
      </c>
      <c r="FB228" s="315">
        <v>521111</v>
      </c>
      <c r="FC228" s="315">
        <v>512750</v>
      </c>
      <c r="FD228" s="315">
        <v>8361</v>
      </c>
      <c r="FE228" s="315">
        <v>538325</v>
      </c>
      <c r="FF228" s="315">
        <v>195828</v>
      </c>
      <c r="FG228" s="315">
        <v>342497</v>
      </c>
      <c r="FH228" s="315">
        <v>335089</v>
      </c>
      <c r="FI228" s="315">
        <v>7408</v>
      </c>
      <c r="FJ228" s="315">
        <v>102982</v>
      </c>
      <c r="FK228" s="315">
        <v>-17971</v>
      </c>
      <c r="FL228" s="315">
        <v>120953</v>
      </c>
      <c r="FM228" s="315">
        <v>120953</v>
      </c>
      <c r="FN228" s="315"/>
      <c r="FO228" s="315"/>
      <c r="FP228" s="315">
        <v>0</v>
      </c>
      <c r="FQ228" s="315">
        <v>20</v>
      </c>
      <c r="FR228" s="315">
        <v>822305</v>
      </c>
      <c r="FS228" s="315">
        <v>-40602</v>
      </c>
      <c r="FT228" s="315">
        <v>781703</v>
      </c>
      <c r="FU228" s="315">
        <v>382251</v>
      </c>
      <c r="FV228" s="315">
        <v>382251</v>
      </c>
      <c r="FW228" s="315"/>
      <c r="FX228" s="315">
        <v>84899</v>
      </c>
      <c r="FY228" s="315">
        <v>116962</v>
      </c>
      <c r="FZ228" s="315"/>
      <c r="GA228" s="315"/>
      <c r="GB228" s="315">
        <v>23569</v>
      </c>
      <c r="GC228" s="315">
        <v>69762</v>
      </c>
      <c r="GD228" s="315">
        <v>-15052</v>
      </c>
      <c r="GE228" s="315"/>
      <c r="GF228" s="315">
        <v>84814</v>
      </c>
      <c r="GG228" s="315">
        <v>104260</v>
      </c>
      <c r="GH228" s="315">
        <v>9360</v>
      </c>
      <c r="GI228" s="315">
        <v>176</v>
      </c>
      <c r="GJ228" s="315">
        <v>94724</v>
      </c>
      <c r="GL228"/>
      <c r="GM228"/>
      <c r="GN228"/>
      <c r="GO228"/>
    </row>
    <row r="229" spans="1:197">
      <c r="A229" s="98" t="s">
        <v>31</v>
      </c>
      <c r="B229" s="98">
        <v>6</v>
      </c>
      <c r="C229" s="98" t="s">
        <v>222</v>
      </c>
      <c r="D229" s="315">
        <v>13319742</v>
      </c>
      <c r="E229" s="315">
        <v>-5642291</v>
      </c>
      <c r="F229" s="315">
        <v>-14145</v>
      </c>
      <c r="G229" s="315">
        <v>7663306</v>
      </c>
      <c r="H229" s="315">
        <v>1710556</v>
      </c>
      <c r="I229" s="315">
        <v>5952750</v>
      </c>
      <c r="J229" s="315">
        <v>5828346</v>
      </c>
      <c r="K229" s="315">
        <v>124404</v>
      </c>
      <c r="L229" s="315">
        <v>5460559</v>
      </c>
      <c r="M229" s="315">
        <v>4196222</v>
      </c>
      <c r="N229" s="315">
        <v>700632</v>
      </c>
      <c r="O229" s="315">
        <v>621612</v>
      </c>
      <c r="P229" s="315">
        <v>79020</v>
      </c>
      <c r="Q229" s="315">
        <v>48414</v>
      </c>
      <c r="R229" s="315">
        <v>515291</v>
      </c>
      <c r="S229" s="315">
        <v>-2718460</v>
      </c>
      <c r="T229" s="315">
        <v>-2699547</v>
      </c>
      <c r="U229" s="315">
        <v>-52372</v>
      </c>
      <c r="V229" s="315">
        <v>-22</v>
      </c>
      <c r="W229" s="315">
        <v>-2617065</v>
      </c>
      <c r="X229" s="315">
        <v>0</v>
      </c>
      <c r="Y229" s="315">
        <v>-30088</v>
      </c>
      <c r="Z229" s="315">
        <v>-2853</v>
      </c>
      <c r="AA229" s="315">
        <v>-16060</v>
      </c>
      <c r="AB229" s="315">
        <v>0</v>
      </c>
      <c r="AC229" s="315">
        <v>-14145</v>
      </c>
      <c r="AD229" s="315">
        <v>2727954</v>
      </c>
      <c r="AE229" s="315">
        <v>-47841</v>
      </c>
      <c r="AF229" s="315">
        <v>2775795</v>
      </c>
      <c r="AG229" s="315">
        <v>2715607</v>
      </c>
      <c r="AH229" s="315">
        <v>60188</v>
      </c>
      <c r="AI229" s="315">
        <v>4184640</v>
      </c>
      <c r="AJ229" s="315">
        <v>1718266</v>
      </c>
      <c r="AK229" s="315">
        <v>2288671</v>
      </c>
      <c r="AL229" s="315">
        <v>9730</v>
      </c>
      <c r="AM229" s="315">
        <v>389436</v>
      </c>
      <c r="AN229" s="315">
        <v>61569</v>
      </c>
      <c r="AO229" s="315">
        <v>26683</v>
      </c>
      <c r="AP229" s="315">
        <v>18782</v>
      </c>
      <c r="AQ229" s="315">
        <v>14339</v>
      </c>
      <c r="AR229" s="315">
        <v>-1998915</v>
      </c>
      <c r="AS229" s="315">
        <v>45561</v>
      </c>
      <c r="AT229" s="315">
        <v>4</v>
      </c>
      <c r="AU229" s="315">
        <v>-14145</v>
      </c>
      <c r="AV229" s="315">
        <v>461189</v>
      </c>
      <c r="AW229" s="315">
        <v>171256</v>
      </c>
      <c r="AX229" s="315">
        <v>44301</v>
      </c>
      <c r="AY229" s="315">
        <v>11118</v>
      </c>
      <c r="AZ229" s="315">
        <v>956</v>
      </c>
      <c r="BA229" s="315">
        <v>7552</v>
      </c>
      <c r="BB229" s="315">
        <v>24675</v>
      </c>
      <c r="BC229" s="315">
        <v>75374</v>
      </c>
      <c r="BD229" s="315">
        <v>170258</v>
      </c>
      <c r="BE229" s="315">
        <v>-542449</v>
      </c>
      <c r="BF229" s="315">
        <v>-533687</v>
      </c>
      <c r="BG229" s="315">
        <v>-61890</v>
      </c>
      <c r="BH229" s="315">
        <v>-471797</v>
      </c>
      <c r="BI229" s="315">
        <v>0</v>
      </c>
      <c r="BJ229" s="315">
        <v>-45976</v>
      </c>
      <c r="BK229" s="315">
        <v>-487711</v>
      </c>
      <c r="BL229" s="315">
        <v>-6109</v>
      </c>
      <c r="BM229" s="315">
        <v>-2653</v>
      </c>
      <c r="BN229" s="315">
        <v>-81260</v>
      </c>
      <c r="BO229" s="315">
        <v>138033</v>
      </c>
      <c r="BP229" s="315">
        <v>16324</v>
      </c>
      <c r="BQ229" s="315">
        <v>11339</v>
      </c>
      <c r="BR229" s="315">
        <v>76</v>
      </c>
      <c r="BS229" s="315">
        <v>166977</v>
      </c>
      <c r="BT229" s="315">
        <v>11197</v>
      </c>
      <c r="BU229" s="315">
        <v>147481</v>
      </c>
      <c r="BV229" s="315">
        <v>690</v>
      </c>
      <c r="BW229" s="315">
        <v>7609</v>
      </c>
      <c r="BX229" s="315">
        <v>-17589</v>
      </c>
      <c r="BY229" s="315">
        <v>-396423</v>
      </c>
      <c r="BZ229" s="315">
        <v>3</v>
      </c>
      <c r="CA229" s="315">
        <v>135473</v>
      </c>
      <c r="CB229" s="315">
        <v>-57206</v>
      </c>
      <c r="CC229" s="315">
        <v>-55035</v>
      </c>
      <c r="CD229" s="315">
        <v>-2171</v>
      </c>
      <c r="CE229" s="315">
        <v>78267</v>
      </c>
      <c r="CF229" s="315">
        <v>125344</v>
      </c>
      <c r="CG229" s="315">
        <v>54</v>
      </c>
      <c r="CH229" s="315">
        <v>-47131</v>
      </c>
      <c r="CI229" s="315">
        <v>4888378</v>
      </c>
      <c r="CJ229" s="315">
        <v>776719</v>
      </c>
      <c r="CK229" s="315">
        <v>4111659</v>
      </c>
      <c r="CL229" s="315">
        <v>3568570</v>
      </c>
      <c r="CM229" s="315">
        <v>55126</v>
      </c>
      <c r="CN229" s="315">
        <v>487963</v>
      </c>
      <c r="CO229" s="315">
        <v>0</v>
      </c>
      <c r="CP229" s="315">
        <v>12384</v>
      </c>
      <c r="CQ229" s="315">
        <v>475579</v>
      </c>
      <c r="CR229" s="315">
        <v>-2248717</v>
      </c>
      <c r="CS229" s="315">
        <v>-701737</v>
      </c>
      <c r="CT229" s="315">
        <v>-608203</v>
      </c>
      <c r="CU229" s="315">
        <v>-31034</v>
      </c>
      <c r="CV229" s="315">
        <v>-166</v>
      </c>
      <c r="CW229" s="315">
        <v>-62334</v>
      </c>
      <c r="CX229" s="315">
        <v>-1374776</v>
      </c>
      <c r="CY229" s="315">
        <v>-1154222</v>
      </c>
      <c r="CZ229" s="315">
        <v>-215534</v>
      </c>
      <c r="DA229" s="315">
        <v>-5020</v>
      </c>
      <c r="DB229" s="315">
        <v>0</v>
      </c>
      <c r="DC229" s="315">
        <v>-172204</v>
      </c>
      <c r="DD229" s="315">
        <v>2639661</v>
      </c>
      <c r="DE229" s="315">
        <v>495596</v>
      </c>
      <c r="DF229" s="315">
        <v>2144065</v>
      </c>
      <c r="DG229" s="315">
        <v>2096648</v>
      </c>
      <c r="DH229" s="315">
        <v>47417</v>
      </c>
      <c r="DI229" s="315">
        <v>1966502</v>
      </c>
      <c r="DJ229" s="315">
        <v>56175</v>
      </c>
      <c r="DK229" s="315">
        <v>22536</v>
      </c>
      <c r="DL229" s="315">
        <v>1130</v>
      </c>
      <c r="DM229" s="315">
        <v>850618</v>
      </c>
      <c r="DN229" s="315">
        <v>925626</v>
      </c>
      <c r="DO229" s="315">
        <v>109303</v>
      </c>
      <c r="DP229" s="315"/>
      <c r="DQ229" s="315">
        <v>1078</v>
      </c>
      <c r="DR229" s="315">
        <v>36</v>
      </c>
      <c r="DS229" s="315">
        <v>-36910</v>
      </c>
      <c r="DT229" s="315">
        <v>-515</v>
      </c>
      <c r="DU229" s="315">
        <v>-48</v>
      </c>
      <c r="DV229" s="315">
        <v>-12</v>
      </c>
      <c r="DW229" s="315">
        <v>-21715</v>
      </c>
      <c r="DX229" s="315">
        <v>-20602</v>
      </c>
      <c r="DY229" s="315">
        <v>-676</v>
      </c>
      <c r="DZ229" s="315">
        <v>-437</v>
      </c>
      <c r="EA229" s="315">
        <v>-14346</v>
      </c>
      <c r="EB229" s="315">
        <v>-10</v>
      </c>
      <c r="EC229" s="315"/>
      <c r="ED229" s="315">
        <v>0</v>
      </c>
      <c r="EE229" s="315">
        <v>-264</v>
      </c>
      <c r="EF229" s="315">
        <v>1929592</v>
      </c>
      <c r="EG229" s="315">
        <v>896702</v>
      </c>
      <c r="EH229" s="315">
        <v>1032890</v>
      </c>
      <c r="EI229" s="315">
        <v>1016091</v>
      </c>
      <c r="EJ229" s="315">
        <v>16799</v>
      </c>
      <c r="EK229" s="315">
        <v>55660</v>
      </c>
      <c r="EL229" s="315">
        <v>21459</v>
      </c>
      <c r="EM229" s="315">
        <v>34201</v>
      </c>
      <c r="EN229" s="315">
        <v>33464</v>
      </c>
      <c r="EO229" s="315">
        <v>737</v>
      </c>
      <c r="EP229" s="315">
        <v>22488</v>
      </c>
      <c r="EQ229" s="315">
        <v>9126</v>
      </c>
      <c r="ER229" s="315">
        <v>13362</v>
      </c>
      <c r="ES229" s="315">
        <v>13086</v>
      </c>
      <c r="ET229" s="315">
        <v>276</v>
      </c>
      <c r="EU229" s="315">
        <v>1118</v>
      </c>
      <c r="EV229" s="315">
        <v>353</v>
      </c>
      <c r="EW229" s="315">
        <v>765</v>
      </c>
      <c r="EX229" s="315">
        <v>749</v>
      </c>
      <c r="EY229" s="315">
        <v>16</v>
      </c>
      <c r="EZ229" s="315">
        <v>828903</v>
      </c>
      <c r="FA229" s="315">
        <v>307790</v>
      </c>
      <c r="FB229" s="315">
        <v>521113</v>
      </c>
      <c r="FC229" s="315">
        <v>512750</v>
      </c>
      <c r="FD229" s="315">
        <v>8363</v>
      </c>
      <c r="FE229" s="315">
        <v>911280</v>
      </c>
      <c r="FF229" s="315">
        <v>568785</v>
      </c>
      <c r="FG229" s="315">
        <v>342495</v>
      </c>
      <c r="FH229" s="315">
        <v>335088</v>
      </c>
      <c r="FI229" s="315">
        <v>7407</v>
      </c>
      <c r="FJ229" s="315">
        <v>109293</v>
      </c>
      <c r="FK229" s="315">
        <v>-11661</v>
      </c>
      <c r="FL229" s="315">
        <v>120954</v>
      </c>
      <c r="FM229" s="315">
        <v>120954</v>
      </c>
      <c r="FN229" s="315"/>
      <c r="FO229" s="315"/>
      <c r="FP229" s="315">
        <v>1078</v>
      </c>
      <c r="FQ229" s="315">
        <v>-228</v>
      </c>
      <c r="FR229" s="315">
        <v>407641</v>
      </c>
      <c r="FS229" s="315">
        <v>-38549</v>
      </c>
      <c r="FT229" s="315">
        <v>369092</v>
      </c>
      <c r="FU229" s="315">
        <v>2856</v>
      </c>
      <c r="FV229" s="315">
        <v>2856</v>
      </c>
      <c r="FW229" s="315"/>
      <c r="FX229" s="315">
        <v>95133</v>
      </c>
      <c r="FY229" s="315">
        <v>110493</v>
      </c>
      <c r="FZ229" s="315"/>
      <c r="GA229" s="315"/>
      <c r="GB229" s="315">
        <v>48</v>
      </c>
      <c r="GC229" s="315">
        <v>54091</v>
      </c>
      <c r="GD229" s="315">
        <v>-16938</v>
      </c>
      <c r="GE229" s="315"/>
      <c r="GF229" s="315">
        <v>71029</v>
      </c>
      <c r="GG229" s="315">
        <v>106471</v>
      </c>
      <c r="GH229" s="315">
        <v>19494</v>
      </c>
      <c r="GI229" s="315">
        <v>325</v>
      </c>
      <c r="GJ229" s="315">
        <v>86652</v>
      </c>
      <c r="GL229"/>
      <c r="GM229"/>
      <c r="GN229"/>
      <c r="GO229"/>
    </row>
    <row r="230" spans="1:197">
      <c r="A230" s="98" t="s">
        <v>31</v>
      </c>
      <c r="B230" s="98">
        <v>7</v>
      </c>
      <c r="C230" s="98" t="s">
        <v>223</v>
      </c>
      <c r="D230" s="315">
        <v>28960821</v>
      </c>
      <c r="E230" s="315">
        <v>-4219453</v>
      </c>
      <c r="F230" s="315">
        <v>-13266</v>
      </c>
      <c r="G230" s="315">
        <v>24728102</v>
      </c>
      <c r="H230" s="315">
        <v>20194050</v>
      </c>
      <c r="I230" s="315">
        <v>4534052</v>
      </c>
      <c r="J230" s="315">
        <v>4368017</v>
      </c>
      <c r="K230" s="315">
        <v>166035</v>
      </c>
      <c r="L230" s="315">
        <v>13990147</v>
      </c>
      <c r="M230" s="315">
        <v>8829610</v>
      </c>
      <c r="N230" s="315">
        <v>3713311</v>
      </c>
      <c r="O230" s="315">
        <v>3628237</v>
      </c>
      <c r="P230" s="315">
        <v>85074</v>
      </c>
      <c r="Q230" s="315">
        <v>66051</v>
      </c>
      <c r="R230" s="315">
        <v>1381175</v>
      </c>
      <c r="S230" s="315">
        <v>-1429276</v>
      </c>
      <c r="T230" s="315">
        <v>-1405132</v>
      </c>
      <c r="U230" s="315">
        <v>-51688</v>
      </c>
      <c r="V230" s="315">
        <v>-24</v>
      </c>
      <c r="W230" s="315">
        <v>-1317964</v>
      </c>
      <c r="X230" s="315">
        <v>0</v>
      </c>
      <c r="Y230" s="315">
        <v>-35456</v>
      </c>
      <c r="Z230" s="315">
        <v>-19897</v>
      </c>
      <c r="AA230" s="315">
        <v>-4247</v>
      </c>
      <c r="AB230" s="315">
        <v>0</v>
      </c>
      <c r="AC230" s="315">
        <v>-13266</v>
      </c>
      <c r="AD230" s="315">
        <v>12547605</v>
      </c>
      <c r="AE230" s="315">
        <v>11048477</v>
      </c>
      <c r="AF230" s="315">
        <v>1499128</v>
      </c>
      <c r="AG230" s="315">
        <v>1431825</v>
      </c>
      <c r="AH230" s="315">
        <v>67303</v>
      </c>
      <c r="AI230" s="315">
        <v>8825948</v>
      </c>
      <c r="AJ230" s="315">
        <v>2167783</v>
      </c>
      <c r="AK230" s="315">
        <v>2972041</v>
      </c>
      <c r="AL230" s="315">
        <v>3479961</v>
      </c>
      <c r="AM230" s="315">
        <v>508969</v>
      </c>
      <c r="AN230" s="315">
        <v>364701</v>
      </c>
      <c r="AO230" s="315">
        <v>37365</v>
      </c>
      <c r="AP230" s="315">
        <v>19725</v>
      </c>
      <c r="AQ230" s="315">
        <v>449709</v>
      </c>
      <c r="AR230" s="315">
        <v>2308179</v>
      </c>
      <c r="AS230" s="315">
        <v>46154</v>
      </c>
      <c r="AT230" s="315">
        <v>121</v>
      </c>
      <c r="AU230" s="315">
        <v>-13266</v>
      </c>
      <c r="AV230" s="315">
        <v>2322914</v>
      </c>
      <c r="AW230" s="315">
        <v>19944</v>
      </c>
      <c r="AX230" s="315">
        <v>196040</v>
      </c>
      <c r="AY230" s="315">
        <v>76400</v>
      </c>
      <c r="AZ230" s="315">
        <v>8122</v>
      </c>
      <c r="BA230" s="315">
        <v>83012</v>
      </c>
      <c r="BB230" s="315">
        <v>28506</v>
      </c>
      <c r="BC230" s="315">
        <v>535882</v>
      </c>
      <c r="BD230" s="315">
        <v>1571048</v>
      </c>
      <c r="BE230" s="315">
        <v>-237079</v>
      </c>
      <c r="BF230" s="315">
        <v>-165033</v>
      </c>
      <c r="BG230" s="315">
        <v>-84341</v>
      </c>
      <c r="BH230" s="315">
        <v>-80692</v>
      </c>
      <c r="BI230" s="315">
        <v>0</v>
      </c>
      <c r="BJ230" s="315">
        <v>-51923</v>
      </c>
      <c r="BK230" s="315">
        <v>-113110</v>
      </c>
      <c r="BL230" s="315">
        <v>-71780</v>
      </c>
      <c r="BM230" s="315">
        <v>-266</v>
      </c>
      <c r="BN230" s="315">
        <v>2085835</v>
      </c>
      <c r="BO230" s="315">
        <v>1154582</v>
      </c>
      <c r="BP230" s="315">
        <v>148308</v>
      </c>
      <c r="BQ230" s="315">
        <v>15911</v>
      </c>
      <c r="BR230" s="315">
        <v>93</v>
      </c>
      <c r="BS230" s="315">
        <v>-51652</v>
      </c>
      <c r="BT230" s="315">
        <v>1345</v>
      </c>
      <c r="BU230" s="315">
        <v>2551</v>
      </c>
      <c r="BV230" s="315">
        <v>621</v>
      </c>
      <c r="BW230" s="315">
        <v>-56169</v>
      </c>
      <c r="BX230" s="315">
        <v>111699</v>
      </c>
      <c r="BY230" s="315">
        <v>455190</v>
      </c>
      <c r="BZ230" s="315">
        <v>251704</v>
      </c>
      <c r="CA230" s="315">
        <v>949288</v>
      </c>
      <c r="CB230" s="315">
        <v>-54043</v>
      </c>
      <c r="CC230" s="315">
        <v>-53826</v>
      </c>
      <c r="CD230" s="315">
        <v>-217</v>
      </c>
      <c r="CE230" s="315">
        <v>895245</v>
      </c>
      <c r="CF230" s="315">
        <v>116147</v>
      </c>
      <c r="CG230" s="315">
        <v>9</v>
      </c>
      <c r="CH230" s="315">
        <v>779089</v>
      </c>
      <c r="CI230" s="315">
        <v>9478559</v>
      </c>
      <c r="CJ230" s="315">
        <v>778025</v>
      </c>
      <c r="CK230" s="315">
        <v>8700534</v>
      </c>
      <c r="CL230" s="315">
        <v>3645362</v>
      </c>
      <c r="CM230" s="315">
        <v>4608289</v>
      </c>
      <c r="CN230" s="315">
        <v>446883</v>
      </c>
      <c r="CO230" s="315">
        <v>0</v>
      </c>
      <c r="CP230" s="315">
        <v>0</v>
      </c>
      <c r="CQ230" s="315">
        <v>446883</v>
      </c>
      <c r="CR230" s="315">
        <v>-2422944</v>
      </c>
      <c r="CS230" s="315">
        <v>-829923</v>
      </c>
      <c r="CT230" s="315">
        <v>-745599</v>
      </c>
      <c r="CU230" s="315">
        <v>-15455</v>
      </c>
      <c r="CV230" s="315">
        <v>-463</v>
      </c>
      <c r="CW230" s="315">
        <v>-68406</v>
      </c>
      <c r="CX230" s="315">
        <v>-1319877</v>
      </c>
      <c r="CY230" s="315">
        <v>-1128284</v>
      </c>
      <c r="CZ230" s="315">
        <v>-180774</v>
      </c>
      <c r="DA230" s="315">
        <v>-10819</v>
      </c>
      <c r="DB230" s="315">
        <v>-273144</v>
      </c>
      <c r="DC230" s="315">
        <v>0</v>
      </c>
      <c r="DD230" s="315">
        <v>7055615</v>
      </c>
      <c r="DE230" s="315">
        <v>4203184</v>
      </c>
      <c r="DF230" s="315">
        <v>2852431</v>
      </c>
      <c r="DG230" s="315">
        <v>2761204</v>
      </c>
      <c r="DH230" s="315">
        <v>91227</v>
      </c>
      <c r="DI230" s="315">
        <v>1651325</v>
      </c>
      <c r="DJ230" s="315">
        <v>41876</v>
      </c>
      <c r="DK230" s="315">
        <v>24739</v>
      </c>
      <c r="DL230" s="315">
        <v>1390</v>
      </c>
      <c r="DM230" s="315">
        <v>888192</v>
      </c>
      <c r="DN230" s="315">
        <v>545972</v>
      </c>
      <c r="DO230" s="315">
        <v>109029</v>
      </c>
      <c r="DP230" s="315"/>
      <c r="DQ230" s="315">
        <v>40090</v>
      </c>
      <c r="DR230" s="315">
        <v>37</v>
      </c>
      <c r="DS230" s="315">
        <v>-35687</v>
      </c>
      <c r="DT230" s="315">
        <v>-12166</v>
      </c>
      <c r="DU230" s="315">
        <v>-3357</v>
      </c>
      <c r="DV230" s="315">
        <v>-2</v>
      </c>
      <c r="DW230" s="315">
        <v>-20013</v>
      </c>
      <c r="DX230" s="315">
        <v>-18984</v>
      </c>
      <c r="DY230" s="315">
        <v>-47</v>
      </c>
      <c r="DZ230" s="315">
        <v>-982</v>
      </c>
      <c r="EA230" s="315">
        <v>-1</v>
      </c>
      <c r="EB230" s="315">
        <v>-99</v>
      </c>
      <c r="EC230" s="315"/>
      <c r="ED230" s="315">
        <v>0</v>
      </c>
      <c r="EE230" s="315">
        <v>-49</v>
      </c>
      <c r="EF230" s="315">
        <v>1615638</v>
      </c>
      <c r="EG230" s="315">
        <v>1433145</v>
      </c>
      <c r="EH230" s="315">
        <v>182493</v>
      </c>
      <c r="EI230" s="315">
        <v>174988</v>
      </c>
      <c r="EJ230" s="315">
        <v>7505</v>
      </c>
      <c r="EK230" s="315">
        <v>29710</v>
      </c>
      <c r="EL230" s="315">
        <v>19523</v>
      </c>
      <c r="EM230" s="315">
        <v>10187</v>
      </c>
      <c r="EN230" s="315">
        <v>10029</v>
      </c>
      <c r="EO230" s="315">
        <v>158</v>
      </c>
      <c r="EP230" s="315">
        <v>21382</v>
      </c>
      <c r="EQ230" s="315">
        <v>12345</v>
      </c>
      <c r="ER230" s="315">
        <v>9037</v>
      </c>
      <c r="ES230" s="315">
        <v>8876</v>
      </c>
      <c r="ET230" s="315">
        <v>161</v>
      </c>
      <c r="EU230" s="315">
        <v>1388</v>
      </c>
      <c r="EV230" s="315">
        <v>1430</v>
      </c>
      <c r="EW230" s="315">
        <v>-42</v>
      </c>
      <c r="EX230" s="315">
        <v>-40</v>
      </c>
      <c r="EY230" s="315">
        <v>-2</v>
      </c>
      <c r="EZ230" s="315">
        <v>868179</v>
      </c>
      <c r="FA230" s="315">
        <v>637423</v>
      </c>
      <c r="FB230" s="315">
        <v>230756</v>
      </c>
      <c r="FC230" s="315">
        <v>228902</v>
      </c>
      <c r="FD230" s="315">
        <v>1854</v>
      </c>
      <c r="FE230" s="315">
        <v>545971</v>
      </c>
      <c r="FF230" s="315">
        <v>701781</v>
      </c>
      <c r="FG230" s="315">
        <v>-155810</v>
      </c>
      <c r="FH230" s="315">
        <v>-161144</v>
      </c>
      <c r="FI230" s="315">
        <v>5334</v>
      </c>
      <c r="FJ230" s="315">
        <v>108930</v>
      </c>
      <c r="FK230" s="315">
        <v>20565</v>
      </c>
      <c r="FL230" s="315">
        <v>88365</v>
      </c>
      <c r="FM230" s="315">
        <v>88365</v>
      </c>
      <c r="FN230" s="315"/>
      <c r="FO230" s="315"/>
      <c r="FP230" s="315">
        <v>40090</v>
      </c>
      <c r="FQ230" s="315">
        <v>-12</v>
      </c>
      <c r="FR230" s="315">
        <v>568588</v>
      </c>
      <c r="FS230" s="315">
        <v>-40424</v>
      </c>
      <c r="FT230" s="315">
        <v>528164</v>
      </c>
      <c r="FU230" s="315">
        <v>104234</v>
      </c>
      <c r="FV230" s="315">
        <v>104234</v>
      </c>
      <c r="FW230" s="315"/>
      <c r="FX230" s="315">
        <v>97704</v>
      </c>
      <c r="FY230" s="315">
        <v>110057</v>
      </c>
      <c r="FZ230" s="315"/>
      <c r="GA230" s="315"/>
      <c r="GB230" s="315">
        <v>10</v>
      </c>
      <c r="GC230" s="315">
        <v>45044</v>
      </c>
      <c r="GD230" s="315">
        <v>-10819</v>
      </c>
      <c r="GE230" s="315"/>
      <c r="GF230" s="315">
        <v>55863</v>
      </c>
      <c r="GG230" s="315">
        <v>171115</v>
      </c>
      <c r="GH230" s="315">
        <v>36489</v>
      </c>
      <c r="GI230" s="315">
        <v>436</v>
      </c>
      <c r="GJ230" s="315">
        <v>134190</v>
      </c>
      <c r="GL230"/>
      <c r="GM230"/>
      <c r="GN230"/>
      <c r="GO230"/>
    </row>
    <row r="231" spans="1:197">
      <c r="A231" s="98" t="s">
        <v>31</v>
      </c>
      <c r="B231" s="98">
        <v>8</v>
      </c>
      <c r="C231" s="98" t="s">
        <v>224</v>
      </c>
      <c r="D231" s="315">
        <v>8116572</v>
      </c>
      <c r="E231" s="315">
        <v>-4411603</v>
      </c>
      <c r="F231" s="315">
        <v>-13266</v>
      </c>
      <c r="G231" s="315">
        <v>3691703</v>
      </c>
      <c r="H231" s="315">
        <v>-2261173</v>
      </c>
      <c r="I231" s="315">
        <v>5952876</v>
      </c>
      <c r="J231" s="315">
        <v>5828359</v>
      </c>
      <c r="K231" s="315">
        <v>124517</v>
      </c>
      <c r="L231" s="315">
        <v>951267</v>
      </c>
      <c r="M231" s="315">
        <v>761035</v>
      </c>
      <c r="N231" s="315">
        <v>96365</v>
      </c>
      <c r="O231" s="315">
        <v>24166</v>
      </c>
      <c r="P231" s="315">
        <v>72199</v>
      </c>
      <c r="Q231" s="315">
        <v>50153</v>
      </c>
      <c r="R231" s="315">
        <v>43714</v>
      </c>
      <c r="S231" s="315">
        <v>-855607</v>
      </c>
      <c r="T231" s="315">
        <v>-851265</v>
      </c>
      <c r="U231" s="315">
        <v>-50611</v>
      </c>
      <c r="V231" s="315">
        <v>-21</v>
      </c>
      <c r="W231" s="315">
        <v>-781470</v>
      </c>
      <c r="X231" s="315">
        <v>0</v>
      </c>
      <c r="Y231" s="315">
        <v>-19163</v>
      </c>
      <c r="Z231" s="315">
        <v>-1541</v>
      </c>
      <c r="AA231" s="315">
        <v>-2801</v>
      </c>
      <c r="AB231" s="315">
        <v>0</v>
      </c>
      <c r="AC231" s="315">
        <v>-13266</v>
      </c>
      <c r="AD231" s="315">
        <v>82394</v>
      </c>
      <c r="AE231" s="315">
        <v>-2693402</v>
      </c>
      <c r="AF231" s="315">
        <v>2775796</v>
      </c>
      <c r="AG231" s="315">
        <v>2715606</v>
      </c>
      <c r="AH231" s="315">
        <v>60190</v>
      </c>
      <c r="AI231" s="315">
        <v>758665</v>
      </c>
      <c r="AJ231" s="315">
        <v>435550</v>
      </c>
      <c r="AK231" s="315">
        <v>161204</v>
      </c>
      <c r="AL231" s="315">
        <v>8358</v>
      </c>
      <c r="AM231" s="315">
        <v>10057</v>
      </c>
      <c r="AN231" s="315">
        <v>17193</v>
      </c>
      <c r="AO231" s="315">
        <v>747</v>
      </c>
      <c r="AP231" s="315">
        <v>0</v>
      </c>
      <c r="AQ231" s="315">
        <v>15284</v>
      </c>
      <c r="AR231" s="315">
        <v>-754900</v>
      </c>
      <c r="AS231" s="315">
        <v>48612</v>
      </c>
      <c r="AT231" s="315">
        <v>2</v>
      </c>
      <c r="AU231" s="315">
        <v>-13266</v>
      </c>
      <c r="AV231" s="315">
        <v>3756168</v>
      </c>
      <c r="AW231" s="315">
        <v>6179</v>
      </c>
      <c r="AX231" s="315">
        <v>3412479</v>
      </c>
      <c r="AY231" s="315">
        <v>1387845</v>
      </c>
      <c r="AZ231" s="315">
        <v>441753</v>
      </c>
      <c r="BA231" s="315">
        <v>1545781</v>
      </c>
      <c r="BB231" s="315">
        <v>37100</v>
      </c>
      <c r="BC231" s="315">
        <v>200857</v>
      </c>
      <c r="BD231" s="315">
        <v>136653</v>
      </c>
      <c r="BE231" s="315">
        <v>-978708</v>
      </c>
      <c r="BF231" s="315">
        <v>-19793</v>
      </c>
      <c r="BG231" s="315">
        <v>-13824</v>
      </c>
      <c r="BH231" s="315">
        <v>-5969</v>
      </c>
      <c r="BI231" s="315">
        <v>0</v>
      </c>
      <c r="BJ231" s="315">
        <v>-9887</v>
      </c>
      <c r="BK231" s="315">
        <v>-9906</v>
      </c>
      <c r="BL231" s="315">
        <v>-383</v>
      </c>
      <c r="BM231" s="315">
        <v>-958532</v>
      </c>
      <c r="BN231" s="315">
        <v>2777460</v>
      </c>
      <c r="BO231" s="315">
        <v>-955703</v>
      </c>
      <c r="BP231" s="315">
        <v>2025</v>
      </c>
      <c r="BQ231" s="315">
        <v>317</v>
      </c>
      <c r="BR231" s="315">
        <v>0</v>
      </c>
      <c r="BS231" s="315">
        <v>5934</v>
      </c>
      <c r="BT231" s="315">
        <v>139</v>
      </c>
      <c r="BU231" s="315">
        <v>50</v>
      </c>
      <c r="BV231" s="315">
        <v>187</v>
      </c>
      <c r="BW231" s="315">
        <v>5558</v>
      </c>
      <c r="BX231" s="315">
        <v>3398655</v>
      </c>
      <c r="BY231" s="315">
        <v>194888</v>
      </c>
      <c r="BZ231" s="315">
        <v>131344</v>
      </c>
      <c r="CA231" s="315">
        <v>119343</v>
      </c>
      <c r="CB231" s="315">
        <v>-807910</v>
      </c>
      <c r="CC231" s="315">
        <v>-23656</v>
      </c>
      <c r="CD231" s="315">
        <v>-784254</v>
      </c>
      <c r="CE231" s="315">
        <v>-688567</v>
      </c>
      <c r="CF231" s="315">
        <v>16133</v>
      </c>
      <c r="CG231" s="315">
        <v>2</v>
      </c>
      <c r="CH231" s="315">
        <v>-704702</v>
      </c>
      <c r="CI231" s="315">
        <v>1274967</v>
      </c>
      <c r="CJ231" s="315">
        <v>772494</v>
      </c>
      <c r="CK231" s="315">
        <v>502473</v>
      </c>
      <c r="CL231" s="315">
        <v>71569</v>
      </c>
      <c r="CM231" s="315">
        <v>31623</v>
      </c>
      <c r="CN231" s="315">
        <v>399281</v>
      </c>
      <c r="CO231" s="315">
        <v>0</v>
      </c>
      <c r="CP231" s="315">
        <v>0</v>
      </c>
      <c r="CQ231" s="315">
        <v>399281</v>
      </c>
      <c r="CR231" s="315">
        <v>-1724061</v>
      </c>
      <c r="CS231" s="315">
        <v>-682997</v>
      </c>
      <c r="CT231" s="315">
        <v>-632036</v>
      </c>
      <c r="CU231" s="315">
        <v>-6449</v>
      </c>
      <c r="CV231" s="315">
        <v>-352</v>
      </c>
      <c r="CW231" s="315">
        <v>-44160</v>
      </c>
      <c r="CX231" s="315">
        <v>-1041064</v>
      </c>
      <c r="CY231" s="315">
        <v>-941771</v>
      </c>
      <c r="CZ231" s="315">
        <v>-97947</v>
      </c>
      <c r="DA231" s="315">
        <v>-1346</v>
      </c>
      <c r="DB231" s="315">
        <v>0</v>
      </c>
      <c r="DC231" s="315">
        <v>0</v>
      </c>
      <c r="DD231" s="315">
        <v>-449094</v>
      </c>
      <c r="DE231" s="315">
        <v>-2593235</v>
      </c>
      <c r="DF231" s="315">
        <v>2144141</v>
      </c>
      <c r="DG231" s="315">
        <v>2096646</v>
      </c>
      <c r="DH231" s="315">
        <v>47495</v>
      </c>
      <c r="DI231" s="315">
        <v>1675449</v>
      </c>
      <c r="DJ231" s="315">
        <v>114391</v>
      </c>
      <c r="DK231" s="315">
        <v>28977</v>
      </c>
      <c r="DL231" s="315">
        <v>2515</v>
      </c>
      <c r="DM231" s="315">
        <v>915472</v>
      </c>
      <c r="DN231" s="315">
        <v>496546</v>
      </c>
      <c r="DO231" s="315">
        <v>117138</v>
      </c>
      <c r="DP231" s="315"/>
      <c r="DQ231" s="315">
        <v>373</v>
      </c>
      <c r="DR231" s="315">
        <v>37</v>
      </c>
      <c r="DS231" s="315">
        <v>-10555</v>
      </c>
      <c r="DT231" s="315">
        <v>-497</v>
      </c>
      <c r="DU231" s="315">
        <v>-10</v>
      </c>
      <c r="DV231" s="315">
        <v>-18</v>
      </c>
      <c r="DW231" s="315">
        <v>-9703</v>
      </c>
      <c r="DX231" s="315">
        <v>-8945</v>
      </c>
      <c r="DY231" s="315">
        <v>-52</v>
      </c>
      <c r="DZ231" s="315">
        <v>-706</v>
      </c>
      <c r="EA231" s="315">
        <v>0</v>
      </c>
      <c r="EB231" s="315">
        <v>-178</v>
      </c>
      <c r="EC231" s="315"/>
      <c r="ED231" s="315">
        <v>-137</v>
      </c>
      <c r="EE231" s="315">
        <v>-12</v>
      </c>
      <c r="EF231" s="315">
        <v>1664894</v>
      </c>
      <c r="EG231" s="315">
        <v>631955</v>
      </c>
      <c r="EH231" s="315">
        <v>1032939</v>
      </c>
      <c r="EI231" s="315">
        <v>1016107</v>
      </c>
      <c r="EJ231" s="315">
        <v>16832</v>
      </c>
      <c r="EK231" s="315">
        <v>113894</v>
      </c>
      <c r="EL231" s="315">
        <v>79693</v>
      </c>
      <c r="EM231" s="315">
        <v>34201</v>
      </c>
      <c r="EN231" s="315">
        <v>33463</v>
      </c>
      <c r="EO231" s="315">
        <v>738</v>
      </c>
      <c r="EP231" s="315">
        <v>28967</v>
      </c>
      <c r="EQ231" s="315">
        <v>15571</v>
      </c>
      <c r="ER231" s="315">
        <v>13396</v>
      </c>
      <c r="ES231" s="315">
        <v>13102</v>
      </c>
      <c r="ET231" s="315">
        <v>294</v>
      </c>
      <c r="EU231" s="315">
        <v>2497</v>
      </c>
      <c r="EV231" s="315">
        <v>1730</v>
      </c>
      <c r="EW231" s="315">
        <v>767</v>
      </c>
      <c r="EX231" s="315">
        <v>750</v>
      </c>
      <c r="EY231" s="315">
        <v>17</v>
      </c>
      <c r="EZ231" s="315">
        <v>905769</v>
      </c>
      <c r="FA231" s="315">
        <v>384645</v>
      </c>
      <c r="FB231" s="315">
        <v>521124</v>
      </c>
      <c r="FC231" s="315">
        <v>512749</v>
      </c>
      <c r="FD231" s="315">
        <v>8375</v>
      </c>
      <c r="FE231" s="315">
        <v>496546</v>
      </c>
      <c r="FF231" s="315">
        <v>154049</v>
      </c>
      <c r="FG231" s="315">
        <v>342497</v>
      </c>
      <c r="FH231" s="315">
        <v>335089</v>
      </c>
      <c r="FI231" s="315">
        <v>7408</v>
      </c>
      <c r="FJ231" s="315">
        <v>116960</v>
      </c>
      <c r="FK231" s="315">
        <v>-3994</v>
      </c>
      <c r="FL231" s="315">
        <v>120954</v>
      </c>
      <c r="FM231" s="315">
        <v>120954</v>
      </c>
      <c r="FN231" s="315"/>
      <c r="FO231" s="315"/>
      <c r="FP231" s="315">
        <v>236</v>
      </c>
      <c r="FQ231" s="315">
        <v>25</v>
      </c>
      <c r="FR231" s="315">
        <v>339378</v>
      </c>
      <c r="FS231" s="315">
        <v>-34762</v>
      </c>
      <c r="FT231" s="315">
        <v>304616</v>
      </c>
      <c r="FU231" s="315">
        <v>316</v>
      </c>
      <c r="FV231" s="315">
        <v>316</v>
      </c>
      <c r="FW231" s="315"/>
      <c r="FX231" s="315">
        <v>110517</v>
      </c>
      <c r="FY231" s="315">
        <v>2636</v>
      </c>
      <c r="FZ231" s="315"/>
      <c r="GA231" s="315"/>
      <c r="GB231" s="315">
        <v>16527</v>
      </c>
      <c r="GC231" s="315">
        <v>42974</v>
      </c>
      <c r="GD231" s="315">
        <v>-2608</v>
      </c>
      <c r="GE231" s="315"/>
      <c r="GF231" s="315">
        <v>45582</v>
      </c>
      <c r="GG231" s="315">
        <v>131646</v>
      </c>
      <c r="GH231" s="315">
        <v>9444</v>
      </c>
      <c r="GI231" s="315">
        <v>459</v>
      </c>
      <c r="GJ231" s="315">
        <v>121743</v>
      </c>
      <c r="GL231"/>
      <c r="GM231"/>
      <c r="GN231"/>
      <c r="GO231"/>
    </row>
    <row r="232" spans="1:197">
      <c r="A232" s="98" t="s">
        <v>31</v>
      </c>
      <c r="B232" s="98">
        <v>9</v>
      </c>
      <c r="C232" s="98" t="s">
        <v>225</v>
      </c>
      <c r="D232" s="315">
        <v>20128353</v>
      </c>
      <c r="E232" s="315">
        <v>-2905953</v>
      </c>
      <c r="F232" s="315">
        <v>-13266</v>
      </c>
      <c r="G232" s="315">
        <v>17209134</v>
      </c>
      <c r="H232" s="315">
        <v>11256382</v>
      </c>
      <c r="I232" s="315">
        <v>5952752</v>
      </c>
      <c r="J232" s="315">
        <v>5828346</v>
      </c>
      <c r="K232" s="315">
        <v>124406</v>
      </c>
      <c r="L232" s="315">
        <v>8249639</v>
      </c>
      <c r="M232" s="315">
        <v>7236787</v>
      </c>
      <c r="N232" s="315">
        <v>103106</v>
      </c>
      <c r="O232" s="315">
        <v>26470</v>
      </c>
      <c r="P232" s="315">
        <v>76636</v>
      </c>
      <c r="Q232" s="315">
        <v>49885</v>
      </c>
      <c r="R232" s="315">
        <v>859861</v>
      </c>
      <c r="S232" s="315">
        <v>-586756</v>
      </c>
      <c r="T232" s="315">
        <v>-577829</v>
      </c>
      <c r="U232" s="315">
        <v>-51544</v>
      </c>
      <c r="V232" s="315">
        <v>-7</v>
      </c>
      <c r="W232" s="315">
        <v>-502639</v>
      </c>
      <c r="X232" s="315">
        <v>0</v>
      </c>
      <c r="Y232" s="315">
        <v>-23639</v>
      </c>
      <c r="Z232" s="315">
        <v>-2111</v>
      </c>
      <c r="AA232" s="315">
        <v>-6816</v>
      </c>
      <c r="AB232" s="315">
        <v>0</v>
      </c>
      <c r="AC232" s="315">
        <v>-13266</v>
      </c>
      <c r="AD232" s="315">
        <v>7649617</v>
      </c>
      <c r="AE232" s="315">
        <v>4873821</v>
      </c>
      <c r="AF232" s="315">
        <v>2775796</v>
      </c>
      <c r="AG232" s="315">
        <v>2715607</v>
      </c>
      <c r="AH232" s="315">
        <v>60189</v>
      </c>
      <c r="AI232" s="315">
        <v>7231657</v>
      </c>
      <c r="AJ232" s="315">
        <v>2466791</v>
      </c>
      <c r="AK232" s="315">
        <v>4571536</v>
      </c>
      <c r="AL232" s="315">
        <v>15865</v>
      </c>
      <c r="AM232" s="315">
        <v>662557</v>
      </c>
      <c r="AN232" s="315">
        <v>93033</v>
      </c>
      <c r="AO232" s="315">
        <v>43015</v>
      </c>
      <c r="AP232" s="315">
        <v>48054</v>
      </c>
      <c r="AQ232" s="315">
        <v>11516</v>
      </c>
      <c r="AR232" s="315">
        <v>-474723</v>
      </c>
      <c r="AS232" s="315">
        <v>47774</v>
      </c>
      <c r="AT232" s="315">
        <v>0</v>
      </c>
      <c r="AU232" s="315">
        <v>-13266</v>
      </c>
      <c r="AV232" s="315">
        <v>505203</v>
      </c>
      <c r="AW232" s="315">
        <v>5056</v>
      </c>
      <c r="AX232" s="315">
        <v>77905</v>
      </c>
      <c r="AY232" s="315">
        <v>8091</v>
      </c>
      <c r="AZ232" s="315">
        <v>23174</v>
      </c>
      <c r="BA232" s="315">
        <v>5376</v>
      </c>
      <c r="BB232" s="315">
        <v>41264</v>
      </c>
      <c r="BC232" s="315">
        <v>73040</v>
      </c>
      <c r="BD232" s="315">
        <v>349202</v>
      </c>
      <c r="BE232" s="315">
        <v>-46250</v>
      </c>
      <c r="BF232" s="315">
        <v>-44944</v>
      </c>
      <c r="BG232" s="315">
        <v>-27656</v>
      </c>
      <c r="BH232" s="315">
        <v>-17288</v>
      </c>
      <c r="BI232" s="315">
        <v>0</v>
      </c>
      <c r="BJ232" s="315">
        <v>-17994</v>
      </c>
      <c r="BK232" s="315">
        <v>-26950</v>
      </c>
      <c r="BL232" s="315">
        <v>-675</v>
      </c>
      <c r="BM232" s="315">
        <v>-631</v>
      </c>
      <c r="BN232" s="315">
        <v>458953</v>
      </c>
      <c r="BO232" s="315">
        <v>298272</v>
      </c>
      <c r="BP232" s="315">
        <v>31476</v>
      </c>
      <c r="BQ232" s="315">
        <v>18314</v>
      </c>
      <c r="BR232" s="315">
        <v>0</v>
      </c>
      <c r="BS232" s="315">
        <v>4585</v>
      </c>
      <c r="BT232" s="315">
        <v>265</v>
      </c>
      <c r="BU232" s="315">
        <v>0</v>
      </c>
      <c r="BV232" s="315">
        <v>202</v>
      </c>
      <c r="BW232" s="315">
        <v>4118</v>
      </c>
      <c r="BX232" s="315">
        <v>50249</v>
      </c>
      <c r="BY232" s="315">
        <v>55752</v>
      </c>
      <c r="BZ232" s="315">
        <v>305</v>
      </c>
      <c r="CA232" s="315">
        <v>286006</v>
      </c>
      <c r="CB232" s="315">
        <v>-22922</v>
      </c>
      <c r="CC232" s="315">
        <v>-22406</v>
      </c>
      <c r="CD232" s="315">
        <v>-516</v>
      </c>
      <c r="CE232" s="315">
        <v>263084</v>
      </c>
      <c r="CF232" s="315">
        <v>261049</v>
      </c>
      <c r="CG232" s="315">
        <v>1</v>
      </c>
      <c r="CH232" s="315">
        <v>2034</v>
      </c>
      <c r="CI232" s="315">
        <v>8596567</v>
      </c>
      <c r="CJ232" s="315">
        <v>776888</v>
      </c>
      <c r="CK232" s="315">
        <v>7819679</v>
      </c>
      <c r="CL232" s="315">
        <v>7328907</v>
      </c>
      <c r="CM232" s="315">
        <v>102937</v>
      </c>
      <c r="CN232" s="315">
        <v>387835</v>
      </c>
      <c r="CO232" s="315">
        <v>0</v>
      </c>
      <c r="CP232" s="315">
        <v>0</v>
      </c>
      <c r="CQ232" s="315">
        <v>387835</v>
      </c>
      <c r="CR232" s="315">
        <v>-2198674</v>
      </c>
      <c r="CS232" s="315">
        <v>-369974</v>
      </c>
      <c r="CT232" s="315">
        <v>-287469</v>
      </c>
      <c r="CU232" s="315">
        <v>-9492</v>
      </c>
      <c r="CV232" s="315">
        <v>-231</v>
      </c>
      <c r="CW232" s="315">
        <v>-72782</v>
      </c>
      <c r="CX232" s="315">
        <v>-1722367</v>
      </c>
      <c r="CY232" s="315">
        <v>-1641642</v>
      </c>
      <c r="CZ232" s="315">
        <v>-78938</v>
      </c>
      <c r="DA232" s="315">
        <v>-1787</v>
      </c>
      <c r="DB232" s="315">
        <v>0</v>
      </c>
      <c r="DC232" s="315">
        <v>-106333</v>
      </c>
      <c r="DD232" s="315">
        <v>6397893</v>
      </c>
      <c r="DE232" s="315">
        <v>4253829</v>
      </c>
      <c r="DF232" s="315">
        <v>2144064</v>
      </c>
      <c r="DG232" s="315">
        <v>2096647</v>
      </c>
      <c r="DH232" s="315">
        <v>47417</v>
      </c>
      <c r="DI232" s="315">
        <v>1626840</v>
      </c>
      <c r="DJ232" s="315">
        <v>87875</v>
      </c>
      <c r="DK232" s="315">
        <v>26913</v>
      </c>
      <c r="DL232" s="315">
        <v>1238</v>
      </c>
      <c r="DM232" s="315">
        <v>880994</v>
      </c>
      <c r="DN232" s="315">
        <v>505047</v>
      </c>
      <c r="DO232" s="315">
        <v>124723</v>
      </c>
      <c r="DP232" s="315"/>
      <c r="DQ232" s="315">
        <v>0</v>
      </c>
      <c r="DR232" s="315">
        <v>50</v>
      </c>
      <c r="DS232" s="315">
        <v>-15756</v>
      </c>
      <c r="DT232" s="315">
        <v>-1126</v>
      </c>
      <c r="DU232" s="315">
        <v>-116</v>
      </c>
      <c r="DV232" s="315">
        <v>-10</v>
      </c>
      <c r="DW232" s="315">
        <v>-7474</v>
      </c>
      <c r="DX232" s="315">
        <v>-6362</v>
      </c>
      <c r="DY232" s="315">
        <v>-75</v>
      </c>
      <c r="DZ232" s="315">
        <v>-1037</v>
      </c>
      <c r="EA232" s="315">
        <v>-6948</v>
      </c>
      <c r="EB232" s="315">
        <v>-38</v>
      </c>
      <c r="EC232" s="315"/>
      <c r="ED232" s="315">
        <v>0</v>
      </c>
      <c r="EE232" s="315">
        <v>-44</v>
      </c>
      <c r="EF232" s="315">
        <v>1611084</v>
      </c>
      <c r="EG232" s="315">
        <v>578192</v>
      </c>
      <c r="EH232" s="315">
        <v>1032892</v>
      </c>
      <c r="EI232" s="315">
        <v>1016092</v>
      </c>
      <c r="EJ232" s="315">
        <v>16800</v>
      </c>
      <c r="EK232" s="315">
        <v>86749</v>
      </c>
      <c r="EL232" s="315">
        <v>52547</v>
      </c>
      <c r="EM232" s="315">
        <v>34202</v>
      </c>
      <c r="EN232" s="315">
        <v>33464</v>
      </c>
      <c r="EO232" s="315">
        <v>738</v>
      </c>
      <c r="EP232" s="315">
        <v>26797</v>
      </c>
      <c r="EQ232" s="315">
        <v>13435</v>
      </c>
      <c r="ER232" s="315">
        <v>13362</v>
      </c>
      <c r="ES232" s="315">
        <v>13086</v>
      </c>
      <c r="ET232" s="315">
        <v>276</v>
      </c>
      <c r="EU232" s="315">
        <v>1228</v>
      </c>
      <c r="EV232" s="315">
        <v>461</v>
      </c>
      <c r="EW232" s="315">
        <v>767</v>
      </c>
      <c r="EX232" s="315">
        <v>750</v>
      </c>
      <c r="EY232" s="315">
        <v>17</v>
      </c>
      <c r="EZ232" s="315">
        <v>873520</v>
      </c>
      <c r="FA232" s="315">
        <v>352408</v>
      </c>
      <c r="FB232" s="315">
        <v>521112</v>
      </c>
      <c r="FC232" s="315">
        <v>512750</v>
      </c>
      <c r="FD232" s="315">
        <v>8362</v>
      </c>
      <c r="FE232" s="315">
        <v>498099</v>
      </c>
      <c r="FF232" s="315">
        <v>155604</v>
      </c>
      <c r="FG232" s="315">
        <v>342495</v>
      </c>
      <c r="FH232" s="315">
        <v>335088</v>
      </c>
      <c r="FI232" s="315">
        <v>7407</v>
      </c>
      <c r="FJ232" s="315">
        <v>124685</v>
      </c>
      <c r="FK232" s="315">
        <v>3731</v>
      </c>
      <c r="FL232" s="315">
        <v>120954</v>
      </c>
      <c r="FM232" s="315">
        <v>120954</v>
      </c>
      <c r="FN232" s="315"/>
      <c r="FO232" s="315"/>
      <c r="FP232" s="315">
        <v>0</v>
      </c>
      <c r="FQ232" s="315">
        <v>6</v>
      </c>
      <c r="FR232" s="315">
        <v>864098</v>
      </c>
      <c r="FS232" s="315">
        <v>-35595</v>
      </c>
      <c r="FT232" s="315">
        <v>828503</v>
      </c>
      <c r="FU232" s="315">
        <v>363411</v>
      </c>
      <c r="FV232" s="315">
        <v>363411</v>
      </c>
      <c r="FW232" s="315"/>
      <c r="FX232" s="315">
        <v>131021</v>
      </c>
      <c r="FY232" s="315">
        <v>214049</v>
      </c>
      <c r="FZ232" s="315"/>
      <c r="GA232" s="315"/>
      <c r="GB232" s="315">
        <v>6</v>
      </c>
      <c r="GC232" s="315">
        <v>44122</v>
      </c>
      <c r="GD232" s="315">
        <v>-8759</v>
      </c>
      <c r="GE232" s="315"/>
      <c r="GF232" s="315">
        <v>52881</v>
      </c>
      <c r="GG232" s="315">
        <v>75894</v>
      </c>
      <c r="GH232" s="315">
        <v>9390</v>
      </c>
      <c r="GI232" s="315">
        <v>182</v>
      </c>
      <c r="GJ232" s="315">
        <v>66322</v>
      </c>
      <c r="GL232"/>
      <c r="GM232"/>
      <c r="GN232"/>
      <c r="GO232"/>
    </row>
    <row r="233" spans="1:197">
      <c r="A233" s="98" t="s">
        <v>31</v>
      </c>
      <c r="B233" s="98">
        <v>10</v>
      </c>
      <c r="C233" s="98" t="s">
        <v>226</v>
      </c>
      <c r="D233" s="315">
        <v>29284222</v>
      </c>
      <c r="E233" s="315">
        <v>-2410670</v>
      </c>
      <c r="F233" s="315">
        <v>-13266</v>
      </c>
      <c r="G233" s="315">
        <v>26860286</v>
      </c>
      <c r="H233" s="315">
        <v>20942226</v>
      </c>
      <c r="I233" s="315">
        <v>5918060</v>
      </c>
      <c r="J233" s="315">
        <v>5828345</v>
      </c>
      <c r="K233" s="315">
        <v>89715</v>
      </c>
      <c r="L233" s="315">
        <v>8533574</v>
      </c>
      <c r="M233" s="315">
        <v>7126942</v>
      </c>
      <c r="N233" s="315">
        <v>114060</v>
      </c>
      <c r="O233" s="315">
        <v>26482</v>
      </c>
      <c r="P233" s="315">
        <v>87578</v>
      </c>
      <c r="Q233" s="315">
        <v>50156</v>
      </c>
      <c r="R233" s="315">
        <v>1242416</v>
      </c>
      <c r="S233" s="315">
        <v>-505393</v>
      </c>
      <c r="T233" s="315">
        <v>-487758</v>
      </c>
      <c r="U233" s="315">
        <v>-51121</v>
      </c>
      <c r="V233" s="315">
        <v>-14</v>
      </c>
      <c r="W233" s="315">
        <v>-406657</v>
      </c>
      <c r="X233" s="315">
        <v>0</v>
      </c>
      <c r="Y233" s="315">
        <v>-29966</v>
      </c>
      <c r="Z233" s="315">
        <v>-4868</v>
      </c>
      <c r="AA233" s="315">
        <v>-12767</v>
      </c>
      <c r="AB233" s="315">
        <v>0</v>
      </c>
      <c r="AC233" s="315">
        <v>-13266</v>
      </c>
      <c r="AD233" s="315">
        <v>8014915</v>
      </c>
      <c r="AE233" s="315">
        <v>5248512</v>
      </c>
      <c r="AF233" s="315">
        <v>2766403</v>
      </c>
      <c r="AG233" s="315">
        <v>2715605</v>
      </c>
      <c r="AH233" s="315">
        <v>50798</v>
      </c>
      <c r="AI233" s="315">
        <v>7121216</v>
      </c>
      <c r="AJ233" s="315">
        <v>1518122</v>
      </c>
      <c r="AK233" s="315">
        <v>2197742</v>
      </c>
      <c r="AL233" s="315">
        <v>3224876</v>
      </c>
      <c r="AM233" s="315">
        <v>369124</v>
      </c>
      <c r="AN233" s="315">
        <v>365326</v>
      </c>
      <c r="AO233" s="315">
        <v>31984</v>
      </c>
      <c r="AP233" s="315">
        <v>16071</v>
      </c>
      <c r="AQ233" s="315">
        <v>452870</v>
      </c>
      <c r="AR233" s="315">
        <v>-373698</v>
      </c>
      <c r="AS233" s="315">
        <v>45288</v>
      </c>
      <c r="AT233" s="315">
        <v>0</v>
      </c>
      <c r="AU233" s="315">
        <v>-13266</v>
      </c>
      <c r="AV233" s="315">
        <v>8545588</v>
      </c>
      <c r="AW233" s="315">
        <v>7489396</v>
      </c>
      <c r="AX233" s="315">
        <v>80188</v>
      </c>
      <c r="AY233" s="315">
        <v>12043</v>
      </c>
      <c r="AZ233" s="315">
        <v>5808</v>
      </c>
      <c r="BA233" s="315">
        <v>7831</v>
      </c>
      <c r="BB233" s="315">
        <v>54506</v>
      </c>
      <c r="BC233" s="315">
        <v>92341</v>
      </c>
      <c r="BD233" s="315">
        <v>883663</v>
      </c>
      <c r="BE233" s="315">
        <v>-73245</v>
      </c>
      <c r="BF233" s="315">
        <v>-53353</v>
      </c>
      <c r="BG233" s="315">
        <v>-29300</v>
      </c>
      <c r="BH233" s="315">
        <v>-24053</v>
      </c>
      <c r="BI233" s="315">
        <v>-97</v>
      </c>
      <c r="BJ233" s="315">
        <v>-13822</v>
      </c>
      <c r="BK233" s="315">
        <v>-39434</v>
      </c>
      <c r="BL233" s="315">
        <v>-1733</v>
      </c>
      <c r="BM233" s="315">
        <v>-18159</v>
      </c>
      <c r="BN233" s="315">
        <v>8472343</v>
      </c>
      <c r="BO233" s="315">
        <v>700002</v>
      </c>
      <c r="BP233" s="315">
        <v>149312</v>
      </c>
      <c r="BQ233" s="315">
        <v>13596</v>
      </c>
      <c r="BR233" s="315">
        <v>416</v>
      </c>
      <c r="BS233" s="315">
        <v>7489128</v>
      </c>
      <c r="BT233" s="315">
        <v>2767764</v>
      </c>
      <c r="BU233" s="315">
        <v>4175967</v>
      </c>
      <c r="BV233" s="315">
        <v>533831</v>
      </c>
      <c r="BW233" s="315">
        <v>11566</v>
      </c>
      <c r="BX233" s="315">
        <v>50888</v>
      </c>
      <c r="BY233" s="315">
        <v>68288</v>
      </c>
      <c r="BZ233" s="315">
        <v>713</v>
      </c>
      <c r="CA233" s="315">
        <v>608308</v>
      </c>
      <c r="CB233" s="315">
        <v>-32838</v>
      </c>
      <c r="CC233" s="315">
        <v>-17981</v>
      </c>
      <c r="CD233" s="315">
        <v>-14857</v>
      </c>
      <c r="CE233" s="315">
        <v>575470</v>
      </c>
      <c r="CF233" s="315">
        <v>104040</v>
      </c>
      <c r="CG233" s="315">
        <v>19924</v>
      </c>
      <c r="CH233" s="315">
        <v>451506</v>
      </c>
      <c r="CI233" s="315">
        <v>9474855</v>
      </c>
      <c r="CJ233" s="315">
        <v>828597</v>
      </c>
      <c r="CK233" s="315">
        <v>8646258</v>
      </c>
      <c r="CL233" s="315">
        <v>3544072</v>
      </c>
      <c r="CM233" s="315">
        <v>4633913</v>
      </c>
      <c r="CN233" s="315">
        <v>468273</v>
      </c>
      <c r="CO233" s="315">
        <v>0</v>
      </c>
      <c r="CP233" s="315">
        <v>0</v>
      </c>
      <c r="CQ233" s="315">
        <v>468273</v>
      </c>
      <c r="CR233" s="315">
        <v>-1716198</v>
      </c>
      <c r="CS233" s="315">
        <v>-382730</v>
      </c>
      <c r="CT233" s="315">
        <v>-262559</v>
      </c>
      <c r="CU233" s="315">
        <v>-10839</v>
      </c>
      <c r="CV233" s="315">
        <v>-224</v>
      </c>
      <c r="CW233" s="315">
        <v>-109108</v>
      </c>
      <c r="CX233" s="315">
        <v>-1086234</v>
      </c>
      <c r="CY233" s="315">
        <v>-1023933</v>
      </c>
      <c r="CZ233" s="315">
        <v>-56508</v>
      </c>
      <c r="DA233" s="315">
        <v>-5793</v>
      </c>
      <c r="DB233" s="315">
        <v>-247234</v>
      </c>
      <c r="DC233" s="315">
        <v>0</v>
      </c>
      <c r="DD233" s="315">
        <v>7758657</v>
      </c>
      <c r="DE233" s="315">
        <v>5614947</v>
      </c>
      <c r="DF233" s="315">
        <v>2143710</v>
      </c>
      <c r="DG233" s="315">
        <v>2096647</v>
      </c>
      <c r="DH233" s="315">
        <v>47063</v>
      </c>
      <c r="DI233" s="315">
        <v>1673976</v>
      </c>
      <c r="DJ233" s="315">
        <v>42800</v>
      </c>
      <c r="DK233" s="315">
        <v>34650</v>
      </c>
      <c r="DL233" s="315">
        <v>789</v>
      </c>
      <c r="DM233" s="315">
        <v>839199</v>
      </c>
      <c r="DN233" s="315">
        <v>565614</v>
      </c>
      <c r="DO233" s="315">
        <v>127003</v>
      </c>
      <c r="DP233" s="315"/>
      <c r="DQ233" s="315">
        <v>63888</v>
      </c>
      <c r="DR233" s="315">
        <v>33</v>
      </c>
      <c r="DS233" s="315">
        <v>-42331</v>
      </c>
      <c r="DT233" s="315">
        <v>-7916</v>
      </c>
      <c r="DU233" s="315">
        <v>-4233</v>
      </c>
      <c r="DV233" s="315">
        <v>-29</v>
      </c>
      <c r="DW233" s="315">
        <v>-3765</v>
      </c>
      <c r="DX233" s="315">
        <v>-3054</v>
      </c>
      <c r="DY233" s="315">
        <v>-36</v>
      </c>
      <c r="DZ233" s="315">
        <v>-675</v>
      </c>
      <c r="EA233" s="315">
        <v>-26279</v>
      </c>
      <c r="EB233" s="315">
        <v>0</v>
      </c>
      <c r="EC233" s="315"/>
      <c r="ED233" s="315">
        <v>0</v>
      </c>
      <c r="EE233" s="315">
        <v>-109</v>
      </c>
      <c r="EF233" s="315">
        <v>1631645</v>
      </c>
      <c r="EG233" s="315">
        <v>623698</v>
      </c>
      <c r="EH233" s="315">
        <v>1007947</v>
      </c>
      <c r="EI233" s="315">
        <v>1016093</v>
      </c>
      <c r="EJ233" s="315">
        <v>-8146</v>
      </c>
      <c r="EK233" s="315">
        <v>34884</v>
      </c>
      <c r="EL233" s="315">
        <v>836</v>
      </c>
      <c r="EM233" s="315">
        <v>34048</v>
      </c>
      <c r="EN233" s="315">
        <v>33464</v>
      </c>
      <c r="EO233" s="315">
        <v>584</v>
      </c>
      <c r="EP233" s="315">
        <v>30417</v>
      </c>
      <c r="EQ233" s="315">
        <v>17080</v>
      </c>
      <c r="ER233" s="315">
        <v>13337</v>
      </c>
      <c r="ES233" s="315">
        <v>13087</v>
      </c>
      <c r="ET233" s="315">
        <v>250</v>
      </c>
      <c r="EU233" s="315">
        <v>760</v>
      </c>
      <c r="EV233" s="315">
        <v>-2</v>
      </c>
      <c r="EW233" s="315">
        <v>762</v>
      </c>
      <c r="EX233" s="315">
        <v>750</v>
      </c>
      <c r="EY233" s="315">
        <v>12</v>
      </c>
      <c r="EZ233" s="315">
        <v>835434</v>
      </c>
      <c r="FA233" s="315">
        <v>319470</v>
      </c>
      <c r="FB233" s="315">
        <v>515964</v>
      </c>
      <c r="FC233" s="315">
        <v>512751</v>
      </c>
      <c r="FD233" s="315">
        <v>3213</v>
      </c>
      <c r="FE233" s="315">
        <v>539335</v>
      </c>
      <c r="FF233" s="315">
        <v>216452</v>
      </c>
      <c r="FG233" s="315">
        <v>322883</v>
      </c>
      <c r="FH233" s="315">
        <v>335088</v>
      </c>
      <c r="FI233" s="315">
        <v>-12205</v>
      </c>
      <c r="FJ233" s="315">
        <v>127003</v>
      </c>
      <c r="FK233" s="315">
        <v>6050</v>
      </c>
      <c r="FL233" s="315">
        <v>120953</v>
      </c>
      <c r="FM233" s="315">
        <v>120953</v>
      </c>
      <c r="FN233" s="315"/>
      <c r="FO233" s="315"/>
      <c r="FP233" s="315">
        <v>63888</v>
      </c>
      <c r="FQ233" s="315">
        <v>-76</v>
      </c>
      <c r="FR233" s="315">
        <v>447921</v>
      </c>
      <c r="FS233" s="315">
        <v>-40665</v>
      </c>
      <c r="FT233" s="315">
        <v>407256</v>
      </c>
      <c r="FU233" s="315">
        <v>7657</v>
      </c>
      <c r="FV233" s="315">
        <v>7657</v>
      </c>
      <c r="FW233" s="315"/>
      <c r="FX233" s="315">
        <v>130676</v>
      </c>
      <c r="FY233" s="315">
        <v>106789</v>
      </c>
      <c r="FZ233" s="315"/>
      <c r="GA233" s="315"/>
      <c r="GB233" s="315">
        <v>30</v>
      </c>
      <c r="GC233" s="315">
        <v>36977</v>
      </c>
      <c r="GD233" s="315">
        <v>-18396</v>
      </c>
      <c r="GE233" s="315"/>
      <c r="GF233" s="315">
        <v>55373</v>
      </c>
      <c r="GG233" s="315">
        <v>125127</v>
      </c>
      <c r="GH233" s="315">
        <v>17750</v>
      </c>
      <c r="GI233" s="315">
        <v>419</v>
      </c>
      <c r="GJ233" s="315">
        <v>106958</v>
      </c>
      <c r="GL233"/>
      <c r="GM233"/>
      <c r="GN233"/>
      <c r="GO233"/>
    </row>
    <row r="234" spans="1:197">
      <c r="A234" s="98" t="s">
        <v>31</v>
      </c>
      <c r="B234" s="98">
        <v>11</v>
      </c>
      <c r="C234" s="98" t="s">
        <v>227</v>
      </c>
      <c r="D234" s="315">
        <v>14657020</v>
      </c>
      <c r="E234" s="315">
        <v>-3681790</v>
      </c>
      <c r="F234" s="315">
        <v>-13267</v>
      </c>
      <c r="G234" s="315">
        <v>10961963</v>
      </c>
      <c r="H234" s="315">
        <v>5009575</v>
      </c>
      <c r="I234" s="315">
        <v>5952388</v>
      </c>
      <c r="J234" s="315">
        <v>5828347</v>
      </c>
      <c r="K234" s="315">
        <v>124041</v>
      </c>
      <c r="L234" s="315">
        <v>6327058</v>
      </c>
      <c r="M234" s="315">
        <v>3671899</v>
      </c>
      <c r="N234" s="315">
        <v>2201344</v>
      </c>
      <c r="O234" s="315">
        <v>2113637</v>
      </c>
      <c r="P234" s="315">
        <v>87707</v>
      </c>
      <c r="Q234" s="315">
        <v>38970</v>
      </c>
      <c r="R234" s="315">
        <v>414845</v>
      </c>
      <c r="S234" s="315">
        <v>-447771</v>
      </c>
      <c r="T234" s="315">
        <v>-434067</v>
      </c>
      <c r="U234" s="315">
        <v>-50740</v>
      </c>
      <c r="V234" s="315">
        <v>-8</v>
      </c>
      <c r="W234" s="315">
        <v>-358140</v>
      </c>
      <c r="X234" s="315">
        <v>0</v>
      </c>
      <c r="Y234" s="315">
        <v>-25179</v>
      </c>
      <c r="Z234" s="315">
        <v>-9294</v>
      </c>
      <c r="AA234" s="315">
        <v>-4410</v>
      </c>
      <c r="AB234" s="315">
        <v>0</v>
      </c>
      <c r="AC234" s="315">
        <v>-13267</v>
      </c>
      <c r="AD234" s="315">
        <v>5866020</v>
      </c>
      <c r="AE234" s="315">
        <v>3090592</v>
      </c>
      <c r="AF234" s="315">
        <v>2775428</v>
      </c>
      <c r="AG234" s="315">
        <v>2715607</v>
      </c>
      <c r="AH234" s="315">
        <v>59821</v>
      </c>
      <c r="AI234" s="315">
        <v>3668216</v>
      </c>
      <c r="AJ234" s="315">
        <v>1298688</v>
      </c>
      <c r="AK234" s="315">
        <v>2183675</v>
      </c>
      <c r="AL234" s="315">
        <v>11539</v>
      </c>
      <c r="AM234" s="315">
        <v>268442</v>
      </c>
      <c r="AN234" s="315">
        <v>57040</v>
      </c>
      <c r="AO234" s="315">
        <v>31945</v>
      </c>
      <c r="AP234" s="315">
        <v>43002</v>
      </c>
      <c r="AQ234" s="315">
        <v>13689</v>
      </c>
      <c r="AR234" s="315">
        <v>1767277</v>
      </c>
      <c r="AS234" s="315">
        <v>29676</v>
      </c>
      <c r="AT234" s="315">
        <v>0</v>
      </c>
      <c r="AU234" s="315">
        <v>-13267</v>
      </c>
      <c r="AV234" s="315">
        <v>488709</v>
      </c>
      <c r="AW234" s="315">
        <v>48723</v>
      </c>
      <c r="AX234" s="315">
        <v>76733</v>
      </c>
      <c r="AY234" s="315">
        <v>14908</v>
      </c>
      <c r="AZ234" s="315">
        <v>1761</v>
      </c>
      <c r="BA234" s="315">
        <v>7171</v>
      </c>
      <c r="BB234" s="315">
        <v>52893</v>
      </c>
      <c r="BC234" s="315">
        <v>216983</v>
      </c>
      <c r="BD234" s="315">
        <v>146270</v>
      </c>
      <c r="BE234" s="315">
        <v>-1037839</v>
      </c>
      <c r="BF234" s="315">
        <v>-474347</v>
      </c>
      <c r="BG234" s="315">
        <v>-445021</v>
      </c>
      <c r="BH234" s="315">
        <v>-29326</v>
      </c>
      <c r="BI234" s="315">
        <v>-427948.99999999994</v>
      </c>
      <c r="BJ234" s="315">
        <v>-8703</v>
      </c>
      <c r="BK234" s="315">
        <v>-37695.000000000058</v>
      </c>
      <c r="BL234" s="315">
        <v>-5219</v>
      </c>
      <c r="BM234" s="315">
        <v>-558273</v>
      </c>
      <c r="BN234" s="315">
        <v>-549130</v>
      </c>
      <c r="BO234" s="315">
        <v>-444910</v>
      </c>
      <c r="BP234" s="315">
        <v>18696</v>
      </c>
      <c r="BQ234" s="315">
        <v>13600</v>
      </c>
      <c r="BR234" s="315">
        <v>277</v>
      </c>
      <c r="BS234" s="315">
        <v>43718</v>
      </c>
      <c r="BT234" s="315">
        <v>3358</v>
      </c>
      <c r="BU234" s="315">
        <v>680</v>
      </c>
      <c r="BV234" s="315">
        <v>3420</v>
      </c>
      <c r="BW234" s="315">
        <v>36260</v>
      </c>
      <c r="BX234" s="315">
        <v>-368288</v>
      </c>
      <c r="BY234" s="315">
        <v>187657</v>
      </c>
      <c r="BZ234" s="315">
        <v>120</v>
      </c>
      <c r="CA234" s="315">
        <v>91119</v>
      </c>
      <c r="CB234" s="315">
        <v>-495250</v>
      </c>
      <c r="CC234" s="315">
        <v>-37613</v>
      </c>
      <c r="CD234" s="315">
        <v>-457637</v>
      </c>
      <c r="CE234" s="315">
        <v>-404131</v>
      </c>
      <c r="CF234" s="315">
        <v>72939</v>
      </c>
      <c r="CG234" s="315">
        <v>40</v>
      </c>
      <c r="CH234" s="315">
        <v>-477110</v>
      </c>
      <c r="CI234" s="315">
        <v>5051038</v>
      </c>
      <c r="CJ234" s="315">
        <v>833706</v>
      </c>
      <c r="CK234" s="315">
        <v>4217332</v>
      </c>
      <c r="CL234" s="315">
        <v>3634791</v>
      </c>
      <c r="CM234" s="315">
        <v>66775</v>
      </c>
      <c r="CN234" s="315">
        <v>515766</v>
      </c>
      <c r="CO234" s="315">
        <v>0</v>
      </c>
      <c r="CP234" s="315">
        <v>0</v>
      </c>
      <c r="CQ234" s="315">
        <v>515766</v>
      </c>
      <c r="CR234" s="315">
        <v>-1645521</v>
      </c>
      <c r="CS234" s="315">
        <v>-325166</v>
      </c>
      <c r="CT234" s="315">
        <v>-206797</v>
      </c>
      <c r="CU234" s="315">
        <v>-15638</v>
      </c>
      <c r="CV234" s="315">
        <v>-507</v>
      </c>
      <c r="CW234" s="315">
        <v>-102224</v>
      </c>
      <c r="CX234" s="315">
        <v>-1320355</v>
      </c>
      <c r="CY234" s="315">
        <v>-1284390</v>
      </c>
      <c r="CZ234" s="315">
        <v>-30500</v>
      </c>
      <c r="DA234" s="315">
        <v>-5465</v>
      </c>
      <c r="DB234" s="315">
        <v>0</v>
      </c>
      <c r="DC234" s="315">
        <v>0</v>
      </c>
      <c r="DD234" s="315">
        <v>3405517</v>
      </c>
      <c r="DE234" s="315">
        <v>1261453</v>
      </c>
      <c r="DF234" s="315">
        <v>2144064</v>
      </c>
      <c r="DG234" s="315">
        <v>2096647</v>
      </c>
      <c r="DH234" s="315">
        <v>47417</v>
      </c>
      <c r="DI234" s="315">
        <v>1677176</v>
      </c>
      <c r="DJ234" s="315">
        <v>76815</v>
      </c>
      <c r="DK234" s="315">
        <v>33858</v>
      </c>
      <c r="DL234" s="315">
        <v>2205</v>
      </c>
      <c r="DM234" s="315">
        <v>872283</v>
      </c>
      <c r="DN234" s="315">
        <v>562602</v>
      </c>
      <c r="DO234" s="315">
        <v>129058</v>
      </c>
      <c r="DP234" s="315"/>
      <c r="DQ234" s="315">
        <v>330</v>
      </c>
      <c r="DR234" s="315">
        <v>25</v>
      </c>
      <c r="DS234" s="315">
        <v>-12153</v>
      </c>
      <c r="DT234" s="315">
        <v>-3369</v>
      </c>
      <c r="DU234" s="315">
        <v>-81</v>
      </c>
      <c r="DV234" s="315">
        <v>-11</v>
      </c>
      <c r="DW234" s="315">
        <v>-6754</v>
      </c>
      <c r="DX234" s="315">
        <v>-5767</v>
      </c>
      <c r="DY234" s="315">
        <v>-34</v>
      </c>
      <c r="DZ234" s="315">
        <v>-953</v>
      </c>
      <c r="EA234" s="315">
        <v>-1554</v>
      </c>
      <c r="EB234" s="315">
        <v>-200</v>
      </c>
      <c r="EC234" s="315"/>
      <c r="ED234" s="315">
        <v>0</v>
      </c>
      <c r="EE234" s="315">
        <v>-184</v>
      </c>
      <c r="EF234" s="315">
        <v>1665023</v>
      </c>
      <c r="EG234" s="315">
        <v>632127</v>
      </c>
      <c r="EH234" s="315">
        <v>1032896</v>
      </c>
      <c r="EI234" s="315">
        <v>1016093</v>
      </c>
      <c r="EJ234" s="315">
        <v>16803</v>
      </c>
      <c r="EK234" s="315">
        <v>73446</v>
      </c>
      <c r="EL234" s="315">
        <v>39244</v>
      </c>
      <c r="EM234" s="315">
        <v>34202</v>
      </c>
      <c r="EN234" s="315">
        <v>33464</v>
      </c>
      <c r="EO234" s="315">
        <v>738</v>
      </c>
      <c r="EP234" s="315">
        <v>33777</v>
      </c>
      <c r="EQ234" s="315">
        <v>20416</v>
      </c>
      <c r="ER234" s="315">
        <v>13361</v>
      </c>
      <c r="ES234" s="315">
        <v>13086</v>
      </c>
      <c r="ET234" s="315">
        <v>275</v>
      </c>
      <c r="EU234" s="315">
        <v>2194</v>
      </c>
      <c r="EV234" s="315">
        <v>1426</v>
      </c>
      <c r="EW234" s="315">
        <v>768</v>
      </c>
      <c r="EX234" s="315">
        <v>750</v>
      </c>
      <c r="EY234" s="315">
        <v>18</v>
      </c>
      <c r="EZ234" s="315">
        <v>865529</v>
      </c>
      <c r="FA234" s="315">
        <v>344416</v>
      </c>
      <c r="FB234" s="315">
        <v>521113</v>
      </c>
      <c r="FC234" s="315">
        <v>512750</v>
      </c>
      <c r="FD234" s="315">
        <v>8363</v>
      </c>
      <c r="FE234" s="315">
        <v>561048</v>
      </c>
      <c r="FF234" s="315">
        <v>218550</v>
      </c>
      <c r="FG234" s="315">
        <v>342498</v>
      </c>
      <c r="FH234" s="315">
        <v>335089</v>
      </c>
      <c r="FI234" s="315">
        <v>7409</v>
      </c>
      <c r="FJ234" s="315">
        <v>128858</v>
      </c>
      <c r="FK234" s="315">
        <v>7904</v>
      </c>
      <c r="FL234" s="315">
        <v>120954</v>
      </c>
      <c r="FM234" s="315">
        <v>120954</v>
      </c>
      <c r="FN234" s="315"/>
      <c r="FO234" s="315"/>
      <c r="FP234" s="315">
        <v>330</v>
      </c>
      <c r="FQ234" s="315">
        <v>-159</v>
      </c>
      <c r="FR234" s="315">
        <v>1021920</v>
      </c>
      <c r="FS234" s="315">
        <v>-43256</v>
      </c>
      <c r="FT234" s="315">
        <v>978664</v>
      </c>
      <c r="FU234" s="315">
        <v>542366</v>
      </c>
      <c r="FV234" s="315">
        <v>542366</v>
      </c>
      <c r="FW234" s="315"/>
      <c r="FX234" s="315">
        <v>120608</v>
      </c>
      <c r="FY234" s="315">
        <v>110416</v>
      </c>
      <c r="FZ234" s="315"/>
      <c r="GA234" s="315"/>
      <c r="GB234" s="315">
        <v>6455</v>
      </c>
      <c r="GC234" s="315">
        <v>46758</v>
      </c>
      <c r="GD234" s="315">
        <v>-23247</v>
      </c>
      <c r="GE234" s="315"/>
      <c r="GF234" s="315">
        <v>70005</v>
      </c>
      <c r="GG234" s="315">
        <v>152061</v>
      </c>
      <c r="GH234" s="315">
        <v>11422</v>
      </c>
      <c r="GI234" s="315">
        <v>442</v>
      </c>
      <c r="GJ234" s="315">
        <v>140197</v>
      </c>
      <c r="GL234"/>
      <c r="GM234"/>
      <c r="GN234"/>
      <c r="GO234"/>
    </row>
    <row r="235" spans="1:197">
      <c r="A235" s="98" t="s">
        <v>31</v>
      </c>
      <c r="B235" s="98">
        <v>12</v>
      </c>
      <c r="C235" s="98" t="s">
        <v>228</v>
      </c>
      <c r="D235" s="315">
        <v>17832874</v>
      </c>
      <c r="E235" s="315">
        <v>-3908855</v>
      </c>
      <c r="F235" s="315">
        <v>-13266</v>
      </c>
      <c r="G235" s="315">
        <v>13910753</v>
      </c>
      <c r="H235" s="315">
        <v>7958005</v>
      </c>
      <c r="I235" s="315">
        <v>5952748</v>
      </c>
      <c r="J235" s="315">
        <v>5828342</v>
      </c>
      <c r="K235" s="315">
        <v>124406</v>
      </c>
      <c r="L235" s="315">
        <v>5173028</v>
      </c>
      <c r="M235" s="315">
        <v>4490541</v>
      </c>
      <c r="N235" s="315">
        <v>106837</v>
      </c>
      <c r="O235" s="315">
        <v>27403</v>
      </c>
      <c r="P235" s="315">
        <v>79434</v>
      </c>
      <c r="Q235" s="315">
        <v>55787</v>
      </c>
      <c r="R235" s="315">
        <v>519863</v>
      </c>
      <c r="S235" s="315">
        <v>-473244</v>
      </c>
      <c r="T235" s="315">
        <v>-465909</v>
      </c>
      <c r="U235" s="315">
        <v>-48585</v>
      </c>
      <c r="V235" s="315">
        <v>-9</v>
      </c>
      <c r="W235" s="315">
        <v>-385832</v>
      </c>
      <c r="X235" s="315">
        <v>0</v>
      </c>
      <c r="Y235" s="315">
        <v>-31483</v>
      </c>
      <c r="Z235" s="315">
        <v>-3164</v>
      </c>
      <c r="AA235" s="315">
        <v>-4171</v>
      </c>
      <c r="AB235" s="315">
        <v>0</v>
      </c>
      <c r="AC235" s="315">
        <v>-13266</v>
      </c>
      <c r="AD235" s="315">
        <v>4686518</v>
      </c>
      <c r="AE235" s="315">
        <v>1910722</v>
      </c>
      <c r="AF235" s="315">
        <v>2775796</v>
      </c>
      <c r="AG235" s="315">
        <v>2715606</v>
      </c>
      <c r="AH235" s="315">
        <v>60190</v>
      </c>
      <c r="AI235" s="315">
        <v>4487031</v>
      </c>
      <c r="AJ235" s="315">
        <v>1981018</v>
      </c>
      <c r="AK235" s="315">
        <v>2289602</v>
      </c>
      <c r="AL235" s="315">
        <v>9689</v>
      </c>
      <c r="AM235" s="315">
        <v>395379</v>
      </c>
      <c r="AN235" s="315">
        <v>57190</v>
      </c>
      <c r="AO235" s="315">
        <v>36941</v>
      </c>
      <c r="AP235" s="315">
        <v>18505</v>
      </c>
      <c r="AQ235" s="315">
        <v>11187</v>
      </c>
      <c r="AR235" s="315">
        <v>-359072</v>
      </c>
      <c r="AS235" s="315">
        <v>52623</v>
      </c>
      <c r="AT235" s="315">
        <v>0</v>
      </c>
      <c r="AU235" s="315">
        <v>-13266</v>
      </c>
      <c r="AV235" s="315">
        <v>5270708</v>
      </c>
      <c r="AW235" s="315">
        <v>4860038</v>
      </c>
      <c r="AX235" s="315">
        <v>55102</v>
      </c>
      <c r="AY235" s="315">
        <v>14700</v>
      </c>
      <c r="AZ235" s="315">
        <v>2794</v>
      </c>
      <c r="BA235" s="315">
        <v>6066</v>
      </c>
      <c r="BB235" s="315">
        <v>31542</v>
      </c>
      <c r="BC235" s="315">
        <v>142186</v>
      </c>
      <c r="BD235" s="315">
        <v>213382</v>
      </c>
      <c r="BE235" s="315">
        <v>-605227</v>
      </c>
      <c r="BF235" s="315">
        <v>-604493</v>
      </c>
      <c r="BG235" s="315">
        <v>-576349</v>
      </c>
      <c r="BH235" s="315">
        <v>-28144</v>
      </c>
      <c r="BI235" s="315">
        <v>-550322</v>
      </c>
      <c r="BJ235" s="315">
        <v>-4434</v>
      </c>
      <c r="BK235" s="315">
        <v>-49737</v>
      </c>
      <c r="BL235" s="315">
        <v>-513</v>
      </c>
      <c r="BM235" s="315">
        <v>-221</v>
      </c>
      <c r="BN235" s="315">
        <v>4665481</v>
      </c>
      <c r="BO235" s="315">
        <v>180247</v>
      </c>
      <c r="BP235" s="315">
        <v>15264</v>
      </c>
      <c r="BQ235" s="315">
        <v>15727</v>
      </c>
      <c r="BR235" s="315">
        <v>73</v>
      </c>
      <c r="BS235" s="315">
        <v>4859714</v>
      </c>
      <c r="BT235" s="315">
        <v>1267725</v>
      </c>
      <c r="BU235" s="315">
        <v>3114716</v>
      </c>
      <c r="BV235" s="315">
        <v>462717</v>
      </c>
      <c r="BW235" s="315">
        <v>14556</v>
      </c>
      <c r="BX235" s="315">
        <v>-521247</v>
      </c>
      <c r="BY235" s="315">
        <v>114042</v>
      </c>
      <c r="BZ235" s="315">
        <v>1661</v>
      </c>
      <c r="CA235" s="315">
        <v>242517</v>
      </c>
      <c r="CB235" s="315">
        <v>-17249</v>
      </c>
      <c r="CC235" s="315">
        <v>-17069</v>
      </c>
      <c r="CD235" s="315">
        <v>-180</v>
      </c>
      <c r="CE235" s="315">
        <v>225268</v>
      </c>
      <c r="CF235" s="315">
        <v>221112</v>
      </c>
      <c r="CG235" s="315">
        <v>10435</v>
      </c>
      <c r="CH235" s="315">
        <v>-6279</v>
      </c>
      <c r="CI235" s="315">
        <v>4983554</v>
      </c>
      <c r="CJ235" s="315">
        <v>808756</v>
      </c>
      <c r="CK235" s="315">
        <v>4174798</v>
      </c>
      <c r="CL235" s="315">
        <v>3647613</v>
      </c>
      <c r="CM235" s="315">
        <v>66642</v>
      </c>
      <c r="CN235" s="315">
        <v>460543</v>
      </c>
      <c r="CO235" s="315">
        <v>0</v>
      </c>
      <c r="CP235" s="315">
        <v>0</v>
      </c>
      <c r="CQ235" s="315">
        <v>460543</v>
      </c>
      <c r="CR235" s="315">
        <v>-2690176</v>
      </c>
      <c r="CS235" s="315">
        <v>-216375</v>
      </c>
      <c r="CT235" s="315">
        <v>-132394</v>
      </c>
      <c r="CU235" s="315">
        <v>-8426</v>
      </c>
      <c r="CV235" s="315">
        <v>-294</v>
      </c>
      <c r="CW235" s="315">
        <v>-75261</v>
      </c>
      <c r="CX235" s="315">
        <v>-1712340</v>
      </c>
      <c r="CY235" s="315">
        <v>-1690358</v>
      </c>
      <c r="CZ235" s="315">
        <v>-19985</v>
      </c>
      <c r="DA235" s="315">
        <v>-1997</v>
      </c>
      <c r="DB235" s="315">
        <v>-358411</v>
      </c>
      <c r="DC235" s="315">
        <v>-403050</v>
      </c>
      <c r="DD235" s="315">
        <v>2293378</v>
      </c>
      <c r="DE235" s="315">
        <v>149315</v>
      </c>
      <c r="DF235" s="315">
        <v>2144063</v>
      </c>
      <c r="DG235" s="315">
        <v>2096646</v>
      </c>
      <c r="DH235" s="315">
        <v>47417</v>
      </c>
      <c r="DI235" s="315">
        <v>1568368</v>
      </c>
      <c r="DJ235" s="315">
        <v>61701</v>
      </c>
      <c r="DK235" s="315">
        <v>23030</v>
      </c>
      <c r="DL235" s="315">
        <v>1077</v>
      </c>
      <c r="DM235" s="315">
        <v>869147</v>
      </c>
      <c r="DN235" s="315">
        <v>496411</v>
      </c>
      <c r="DO235" s="315">
        <v>116197</v>
      </c>
      <c r="DP235" s="315"/>
      <c r="DQ235" s="315">
        <v>727</v>
      </c>
      <c r="DR235" s="315">
        <v>78</v>
      </c>
      <c r="DS235" s="315">
        <v>-81733</v>
      </c>
      <c r="DT235" s="315">
        <v>-6721</v>
      </c>
      <c r="DU235" s="315">
        <v>-7585</v>
      </c>
      <c r="DV235" s="315">
        <v>-4</v>
      </c>
      <c r="DW235" s="315">
        <v>-53785</v>
      </c>
      <c r="DX235" s="315">
        <v>-3450</v>
      </c>
      <c r="DY235" s="315">
        <v>-17</v>
      </c>
      <c r="DZ235" s="315">
        <v>-50318</v>
      </c>
      <c r="EA235" s="315">
        <v>-13437</v>
      </c>
      <c r="EB235" s="315">
        <v>-105</v>
      </c>
      <c r="EC235" s="315"/>
      <c r="ED235" s="315">
        <v>0</v>
      </c>
      <c r="EE235" s="315">
        <v>-96</v>
      </c>
      <c r="EF235" s="315">
        <v>1486635</v>
      </c>
      <c r="EG235" s="315">
        <v>453746</v>
      </c>
      <c r="EH235" s="315">
        <v>1032889</v>
      </c>
      <c r="EI235" s="315">
        <v>1016090</v>
      </c>
      <c r="EJ235" s="315">
        <v>16799</v>
      </c>
      <c r="EK235" s="315">
        <v>54980</v>
      </c>
      <c r="EL235" s="315">
        <v>20779</v>
      </c>
      <c r="EM235" s="315">
        <v>34201</v>
      </c>
      <c r="EN235" s="315">
        <v>33464</v>
      </c>
      <c r="EO235" s="315">
        <v>737</v>
      </c>
      <c r="EP235" s="315">
        <v>15445</v>
      </c>
      <c r="EQ235" s="315">
        <v>2085</v>
      </c>
      <c r="ER235" s="315">
        <v>13360</v>
      </c>
      <c r="ES235" s="315">
        <v>13086</v>
      </c>
      <c r="ET235" s="315">
        <v>274</v>
      </c>
      <c r="EU235" s="315">
        <v>1073</v>
      </c>
      <c r="EV235" s="315">
        <v>305</v>
      </c>
      <c r="EW235" s="315">
        <v>768</v>
      </c>
      <c r="EX235" s="315">
        <v>750</v>
      </c>
      <c r="EY235" s="315">
        <v>18</v>
      </c>
      <c r="EZ235" s="315">
        <v>815362</v>
      </c>
      <c r="FA235" s="315">
        <v>294249</v>
      </c>
      <c r="FB235" s="315">
        <v>521113</v>
      </c>
      <c r="FC235" s="315">
        <v>512750</v>
      </c>
      <c r="FD235" s="315">
        <v>8363</v>
      </c>
      <c r="FE235" s="315">
        <v>482974</v>
      </c>
      <c r="FF235" s="315">
        <v>140480</v>
      </c>
      <c r="FG235" s="315">
        <v>342494</v>
      </c>
      <c r="FH235" s="315">
        <v>335087</v>
      </c>
      <c r="FI235" s="315">
        <v>7407</v>
      </c>
      <c r="FJ235" s="315">
        <v>116092</v>
      </c>
      <c r="FK235" s="315">
        <v>-4861</v>
      </c>
      <c r="FL235" s="315">
        <v>120953</v>
      </c>
      <c r="FM235" s="315">
        <v>120953</v>
      </c>
      <c r="FN235" s="315"/>
      <c r="FO235" s="315"/>
      <c r="FP235" s="315">
        <v>727</v>
      </c>
      <c r="FQ235" s="315">
        <v>-18</v>
      </c>
      <c r="FR235" s="315">
        <v>594699</v>
      </c>
      <c r="FS235" s="315">
        <v>-41226</v>
      </c>
      <c r="FT235" s="315">
        <v>553473</v>
      </c>
      <c r="FU235" s="315">
        <v>164263</v>
      </c>
      <c r="FV235" s="315">
        <v>164263</v>
      </c>
      <c r="FW235" s="315"/>
      <c r="FX235" s="315">
        <v>103142</v>
      </c>
      <c r="FY235" s="315">
        <v>102703</v>
      </c>
      <c r="FZ235" s="315"/>
      <c r="GA235" s="315"/>
      <c r="GB235" s="315">
        <v>232</v>
      </c>
      <c r="GC235" s="315">
        <v>42436</v>
      </c>
      <c r="GD235" s="315">
        <v>-22403</v>
      </c>
      <c r="GE235" s="315"/>
      <c r="GF235" s="315">
        <v>64839</v>
      </c>
      <c r="GG235" s="315">
        <v>140697</v>
      </c>
      <c r="GH235" s="315">
        <v>10613</v>
      </c>
      <c r="GI235" s="315">
        <v>320</v>
      </c>
      <c r="GJ235" s="315">
        <v>129764</v>
      </c>
      <c r="GL235"/>
      <c r="GM235"/>
      <c r="GN235"/>
      <c r="GO235"/>
    </row>
    <row r="236" spans="1:197">
      <c r="A236" s="96" t="s">
        <v>32</v>
      </c>
      <c r="B236" s="96">
        <v>1</v>
      </c>
      <c r="C236" s="97" t="s">
        <v>217</v>
      </c>
      <c r="D236" s="314">
        <v>15182006</v>
      </c>
      <c r="E236" s="314">
        <v>-5797170</v>
      </c>
      <c r="F236" s="314">
        <v>-103123</v>
      </c>
      <c r="G236" s="314">
        <v>9281713</v>
      </c>
      <c r="H236" s="314">
        <v>3418588</v>
      </c>
      <c r="I236" s="314">
        <v>5863125</v>
      </c>
      <c r="J236" s="314">
        <v>5745725</v>
      </c>
      <c r="K236" s="314">
        <v>117400</v>
      </c>
      <c r="L236" s="314">
        <v>10680354</v>
      </c>
      <c r="M236" s="314">
        <v>9294939</v>
      </c>
      <c r="N236" s="314">
        <v>86916</v>
      </c>
      <c r="O236" s="314">
        <v>0</v>
      </c>
      <c r="P236" s="314">
        <v>86916</v>
      </c>
      <c r="Q236" s="314">
        <v>88117</v>
      </c>
      <c r="R236" s="314">
        <v>1210382</v>
      </c>
      <c r="S236" s="314">
        <v>-352495</v>
      </c>
      <c r="T236" s="314">
        <v>-335974</v>
      </c>
      <c r="U236" s="314">
        <v>0</v>
      </c>
      <c r="V236" s="314">
        <v>-49934</v>
      </c>
      <c r="W236" s="314">
        <v>0</v>
      </c>
      <c r="X236" s="314">
        <v>-268635</v>
      </c>
      <c r="Y236" s="314">
        <v>-17405</v>
      </c>
      <c r="Z236" s="314">
        <v>-9880</v>
      </c>
      <c r="AA236" s="314">
        <v>-6641</v>
      </c>
      <c r="AB236" s="314">
        <v>0</v>
      </c>
      <c r="AC236" s="314">
        <v>-103123</v>
      </c>
      <c r="AD236" s="314">
        <v>10224736</v>
      </c>
      <c r="AE236" s="314">
        <v>7556541</v>
      </c>
      <c r="AF236" s="314">
        <v>2668195</v>
      </c>
      <c r="AG236" s="314">
        <v>2610592</v>
      </c>
      <c r="AH236" s="314">
        <v>57603</v>
      </c>
      <c r="AI236" s="314">
        <v>9291123</v>
      </c>
      <c r="AJ236" s="314">
        <v>1876326</v>
      </c>
      <c r="AK236" s="314">
        <v>3403177</v>
      </c>
      <c r="AL236" s="314">
        <v>3835147</v>
      </c>
      <c r="AM236" s="314">
        <v>606787</v>
      </c>
      <c r="AN236" s="314">
        <v>372296</v>
      </c>
      <c r="AO236" s="314">
        <v>55879</v>
      </c>
      <c r="AP236" s="314">
        <v>117053</v>
      </c>
      <c r="AQ236" s="314">
        <v>55542</v>
      </c>
      <c r="AR236" s="314">
        <v>-249058</v>
      </c>
      <c r="AS236" s="314">
        <v>78237</v>
      </c>
      <c r="AT236" s="314">
        <v>0</v>
      </c>
      <c r="AU236" s="314">
        <v>-103123</v>
      </c>
      <c r="AV236" s="314">
        <v>597024</v>
      </c>
      <c r="AW236" s="314">
        <v>57011</v>
      </c>
      <c r="AX236" s="314">
        <v>41151</v>
      </c>
      <c r="AY236" s="314">
        <v>3773</v>
      </c>
      <c r="AZ236" s="314">
        <v>553</v>
      </c>
      <c r="BA236" s="314">
        <v>9531</v>
      </c>
      <c r="BB236" s="314">
        <v>27294</v>
      </c>
      <c r="BC236" s="314">
        <v>64852</v>
      </c>
      <c r="BD236" s="314">
        <v>434010</v>
      </c>
      <c r="BE236" s="314">
        <v>-3767975</v>
      </c>
      <c r="BF236" s="314">
        <v>-3766083</v>
      </c>
      <c r="BG236" s="314">
        <v>-3751791</v>
      </c>
      <c r="BH236" s="314">
        <v>-14292</v>
      </c>
      <c r="BI236" s="314">
        <v>0</v>
      </c>
      <c r="BJ236" s="314">
        <v>-3742345.0000000005</v>
      </c>
      <c r="BK236" s="314">
        <v>-23737.999999999534</v>
      </c>
      <c r="BL236" s="314">
        <v>-1393</v>
      </c>
      <c r="BM236" s="314">
        <v>-499</v>
      </c>
      <c r="BN236" s="314">
        <v>-3170951</v>
      </c>
      <c r="BO236" s="314">
        <v>256871</v>
      </c>
      <c r="BP236" s="314">
        <v>151763</v>
      </c>
      <c r="BQ236" s="314">
        <v>23434</v>
      </c>
      <c r="BR236" s="314">
        <v>35</v>
      </c>
      <c r="BS236" s="314">
        <v>56867</v>
      </c>
      <c r="BT236" s="314">
        <v>1495</v>
      </c>
      <c r="BU236" s="314">
        <v>491</v>
      </c>
      <c r="BV236" s="314">
        <v>5339</v>
      </c>
      <c r="BW236" s="314">
        <v>49542</v>
      </c>
      <c r="BX236" s="314">
        <v>-3710640</v>
      </c>
      <c r="BY236" s="314">
        <v>50560</v>
      </c>
      <c r="BZ236" s="314">
        <v>159</v>
      </c>
      <c r="CA236" s="314">
        <v>204747</v>
      </c>
      <c r="CB236" s="314">
        <v>-67418</v>
      </c>
      <c r="CC236" s="314">
        <v>-65149</v>
      </c>
      <c r="CD236" s="314">
        <v>-2269</v>
      </c>
      <c r="CE236" s="314">
        <v>137329</v>
      </c>
      <c r="CF236" s="314">
        <v>170109</v>
      </c>
      <c r="CG236" s="314">
        <v>35</v>
      </c>
      <c r="CH236" s="314">
        <v>-32815</v>
      </c>
      <c r="CI236" s="314">
        <v>1553143</v>
      </c>
      <c r="CJ236" s="314">
        <v>711762</v>
      </c>
      <c r="CK236" s="314">
        <v>841381</v>
      </c>
      <c r="CL236" s="314">
        <v>214717</v>
      </c>
      <c r="CM236" s="314">
        <v>207510</v>
      </c>
      <c r="CN236" s="314">
        <v>419154</v>
      </c>
      <c r="CO236" s="314">
        <v>0</v>
      </c>
      <c r="CP236" s="314">
        <v>0</v>
      </c>
      <c r="CQ236" s="314">
        <v>419154</v>
      </c>
      <c r="CR236" s="314">
        <v>-1563318</v>
      </c>
      <c r="CS236" s="314">
        <v>-204832</v>
      </c>
      <c r="CT236" s="314">
        <v>0</v>
      </c>
      <c r="CU236" s="314">
        <v>-125059</v>
      </c>
      <c r="CV236" s="314">
        <v>-259</v>
      </c>
      <c r="CW236" s="314">
        <v>-79514</v>
      </c>
      <c r="CX236" s="314">
        <v>-1358486</v>
      </c>
      <c r="CY236" s="314">
        <v>0</v>
      </c>
      <c r="CZ236" s="314">
        <v>-1351659</v>
      </c>
      <c r="DA236" s="314">
        <v>-6827</v>
      </c>
      <c r="DB236" s="314">
        <v>0</v>
      </c>
      <c r="DC236" s="314">
        <v>0</v>
      </c>
      <c r="DD236" s="314">
        <v>-10175</v>
      </c>
      <c r="DE236" s="314">
        <v>-2159097</v>
      </c>
      <c r="DF236" s="314">
        <v>2148922</v>
      </c>
      <c r="DG236" s="314">
        <v>2104486</v>
      </c>
      <c r="DH236" s="314">
        <v>44436</v>
      </c>
      <c r="DI236" s="314">
        <v>1785677</v>
      </c>
      <c r="DJ236" s="314">
        <v>39518</v>
      </c>
      <c r="DK236" s="314">
        <v>25150</v>
      </c>
      <c r="DL236" s="314">
        <v>771</v>
      </c>
      <c r="DM236" s="314">
        <v>836135</v>
      </c>
      <c r="DN236" s="314">
        <v>688788</v>
      </c>
      <c r="DO236" s="314">
        <v>116966</v>
      </c>
      <c r="DP236" s="314"/>
      <c r="DQ236" s="314">
        <v>78313</v>
      </c>
      <c r="DR236" s="314">
        <v>36</v>
      </c>
      <c r="DS236" s="314">
        <v>-5892</v>
      </c>
      <c r="DT236" s="314">
        <v>-1581</v>
      </c>
      <c r="DU236" s="314">
        <v>-108</v>
      </c>
      <c r="DV236" s="314">
        <v>-3</v>
      </c>
      <c r="DW236" s="314">
        <v>-2931</v>
      </c>
      <c r="DX236" s="314">
        <v>-2474</v>
      </c>
      <c r="DY236" s="314">
        <v>-274</v>
      </c>
      <c r="DZ236" s="314">
        <v>-183</v>
      </c>
      <c r="EA236" s="314">
        <v>-3</v>
      </c>
      <c r="EB236" s="314">
        <v>-38</v>
      </c>
      <c r="EC236" s="314"/>
      <c r="ED236" s="314">
        <v>-1007</v>
      </c>
      <c r="EE236" s="314">
        <v>-221</v>
      </c>
      <c r="EF236" s="314">
        <v>1779785</v>
      </c>
      <c r="EG236" s="314">
        <v>733777</v>
      </c>
      <c r="EH236" s="314">
        <v>1046008</v>
      </c>
      <c r="EI236" s="314">
        <v>1030647</v>
      </c>
      <c r="EJ236" s="314">
        <v>15361</v>
      </c>
      <c r="EK236" s="314">
        <v>37937</v>
      </c>
      <c r="EL236" s="314">
        <v>-308</v>
      </c>
      <c r="EM236" s="314">
        <v>38245</v>
      </c>
      <c r="EN236" s="314">
        <v>37490</v>
      </c>
      <c r="EO236" s="314">
        <v>755</v>
      </c>
      <c r="EP236" s="314">
        <v>25042</v>
      </c>
      <c r="EQ236" s="314">
        <v>11271</v>
      </c>
      <c r="ER236" s="314">
        <v>13771</v>
      </c>
      <c r="ES236" s="314">
        <v>13513</v>
      </c>
      <c r="ET236" s="314">
        <v>258</v>
      </c>
      <c r="EU236" s="314">
        <v>768</v>
      </c>
      <c r="EV236" s="314">
        <v>-93</v>
      </c>
      <c r="EW236" s="314">
        <v>861</v>
      </c>
      <c r="EX236" s="314">
        <v>845</v>
      </c>
      <c r="EY236" s="314">
        <v>16</v>
      </c>
      <c r="EZ236" s="314">
        <v>833204</v>
      </c>
      <c r="FA236" s="314">
        <v>334892</v>
      </c>
      <c r="FB236" s="314">
        <v>498312</v>
      </c>
      <c r="FC236" s="314">
        <v>490282</v>
      </c>
      <c r="FD236" s="314">
        <v>8030</v>
      </c>
      <c r="FE236" s="314">
        <v>688785</v>
      </c>
      <c r="FF236" s="314">
        <v>330911</v>
      </c>
      <c r="FG236" s="314">
        <v>357874</v>
      </c>
      <c r="FH236" s="314">
        <v>351572</v>
      </c>
      <c r="FI236" s="314">
        <v>6302</v>
      </c>
      <c r="FJ236" s="314">
        <v>116928</v>
      </c>
      <c r="FK236" s="314">
        <v>-20017</v>
      </c>
      <c r="FL236" s="314">
        <v>136945</v>
      </c>
      <c r="FM236" s="314">
        <v>136945</v>
      </c>
      <c r="FN236" s="314"/>
      <c r="FO236" s="314"/>
      <c r="FP236" s="314">
        <v>77306</v>
      </c>
      <c r="FQ236" s="314">
        <v>-185</v>
      </c>
      <c r="FR236" s="314">
        <v>361061</v>
      </c>
      <c r="FS236" s="314">
        <v>-40072</v>
      </c>
      <c r="FT236" s="314">
        <v>320989</v>
      </c>
      <c r="FU236" s="314">
        <v>6970</v>
      </c>
      <c r="FV236" s="314">
        <v>6970</v>
      </c>
      <c r="FW236" s="314"/>
      <c r="FX236" s="314">
        <v>103300</v>
      </c>
      <c r="FY236" s="314">
        <v>104955</v>
      </c>
      <c r="FZ236" s="314"/>
      <c r="GA236" s="314"/>
      <c r="GB236" s="314">
        <v>56</v>
      </c>
      <c r="GC236" s="314">
        <v>13433</v>
      </c>
      <c r="GD236" s="314">
        <v>-27461</v>
      </c>
      <c r="GE236" s="314"/>
      <c r="GF236" s="314">
        <v>40894</v>
      </c>
      <c r="GG236" s="314">
        <v>92275</v>
      </c>
      <c r="GH236" s="314">
        <v>9411</v>
      </c>
      <c r="GI236" s="314">
        <v>386</v>
      </c>
      <c r="GJ236" s="314">
        <v>82478</v>
      </c>
      <c r="GL236"/>
      <c r="GM236"/>
      <c r="GN236"/>
      <c r="GO236"/>
    </row>
    <row r="237" spans="1:197">
      <c r="A237" s="98" t="s">
        <v>32</v>
      </c>
      <c r="B237" s="98">
        <v>2</v>
      </c>
      <c r="C237" s="98" t="s">
        <v>218</v>
      </c>
      <c r="D237" s="315">
        <v>22936931</v>
      </c>
      <c r="E237" s="315">
        <v>-2735793</v>
      </c>
      <c r="F237" s="315">
        <v>-13267</v>
      </c>
      <c r="G237" s="315">
        <v>20187871</v>
      </c>
      <c r="H237" s="315">
        <v>14324541</v>
      </c>
      <c r="I237" s="315">
        <v>5863330</v>
      </c>
      <c r="J237" s="315">
        <v>5745725</v>
      </c>
      <c r="K237" s="315">
        <v>117605</v>
      </c>
      <c r="L237" s="315">
        <v>5454246</v>
      </c>
      <c r="M237" s="315">
        <v>4335526</v>
      </c>
      <c r="N237" s="315">
        <v>92085</v>
      </c>
      <c r="O237" s="315">
        <v>0</v>
      </c>
      <c r="P237" s="315">
        <v>92085</v>
      </c>
      <c r="Q237" s="315">
        <v>57048</v>
      </c>
      <c r="R237" s="315">
        <v>969587</v>
      </c>
      <c r="S237" s="315">
        <v>-176833</v>
      </c>
      <c r="T237" s="315">
        <v>-167980</v>
      </c>
      <c r="U237" s="315">
        <v>-47466</v>
      </c>
      <c r="V237" s="315">
        <v>-1552</v>
      </c>
      <c r="W237" s="315">
        <v>0</v>
      </c>
      <c r="X237" s="315">
        <v>-97015</v>
      </c>
      <c r="Y237" s="315">
        <v>-21947</v>
      </c>
      <c r="Z237" s="315">
        <v>-2778</v>
      </c>
      <c r="AA237" s="315">
        <v>-6075</v>
      </c>
      <c r="AB237" s="315">
        <v>0</v>
      </c>
      <c r="AC237" s="315">
        <v>-13267</v>
      </c>
      <c r="AD237" s="315">
        <v>5264146</v>
      </c>
      <c r="AE237" s="315">
        <v>2595921</v>
      </c>
      <c r="AF237" s="315">
        <v>2668225</v>
      </c>
      <c r="AG237" s="315">
        <v>2610591</v>
      </c>
      <c r="AH237" s="315">
        <v>57634</v>
      </c>
      <c r="AI237" s="315">
        <v>4330422</v>
      </c>
      <c r="AJ237" s="315">
        <v>1665722</v>
      </c>
      <c r="AK237" s="315">
        <v>2307349</v>
      </c>
      <c r="AL237" s="315">
        <v>165239</v>
      </c>
      <c r="AM237" s="315">
        <v>339238</v>
      </c>
      <c r="AN237" s="315">
        <v>65176</v>
      </c>
      <c r="AO237" s="315">
        <v>45248</v>
      </c>
      <c r="AP237" s="315">
        <v>96511</v>
      </c>
      <c r="AQ237" s="315">
        <v>422443</v>
      </c>
      <c r="AR237" s="315">
        <v>-75895</v>
      </c>
      <c r="AS237" s="315">
        <v>54270</v>
      </c>
      <c r="AT237" s="315">
        <v>0</v>
      </c>
      <c r="AU237" s="315">
        <v>-13267</v>
      </c>
      <c r="AV237" s="315">
        <v>374986</v>
      </c>
      <c r="AW237" s="315">
        <v>20231</v>
      </c>
      <c r="AX237" s="315">
        <v>109054</v>
      </c>
      <c r="AY237" s="315">
        <v>50268</v>
      </c>
      <c r="AZ237" s="315">
        <v>15792</v>
      </c>
      <c r="BA237" s="315">
        <v>13247</v>
      </c>
      <c r="BB237" s="315">
        <v>29747</v>
      </c>
      <c r="BC237" s="315">
        <v>67723</v>
      </c>
      <c r="BD237" s="315">
        <v>177978</v>
      </c>
      <c r="BE237" s="315">
        <v>-1005785</v>
      </c>
      <c r="BF237" s="315">
        <v>-1003867</v>
      </c>
      <c r="BG237" s="315">
        <v>-974453</v>
      </c>
      <c r="BH237" s="315">
        <v>-29414</v>
      </c>
      <c r="BI237" s="315">
        <v>0</v>
      </c>
      <c r="BJ237" s="315">
        <v>-944005</v>
      </c>
      <c r="BK237" s="315">
        <v>-59862</v>
      </c>
      <c r="BL237" s="315">
        <v>-1918</v>
      </c>
      <c r="BM237" s="315">
        <v>0</v>
      </c>
      <c r="BN237" s="315">
        <v>-630799</v>
      </c>
      <c r="BO237" s="315">
        <v>134108</v>
      </c>
      <c r="BP237" s="315">
        <v>21978</v>
      </c>
      <c r="BQ237" s="315">
        <v>19259</v>
      </c>
      <c r="BR237" s="315">
        <v>0</v>
      </c>
      <c r="BS237" s="315">
        <v>18720</v>
      </c>
      <c r="BT237" s="315">
        <v>947</v>
      </c>
      <c r="BU237" s="315">
        <v>41</v>
      </c>
      <c r="BV237" s="315">
        <v>1571</v>
      </c>
      <c r="BW237" s="315">
        <v>16161</v>
      </c>
      <c r="BX237" s="315">
        <v>-865399</v>
      </c>
      <c r="BY237" s="315">
        <v>38309</v>
      </c>
      <c r="BZ237" s="315">
        <v>2226</v>
      </c>
      <c r="CA237" s="315">
        <v>146612</v>
      </c>
      <c r="CB237" s="315">
        <v>-56650</v>
      </c>
      <c r="CC237" s="315">
        <v>-56650</v>
      </c>
      <c r="CD237" s="315">
        <v>0</v>
      </c>
      <c r="CE237" s="315">
        <v>89962</v>
      </c>
      <c r="CF237" s="315">
        <v>135181</v>
      </c>
      <c r="CG237" s="315">
        <v>8</v>
      </c>
      <c r="CH237" s="315">
        <v>-45227</v>
      </c>
      <c r="CI237" s="315">
        <v>14513487</v>
      </c>
      <c r="CJ237" s="315">
        <v>815780</v>
      </c>
      <c r="CK237" s="315">
        <v>13697707</v>
      </c>
      <c r="CL237" s="315">
        <v>8341817</v>
      </c>
      <c r="CM237" s="315">
        <v>4908009</v>
      </c>
      <c r="CN237" s="315">
        <v>447881</v>
      </c>
      <c r="CO237" s="315">
        <v>0</v>
      </c>
      <c r="CP237" s="315">
        <v>0</v>
      </c>
      <c r="CQ237" s="315">
        <v>447881</v>
      </c>
      <c r="CR237" s="315">
        <v>-1445395</v>
      </c>
      <c r="CS237" s="315">
        <v>-168069</v>
      </c>
      <c r="CT237" s="315">
        <v>0</v>
      </c>
      <c r="CU237" s="315">
        <v>-59037</v>
      </c>
      <c r="CV237" s="315">
        <v>-665</v>
      </c>
      <c r="CW237" s="315">
        <v>-108367</v>
      </c>
      <c r="CX237" s="315">
        <v>-1277326</v>
      </c>
      <c r="CY237" s="315">
        <v>-112</v>
      </c>
      <c r="CZ237" s="315">
        <v>-1270258</v>
      </c>
      <c r="DA237" s="315">
        <v>-6956</v>
      </c>
      <c r="DB237" s="315">
        <v>0</v>
      </c>
      <c r="DC237" s="315">
        <v>0</v>
      </c>
      <c r="DD237" s="315">
        <v>13068092</v>
      </c>
      <c r="DE237" s="315">
        <v>10918995</v>
      </c>
      <c r="DF237" s="315">
        <v>2149097</v>
      </c>
      <c r="DG237" s="315">
        <v>2104488</v>
      </c>
      <c r="DH237" s="315">
        <v>44609</v>
      </c>
      <c r="DI237" s="315">
        <v>1573657</v>
      </c>
      <c r="DJ237" s="315">
        <v>95171</v>
      </c>
      <c r="DK237" s="315">
        <v>20671</v>
      </c>
      <c r="DL237" s="315">
        <v>2980</v>
      </c>
      <c r="DM237" s="315">
        <v>801030</v>
      </c>
      <c r="DN237" s="315">
        <v>515207</v>
      </c>
      <c r="DO237" s="315">
        <v>132542</v>
      </c>
      <c r="DP237" s="315"/>
      <c r="DQ237" s="315">
        <v>5991</v>
      </c>
      <c r="DR237" s="315">
        <v>65</v>
      </c>
      <c r="DS237" s="315">
        <v>-6649</v>
      </c>
      <c r="DT237" s="315">
        <v>-2280</v>
      </c>
      <c r="DU237" s="315">
        <v>-50</v>
      </c>
      <c r="DV237" s="315">
        <v>-14</v>
      </c>
      <c r="DW237" s="315">
        <v>-4033</v>
      </c>
      <c r="DX237" s="315">
        <v>-2247</v>
      </c>
      <c r="DY237" s="315">
        <v>-431</v>
      </c>
      <c r="DZ237" s="315">
        <v>-1355</v>
      </c>
      <c r="EA237" s="315">
        <v>-196</v>
      </c>
      <c r="EB237" s="315">
        <v>-57</v>
      </c>
      <c r="EC237" s="315"/>
      <c r="ED237" s="315">
        <v>0</v>
      </c>
      <c r="EE237" s="315">
        <v>-19</v>
      </c>
      <c r="EF237" s="315">
        <v>1567008</v>
      </c>
      <c r="EG237" s="315">
        <v>521000</v>
      </c>
      <c r="EH237" s="315">
        <v>1046008</v>
      </c>
      <c r="EI237" s="315">
        <v>1030646</v>
      </c>
      <c r="EJ237" s="315">
        <v>15362</v>
      </c>
      <c r="EK237" s="315">
        <v>92891</v>
      </c>
      <c r="EL237" s="315">
        <v>54646</v>
      </c>
      <c r="EM237" s="315">
        <v>38245</v>
      </c>
      <c r="EN237" s="315">
        <v>37490</v>
      </c>
      <c r="EO237" s="315">
        <v>755</v>
      </c>
      <c r="EP237" s="315">
        <v>20621</v>
      </c>
      <c r="EQ237" s="315">
        <v>6851</v>
      </c>
      <c r="ER237" s="315">
        <v>13770</v>
      </c>
      <c r="ES237" s="315">
        <v>13513</v>
      </c>
      <c r="ET237" s="315">
        <v>257</v>
      </c>
      <c r="EU237" s="315">
        <v>2966</v>
      </c>
      <c r="EV237" s="315">
        <v>2104</v>
      </c>
      <c r="EW237" s="315">
        <v>862</v>
      </c>
      <c r="EX237" s="315">
        <v>844</v>
      </c>
      <c r="EY237" s="315">
        <v>18</v>
      </c>
      <c r="EZ237" s="315">
        <v>796997</v>
      </c>
      <c r="FA237" s="315">
        <v>298685</v>
      </c>
      <c r="FB237" s="315">
        <v>498312</v>
      </c>
      <c r="FC237" s="315">
        <v>490282</v>
      </c>
      <c r="FD237" s="315">
        <v>8030</v>
      </c>
      <c r="FE237" s="315">
        <v>515011</v>
      </c>
      <c r="FF237" s="315">
        <v>157137</v>
      </c>
      <c r="FG237" s="315">
        <v>357874</v>
      </c>
      <c r="FH237" s="315">
        <v>351572</v>
      </c>
      <c r="FI237" s="315">
        <v>6302</v>
      </c>
      <c r="FJ237" s="315">
        <v>132485</v>
      </c>
      <c r="FK237" s="315">
        <v>-4460</v>
      </c>
      <c r="FL237" s="315">
        <v>136945</v>
      </c>
      <c r="FM237" s="315">
        <v>136945</v>
      </c>
      <c r="FN237" s="315"/>
      <c r="FO237" s="315"/>
      <c r="FP237" s="315">
        <v>5991</v>
      </c>
      <c r="FQ237" s="315">
        <v>46</v>
      </c>
      <c r="FR237" s="315">
        <v>873943</v>
      </c>
      <c r="FS237" s="315">
        <v>-44481</v>
      </c>
      <c r="FT237" s="315">
        <v>829462</v>
      </c>
      <c r="FU237" s="315">
        <v>393251</v>
      </c>
      <c r="FV237" s="315">
        <v>393251</v>
      </c>
      <c r="FW237" s="315"/>
      <c r="FX237" s="315">
        <v>125584</v>
      </c>
      <c r="FY237" s="315">
        <v>126158</v>
      </c>
      <c r="FZ237" s="315"/>
      <c r="GA237" s="315"/>
      <c r="GB237" s="315">
        <v>19624</v>
      </c>
      <c r="GC237" s="315">
        <v>76718</v>
      </c>
      <c r="GD237" s="315">
        <v>-26577</v>
      </c>
      <c r="GE237" s="315"/>
      <c r="GF237" s="315">
        <v>103295</v>
      </c>
      <c r="GG237" s="315">
        <v>88127</v>
      </c>
      <c r="GH237" s="315">
        <v>9680</v>
      </c>
      <c r="GI237" s="315">
        <v>874</v>
      </c>
      <c r="GJ237" s="315">
        <v>77573</v>
      </c>
      <c r="GL237"/>
      <c r="GM237"/>
      <c r="GN237"/>
      <c r="GO237"/>
    </row>
    <row r="238" spans="1:197">
      <c r="A238" s="98" t="s">
        <v>32</v>
      </c>
      <c r="B238" s="98">
        <v>3</v>
      </c>
      <c r="C238" s="98" t="s">
        <v>219</v>
      </c>
      <c r="D238" s="315">
        <v>12070940</v>
      </c>
      <c r="E238" s="315">
        <v>-2617120</v>
      </c>
      <c r="F238" s="315">
        <v>-13266</v>
      </c>
      <c r="G238" s="315">
        <v>9440554</v>
      </c>
      <c r="H238" s="315">
        <v>3577080</v>
      </c>
      <c r="I238" s="315">
        <v>5863474</v>
      </c>
      <c r="J238" s="315">
        <v>5745724</v>
      </c>
      <c r="K238" s="315">
        <v>117750</v>
      </c>
      <c r="L238" s="315">
        <v>4985454</v>
      </c>
      <c r="M238" s="315">
        <v>4473920</v>
      </c>
      <c r="N238" s="315">
        <v>93676</v>
      </c>
      <c r="O238" s="315">
        <v>0</v>
      </c>
      <c r="P238" s="315">
        <v>93676</v>
      </c>
      <c r="Q238" s="315">
        <v>53352</v>
      </c>
      <c r="R238" s="315">
        <v>364506</v>
      </c>
      <c r="S238" s="315">
        <v>-157200</v>
      </c>
      <c r="T238" s="315">
        <v>-135536</v>
      </c>
      <c r="U238" s="315">
        <v>-48757</v>
      </c>
      <c r="V238" s="315">
        <v>-375</v>
      </c>
      <c r="W238" s="315">
        <v>0</v>
      </c>
      <c r="X238" s="315">
        <v>-65443</v>
      </c>
      <c r="Y238" s="315">
        <v>-20961</v>
      </c>
      <c r="Z238" s="315">
        <v>-4073</v>
      </c>
      <c r="AA238" s="315">
        <v>-10341</v>
      </c>
      <c r="AB238" s="315">
        <v>-7250</v>
      </c>
      <c r="AC238" s="315">
        <v>-13266</v>
      </c>
      <c r="AD238" s="315">
        <v>4814988</v>
      </c>
      <c r="AE238" s="315">
        <v>2146731</v>
      </c>
      <c r="AF238" s="315">
        <v>2668257</v>
      </c>
      <c r="AG238" s="315">
        <v>2610592</v>
      </c>
      <c r="AH238" s="315">
        <v>57665</v>
      </c>
      <c r="AI238" s="315">
        <v>4468542</v>
      </c>
      <c r="AJ238" s="315">
        <v>1562271</v>
      </c>
      <c r="AK238" s="315">
        <v>2683846</v>
      </c>
      <c r="AL238" s="315">
        <v>18484</v>
      </c>
      <c r="AM238" s="315">
        <v>222056</v>
      </c>
      <c r="AN238" s="315">
        <v>48381</v>
      </c>
      <c r="AO238" s="315">
        <v>33406</v>
      </c>
      <c r="AP238" s="315">
        <v>39177</v>
      </c>
      <c r="AQ238" s="315">
        <v>9273</v>
      </c>
      <c r="AR238" s="315">
        <v>-41860</v>
      </c>
      <c r="AS238" s="315">
        <v>49279</v>
      </c>
      <c r="AT238" s="315">
        <v>0</v>
      </c>
      <c r="AU238" s="315">
        <v>-13266</v>
      </c>
      <c r="AV238" s="315">
        <v>326887</v>
      </c>
      <c r="AW238" s="315">
        <v>19994</v>
      </c>
      <c r="AX238" s="315">
        <v>52227</v>
      </c>
      <c r="AY238" s="315">
        <v>5832</v>
      </c>
      <c r="AZ238" s="315">
        <v>5982</v>
      </c>
      <c r="BA238" s="315">
        <v>11558</v>
      </c>
      <c r="BB238" s="315">
        <v>28855</v>
      </c>
      <c r="BC238" s="315">
        <v>125833</v>
      </c>
      <c r="BD238" s="315">
        <v>128833</v>
      </c>
      <c r="BE238" s="315">
        <v>-316801</v>
      </c>
      <c r="BF238" s="315">
        <v>-291974</v>
      </c>
      <c r="BG238" s="315">
        <v>-258656</v>
      </c>
      <c r="BH238" s="315">
        <v>-33318</v>
      </c>
      <c r="BI238" s="315">
        <v>0</v>
      </c>
      <c r="BJ238" s="315">
        <v>-211201.00000000003</v>
      </c>
      <c r="BK238" s="315">
        <v>-80772.999999999971</v>
      </c>
      <c r="BL238" s="315">
        <v>-24827</v>
      </c>
      <c r="BM238" s="315">
        <v>0</v>
      </c>
      <c r="BN238" s="315">
        <v>10086</v>
      </c>
      <c r="BO238" s="315">
        <v>95984</v>
      </c>
      <c r="BP238" s="315">
        <v>15404</v>
      </c>
      <c r="BQ238" s="315">
        <v>14203</v>
      </c>
      <c r="BR238" s="315">
        <v>405</v>
      </c>
      <c r="BS238" s="315">
        <v>-2315</v>
      </c>
      <c r="BT238" s="315">
        <v>1594</v>
      </c>
      <c r="BU238" s="315">
        <v>40</v>
      </c>
      <c r="BV238" s="315">
        <v>611</v>
      </c>
      <c r="BW238" s="315">
        <v>-4560</v>
      </c>
      <c r="BX238" s="315">
        <v>-206429</v>
      </c>
      <c r="BY238" s="315">
        <v>92515</v>
      </c>
      <c r="BZ238" s="315">
        <v>319</v>
      </c>
      <c r="CA238" s="315">
        <v>94309</v>
      </c>
      <c r="CB238" s="315">
        <v>-44588</v>
      </c>
      <c r="CC238" s="315">
        <v>-44588</v>
      </c>
      <c r="CD238" s="315">
        <v>0</v>
      </c>
      <c r="CE238" s="315">
        <v>49721</v>
      </c>
      <c r="CF238" s="315">
        <v>85270</v>
      </c>
      <c r="CG238" s="315">
        <v>8</v>
      </c>
      <c r="CH238" s="315">
        <v>-35557</v>
      </c>
      <c r="CI238" s="315">
        <v>4773716</v>
      </c>
      <c r="CJ238" s="315">
        <v>791964</v>
      </c>
      <c r="CK238" s="315">
        <v>3981752</v>
      </c>
      <c r="CL238" s="315">
        <v>3473487</v>
      </c>
      <c r="CM238" s="315">
        <v>53635</v>
      </c>
      <c r="CN238" s="315">
        <v>454630</v>
      </c>
      <c r="CO238" s="315">
        <v>0</v>
      </c>
      <c r="CP238" s="315">
        <v>7633</v>
      </c>
      <c r="CQ238" s="315">
        <v>446997</v>
      </c>
      <c r="CR238" s="315">
        <v>-2039144</v>
      </c>
      <c r="CS238" s="315">
        <v>-293599</v>
      </c>
      <c r="CT238" s="315">
        <v>-126724</v>
      </c>
      <c r="CU238" s="315">
        <v>-44629</v>
      </c>
      <c r="CV238" s="315">
        <v>-273</v>
      </c>
      <c r="CW238" s="315">
        <v>-121973</v>
      </c>
      <c r="CX238" s="315">
        <v>-1524512</v>
      </c>
      <c r="CY238" s="315">
        <v>-568269</v>
      </c>
      <c r="CZ238" s="315">
        <v>-946083</v>
      </c>
      <c r="DA238" s="315">
        <v>-10160</v>
      </c>
      <c r="DB238" s="315">
        <v>0</v>
      </c>
      <c r="DC238" s="315">
        <v>-221033</v>
      </c>
      <c r="DD238" s="315">
        <v>2734572</v>
      </c>
      <c r="DE238" s="315">
        <v>585369</v>
      </c>
      <c r="DF238" s="315">
        <v>2149203</v>
      </c>
      <c r="DG238" s="315">
        <v>2104486</v>
      </c>
      <c r="DH238" s="315">
        <v>44717</v>
      </c>
      <c r="DI238" s="315">
        <v>1447948</v>
      </c>
      <c r="DJ238" s="315">
        <v>82844</v>
      </c>
      <c r="DK238" s="315">
        <v>21255</v>
      </c>
      <c r="DL238" s="315">
        <v>1282</v>
      </c>
      <c r="DM238" s="315">
        <v>787341</v>
      </c>
      <c r="DN238" s="315">
        <v>435489</v>
      </c>
      <c r="DO238" s="315">
        <v>119691</v>
      </c>
      <c r="DP238" s="315"/>
      <c r="DQ238" s="315">
        <v>0</v>
      </c>
      <c r="DR238" s="315">
        <v>46</v>
      </c>
      <c r="DS238" s="315">
        <v>-8915</v>
      </c>
      <c r="DT238" s="315">
        <v>-791</v>
      </c>
      <c r="DU238" s="315">
        <v>-69</v>
      </c>
      <c r="DV238" s="315">
        <v>-49</v>
      </c>
      <c r="DW238" s="315">
        <v>-1687</v>
      </c>
      <c r="DX238" s="315">
        <v>-1350</v>
      </c>
      <c r="DY238" s="315">
        <v>-195</v>
      </c>
      <c r="DZ238" s="315">
        <v>-142</v>
      </c>
      <c r="EA238" s="315">
        <v>-5922</v>
      </c>
      <c r="EB238" s="315">
        <v>-162</v>
      </c>
      <c r="EC238" s="315"/>
      <c r="ED238" s="315">
        <v>-1</v>
      </c>
      <c r="EE238" s="315">
        <v>-234</v>
      </c>
      <c r="EF238" s="315">
        <v>1439033</v>
      </c>
      <c r="EG238" s="315">
        <v>393019</v>
      </c>
      <c r="EH238" s="315">
        <v>1046014</v>
      </c>
      <c r="EI238" s="315">
        <v>1030646</v>
      </c>
      <c r="EJ238" s="315">
        <v>15368</v>
      </c>
      <c r="EK238" s="315">
        <v>82053</v>
      </c>
      <c r="EL238" s="315">
        <v>43808</v>
      </c>
      <c r="EM238" s="315">
        <v>38245</v>
      </c>
      <c r="EN238" s="315">
        <v>37490</v>
      </c>
      <c r="EO238" s="315">
        <v>755</v>
      </c>
      <c r="EP238" s="315">
        <v>21186</v>
      </c>
      <c r="EQ238" s="315">
        <v>7415</v>
      </c>
      <c r="ER238" s="315">
        <v>13771</v>
      </c>
      <c r="ES238" s="315">
        <v>13512</v>
      </c>
      <c r="ET238" s="315">
        <v>259</v>
      </c>
      <c r="EU238" s="315">
        <v>1233</v>
      </c>
      <c r="EV238" s="315">
        <v>372</v>
      </c>
      <c r="EW238" s="315">
        <v>861</v>
      </c>
      <c r="EX238" s="315">
        <v>845</v>
      </c>
      <c r="EY238" s="315">
        <v>16</v>
      </c>
      <c r="EZ238" s="315">
        <v>785654</v>
      </c>
      <c r="FA238" s="315">
        <v>287338</v>
      </c>
      <c r="FB238" s="315">
        <v>498316</v>
      </c>
      <c r="FC238" s="315">
        <v>490281</v>
      </c>
      <c r="FD238" s="315">
        <v>8035</v>
      </c>
      <c r="FE238" s="315">
        <v>429567</v>
      </c>
      <c r="FF238" s="315">
        <v>71692</v>
      </c>
      <c r="FG238" s="315">
        <v>357875</v>
      </c>
      <c r="FH238" s="315">
        <v>351572</v>
      </c>
      <c r="FI238" s="315">
        <v>6303</v>
      </c>
      <c r="FJ238" s="315">
        <v>119529</v>
      </c>
      <c r="FK238" s="315">
        <v>-17417</v>
      </c>
      <c r="FL238" s="315">
        <v>136946</v>
      </c>
      <c r="FM238" s="315">
        <v>136946</v>
      </c>
      <c r="FN238" s="315"/>
      <c r="FO238" s="315"/>
      <c r="FP238" s="315">
        <v>-1</v>
      </c>
      <c r="FQ238" s="315">
        <v>-188</v>
      </c>
      <c r="FR238" s="315">
        <v>442626</v>
      </c>
      <c r="FS238" s="315">
        <v>-50472</v>
      </c>
      <c r="FT238" s="315">
        <v>392154</v>
      </c>
      <c r="FU238" s="315">
        <v>2881</v>
      </c>
      <c r="FV238" s="315">
        <v>2881</v>
      </c>
      <c r="FW238" s="315"/>
      <c r="FX238" s="315">
        <v>121496</v>
      </c>
      <c r="FY238" s="315">
        <v>104473</v>
      </c>
      <c r="FZ238" s="315"/>
      <c r="GA238" s="315"/>
      <c r="GB238" s="315">
        <v>52</v>
      </c>
      <c r="GC238" s="315">
        <v>50204</v>
      </c>
      <c r="GD238" s="315">
        <v>-6680</v>
      </c>
      <c r="GE238" s="315"/>
      <c r="GF238" s="315">
        <v>56884</v>
      </c>
      <c r="GG238" s="315">
        <v>113048</v>
      </c>
      <c r="GH238" s="315">
        <v>11500</v>
      </c>
      <c r="GI238" s="315">
        <v>6726</v>
      </c>
      <c r="GJ238" s="315">
        <v>94822</v>
      </c>
      <c r="GL238"/>
      <c r="GM238"/>
      <c r="GN238"/>
      <c r="GO238"/>
    </row>
    <row r="239" spans="1:197">
      <c r="A239" s="98" t="s">
        <v>32</v>
      </c>
      <c r="B239" s="98">
        <v>4</v>
      </c>
      <c r="C239" s="98" t="s">
        <v>220</v>
      </c>
      <c r="D239" s="315">
        <v>21310764</v>
      </c>
      <c r="E239" s="315">
        <v>-4068343</v>
      </c>
      <c r="F239" s="315">
        <v>-13266</v>
      </c>
      <c r="G239" s="315">
        <v>17229155</v>
      </c>
      <c r="H239" s="315">
        <v>11365683</v>
      </c>
      <c r="I239" s="315">
        <v>5863472</v>
      </c>
      <c r="J239" s="315">
        <v>5745724</v>
      </c>
      <c r="K239" s="315">
        <v>117748</v>
      </c>
      <c r="L239" s="315">
        <v>7273210</v>
      </c>
      <c r="M239" s="315">
        <v>6190936</v>
      </c>
      <c r="N239" s="315">
        <v>94652</v>
      </c>
      <c r="O239" s="315">
        <v>0</v>
      </c>
      <c r="P239" s="315">
        <v>94652</v>
      </c>
      <c r="Q239" s="315">
        <v>58456</v>
      </c>
      <c r="R239" s="315">
        <v>929166</v>
      </c>
      <c r="S239" s="315">
        <v>-1146991</v>
      </c>
      <c r="T239" s="315">
        <v>-1106901</v>
      </c>
      <c r="U239" s="315">
        <v>-48212</v>
      </c>
      <c r="V239" s="315">
        <v>-98</v>
      </c>
      <c r="W239" s="315">
        <v>-997607</v>
      </c>
      <c r="X239" s="315">
        <v>0</v>
      </c>
      <c r="Y239" s="315">
        <v>-60984</v>
      </c>
      <c r="Z239" s="315">
        <v>-6763</v>
      </c>
      <c r="AA239" s="315">
        <v>-32743</v>
      </c>
      <c r="AB239" s="315">
        <v>-584</v>
      </c>
      <c r="AC239" s="315">
        <v>-13266</v>
      </c>
      <c r="AD239" s="315">
        <v>6112953</v>
      </c>
      <c r="AE239" s="315">
        <v>3444697</v>
      </c>
      <c r="AF239" s="315">
        <v>2668256</v>
      </c>
      <c r="AG239" s="315">
        <v>2610593</v>
      </c>
      <c r="AH239" s="315">
        <v>57663</v>
      </c>
      <c r="AI239" s="315">
        <v>6185758</v>
      </c>
      <c r="AJ239" s="315">
        <v>1321327</v>
      </c>
      <c r="AK239" s="315">
        <v>2307857</v>
      </c>
      <c r="AL239" s="315">
        <v>2415430</v>
      </c>
      <c r="AM239" s="315">
        <v>283996</v>
      </c>
      <c r="AN239" s="315">
        <v>249123</v>
      </c>
      <c r="AO239" s="315">
        <v>33614</v>
      </c>
      <c r="AP239" s="315">
        <v>6336</v>
      </c>
      <c r="AQ239" s="315">
        <v>327948</v>
      </c>
      <c r="AR239" s="315">
        <v>-1012249</v>
      </c>
      <c r="AS239" s="315">
        <v>51693</v>
      </c>
      <c r="AT239" s="315">
        <v>0</v>
      </c>
      <c r="AU239" s="315">
        <v>-13266</v>
      </c>
      <c r="AV239" s="315">
        <v>4112205</v>
      </c>
      <c r="AW239" s="315">
        <v>3631322</v>
      </c>
      <c r="AX239" s="315">
        <v>97573</v>
      </c>
      <c r="AY239" s="315">
        <v>32580</v>
      </c>
      <c r="AZ239" s="315">
        <v>22685</v>
      </c>
      <c r="BA239" s="315">
        <v>11636</v>
      </c>
      <c r="BB239" s="315">
        <v>30672</v>
      </c>
      <c r="BC239" s="315">
        <v>148393</v>
      </c>
      <c r="BD239" s="315">
        <v>234917</v>
      </c>
      <c r="BE239" s="315">
        <v>-335458</v>
      </c>
      <c r="BF239" s="315">
        <v>-137804</v>
      </c>
      <c r="BG239" s="315">
        <v>-109423</v>
      </c>
      <c r="BH239" s="315">
        <v>-28381</v>
      </c>
      <c r="BI239" s="315">
        <v>0</v>
      </c>
      <c r="BJ239" s="315">
        <v>-86485.999999999985</v>
      </c>
      <c r="BK239" s="315">
        <v>-51318.000000000015</v>
      </c>
      <c r="BL239" s="315">
        <v>-197654</v>
      </c>
      <c r="BM239" s="315">
        <v>0</v>
      </c>
      <c r="BN239" s="315">
        <v>3776747</v>
      </c>
      <c r="BO239" s="315">
        <v>119878</v>
      </c>
      <c r="BP239" s="315">
        <v>99864</v>
      </c>
      <c r="BQ239" s="315">
        <v>14279</v>
      </c>
      <c r="BR239" s="315">
        <v>9</v>
      </c>
      <c r="BS239" s="315">
        <v>3434293</v>
      </c>
      <c r="BT239" s="315">
        <v>1310441</v>
      </c>
      <c r="BU239" s="315">
        <v>1989763</v>
      </c>
      <c r="BV239" s="315">
        <v>315276</v>
      </c>
      <c r="BW239" s="315">
        <v>-181187</v>
      </c>
      <c r="BX239" s="315">
        <v>-11850</v>
      </c>
      <c r="BY239" s="315">
        <v>120012</v>
      </c>
      <c r="BZ239" s="315">
        <v>262</v>
      </c>
      <c r="CA239" s="315">
        <v>129532</v>
      </c>
      <c r="CB239" s="315">
        <v>-50963</v>
      </c>
      <c r="CC239" s="315">
        <v>-50963</v>
      </c>
      <c r="CD239" s="315">
        <v>0</v>
      </c>
      <c r="CE239" s="315">
        <v>78569</v>
      </c>
      <c r="CF239" s="315">
        <v>94746</v>
      </c>
      <c r="CG239" s="315">
        <v>9821</v>
      </c>
      <c r="CH239" s="315">
        <v>-25998</v>
      </c>
      <c r="CI239" s="315">
        <v>7533452</v>
      </c>
      <c r="CJ239" s="315">
        <v>799836</v>
      </c>
      <c r="CK239" s="315">
        <v>6733616</v>
      </c>
      <c r="CL239" s="315">
        <v>3217762</v>
      </c>
      <c r="CM239" s="315">
        <v>3061441</v>
      </c>
      <c r="CN239" s="315">
        <v>454413</v>
      </c>
      <c r="CO239" s="315">
        <v>0</v>
      </c>
      <c r="CP239" s="315">
        <v>1257</v>
      </c>
      <c r="CQ239" s="315">
        <v>453156</v>
      </c>
      <c r="CR239" s="315">
        <v>-2435614</v>
      </c>
      <c r="CS239" s="315">
        <v>-859726</v>
      </c>
      <c r="CT239" s="315">
        <v>-761628</v>
      </c>
      <c r="CU239" s="315">
        <v>-22964</v>
      </c>
      <c r="CV239" s="315">
        <v>-169</v>
      </c>
      <c r="CW239" s="315">
        <v>-74965</v>
      </c>
      <c r="CX239" s="315">
        <v>-1190325</v>
      </c>
      <c r="CY239" s="315">
        <v>-795121</v>
      </c>
      <c r="CZ239" s="315">
        <v>-392271</v>
      </c>
      <c r="DA239" s="315">
        <v>-2933</v>
      </c>
      <c r="DB239" s="315">
        <v>-384306</v>
      </c>
      <c r="DC239" s="315">
        <v>-1257</v>
      </c>
      <c r="DD239" s="315">
        <v>5097838</v>
      </c>
      <c r="DE239" s="315">
        <v>2948630</v>
      </c>
      <c r="DF239" s="315">
        <v>2149208</v>
      </c>
      <c r="DG239" s="315">
        <v>2104487</v>
      </c>
      <c r="DH239" s="315">
        <v>44721</v>
      </c>
      <c r="DI239" s="315">
        <v>1575230</v>
      </c>
      <c r="DJ239" s="315">
        <v>33348</v>
      </c>
      <c r="DK239" s="315">
        <v>19121</v>
      </c>
      <c r="DL239" s="315">
        <v>733</v>
      </c>
      <c r="DM239" s="315">
        <v>911545</v>
      </c>
      <c r="DN239" s="315">
        <v>484948</v>
      </c>
      <c r="DO239" s="315">
        <v>71248</v>
      </c>
      <c r="DP239" s="315"/>
      <c r="DQ239" s="315">
        <v>54255</v>
      </c>
      <c r="DR239" s="315">
        <v>32</v>
      </c>
      <c r="DS239" s="315">
        <v>-61922</v>
      </c>
      <c r="DT239" s="315">
        <v>-19392</v>
      </c>
      <c r="DU239" s="315">
        <v>-4735</v>
      </c>
      <c r="DV239" s="315">
        <v>-2</v>
      </c>
      <c r="DW239" s="315">
        <v>-2073</v>
      </c>
      <c r="DX239" s="315">
        <v>-419</v>
      </c>
      <c r="DY239" s="315">
        <v>-135</v>
      </c>
      <c r="DZ239" s="315">
        <v>-1519</v>
      </c>
      <c r="EA239" s="315">
        <v>-35481</v>
      </c>
      <c r="EB239" s="315">
        <v>-62</v>
      </c>
      <c r="EC239" s="315"/>
      <c r="ED239" s="315">
        <v>0</v>
      </c>
      <c r="EE239" s="315">
        <v>-177</v>
      </c>
      <c r="EF239" s="315">
        <v>1513308</v>
      </c>
      <c r="EG239" s="315">
        <v>467300</v>
      </c>
      <c r="EH239" s="315">
        <v>1046008</v>
      </c>
      <c r="EI239" s="315">
        <v>1030644</v>
      </c>
      <c r="EJ239" s="315">
        <v>15364</v>
      </c>
      <c r="EK239" s="315">
        <v>13956</v>
      </c>
      <c r="EL239" s="315">
        <v>-24289</v>
      </c>
      <c r="EM239" s="315">
        <v>38245</v>
      </c>
      <c r="EN239" s="315">
        <v>37490</v>
      </c>
      <c r="EO239" s="315">
        <v>755</v>
      </c>
      <c r="EP239" s="315">
        <v>14386</v>
      </c>
      <c r="EQ239" s="315">
        <v>617</v>
      </c>
      <c r="ER239" s="315">
        <v>13769</v>
      </c>
      <c r="ES239" s="315">
        <v>13512</v>
      </c>
      <c r="ET239" s="315">
        <v>257</v>
      </c>
      <c r="EU239" s="315">
        <v>731</v>
      </c>
      <c r="EV239" s="315">
        <v>-128</v>
      </c>
      <c r="EW239" s="315">
        <v>859</v>
      </c>
      <c r="EX239" s="315">
        <v>844</v>
      </c>
      <c r="EY239" s="315">
        <v>15</v>
      </c>
      <c r="EZ239" s="315">
        <v>909472</v>
      </c>
      <c r="FA239" s="315">
        <v>411156</v>
      </c>
      <c r="FB239" s="315">
        <v>498316</v>
      </c>
      <c r="FC239" s="315">
        <v>490282</v>
      </c>
      <c r="FD239" s="315">
        <v>8034</v>
      </c>
      <c r="FE239" s="315">
        <v>449467</v>
      </c>
      <c r="FF239" s="315">
        <v>91593</v>
      </c>
      <c r="FG239" s="315">
        <v>357874</v>
      </c>
      <c r="FH239" s="315">
        <v>351571</v>
      </c>
      <c r="FI239" s="315">
        <v>6303</v>
      </c>
      <c r="FJ239" s="315">
        <v>71186</v>
      </c>
      <c r="FK239" s="315">
        <v>-65759</v>
      </c>
      <c r="FL239" s="315">
        <v>136945</v>
      </c>
      <c r="FM239" s="315">
        <v>136945</v>
      </c>
      <c r="FN239" s="315"/>
      <c r="FO239" s="315"/>
      <c r="FP239" s="315">
        <v>54255</v>
      </c>
      <c r="FQ239" s="315">
        <v>-145</v>
      </c>
      <c r="FR239" s="315">
        <v>687135</v>
      </c>
      <c r="FS239" s="315">
        <v>-37395</v>
      </c>
      <c r="FT239" s="315">
        <v>649740</v>
      </c>
      <c r="FU239" s="315">
        <v>5689</v>
      </c>
      <c r="FV239" s="315">
        <v>5689</v>
      </c>
      <c r="FW239" s="315"/>
      <c r="FX239" s="315">
        <v>112916</v>
      </c>
      <c r="FY239" s="315">
        <v>92860</v>
      </c>
      <c r="FZ239" s="315"/>
      <c r="GA239" s="315"/>
      <c r="GB239" s="315">
        <v>75</v>
      </c>
      <c r="GC239" s="315">
        <v>296912</v>
      </c>
      <c r="GD239" s="315">
        <v>242404</v>
      </c>
      <c r="GE239" s="315"/>
      <c r="GF239" s="315">
        <v>54508</v>
      </c>
      <c r="GG239" s="315">
        <v>141288</v>
      </c>
      <c r="GH239" s="315">
        <v>8190</v>
      </c>
      <c r="GI239" s="315">
        <v>404</v>
      </c>
      <c r="GJ239" s="315">
        <v>132694</v>
      </c>
      <c r="GL239"/>
      <c r="GM239"/>
      <c r="GN239"/>
      <c r="GO239"/>
    </row>
    <row r="240" spans="1:197">
      <c r="A240" s="98" t="s">
        <v>32</v>
      </c>
      <c r="B240" s="98">
        <v>5</v>
      </c>
      <c r="C240" s="98" t="s">
        <v>221</v>
      </c>
      <c r="D240" s="315">
        <v>17449774</v>
      </c>
      <c r="E240" s="315">
        <v>-5463844</v>
      </c>
      <c r="F240" s="315">
        <v>-13266</v>
      </c>
      <c r="G240" s="315">
        <v>11972664</v>
      </c>
      <c r="H240" s="315">
        <v>6109198</v>
      </c>
      <c r="I240" s="315">
        <v>5863466</v>
      </c>
      <c r="J240" s="315">
        <v>5745725</v>
      </c>
      <c r="K240" s="315">
        <v>117741</v>
      </c>
      <c r="L240" s="315">
        <v>6645547</v>
      </c>
      <c r="M240" s="315">
        <v>5768738</v>
      </c>
      <c r="N240" s="315">
        <v>153253</v>
      </c>
      <c r="O240" s="315">
        <v>64410</v>
      </c>
      <c r="P240" s="315">
        <v>88843</v>
      </c>
      <c r="Q240" s="315">
        <v>59178</v>
      </c>
      <c r="R240" s="315">
        <v>664378</v>
      </c>
      <c r="S240" s="315">
        <v>-2805574</v>
      </c>
      <c r="T240" s="315">
        <v>-2788920</v>
      </c>
      <c r="U240" s="315">
        <v>-48490</v>
      </c>
      <c r="V240" s="315">
        <v>-47</v>
      </c>
      <c r="W240" s="315">
        <v>-2699557</v>
      </c>
      <c r="X240" s="315">
        <v>0</v>
      </c>
      <c r="Y240" s="315">
        <v>-40826</v>
      </c>
      <c r="Z240" s="315">
        <v>-3324</v>
      </c>
      <c r="AA240" s="315">
        <v>-13330</v>
      </c>
      <c r="AB240" s="315">
        <v>0</v>
      </c>
      <c r="AC240" s="315">
        <v>-13266</v>
      </c>
      <c r="AD240" s="315">
        <v>3826707</v>
      </c>
      <c r="AE240" s="315">
        <v>1158452</v>
      </c>
      <c r="AF240" s="315">
        <v>2668255</v>
      </c>
      <c r="AG240" s="315">
        <v>2610591</v>
      </c>
      <c r="AH240" s="315">
        <v>57664</v>
      </c>
      <c r="AI240" s="315">
        <v>5756129</v>
      </c>
      <c r="AJ240" s="315">
        <v>1697082</v>
      </c>
      <c r="AK240" s="315">
        <v>2888730</v>
      </c>
      <c r="AL240" s="315">
        <v>1050099</v>
      </c>
      <c r="AM240" s="315">
        <v>306865</v>
      </c>
      <c r="AN240" s="315">
        <v>168806</v>
      </c>
      <c r="AO240" s="315">
        <v>30491</v>
      </c>
      <c r="AP240" s="315">
        <v>20861</v>
      </c>
      <c r="AQ240" s="315">
        <v>136634</v>
      </c>
      <c r="AR240" s="315">
        <v>-2635667</v>
      </c>
      <c r="AS240" s="315">
        <v>55854</v>
      </c>
      <c r="AT240" s="315">
        <v>0</v>
      </c>
      <c r="AU240" s="315">
        <v>-13266</v>
      </c>
      <c r="AV240" s="315">
        <v>1185766</v>
      </c>
      <c r="AW240" s="315">
        <v>790292</v>
      </c>
      <c r="AX240" s="315">
        <v>61215</v>
      </c>
      <c r="AY240" s="315">
        <v>14168</v>
      </c>
      <c r="AZ240" s="315">
        <v>5894</v>
      </c>
      <c r="BA240" s="315">
        <v>12393</v>
      </c>
      <c r="BB240" s="315">
        <v>28760</v>
      </c>
      <c r="BC240" s="315">
        <v>125727</v>
      </c>
      <c r="BD240" s="315">
        <v>208532</v>
      </c>
      <c r="BE240" s="315">
        <v>-124671</v>
      </c>
      <c r="BF240" s="315">
        <v>-123504</v>
      </c>
      <c r="BG240" s="315">
        <v>-105730</v>
      </c>
      <c r="BH240" s="315">
        <v>-17774</v>
      </c>
      <c r="BI240" s="315">
        <v>0</v>
      </c>
      <c r="BJ240" s="315">
        <v>-69325</v>
      </c>
      <c r="BK240" s="315">
        <v>-54179</v>
      </c>
      <c r="BL240" s="315">
        <v>-1167</v>
      </c>
      <c r="BM240" s="315">
        <v>0</v>
      </c>
      <c r="BN240" s="315">
        <v>1061095</v>
      </c>
      <c r="BO240" s="315">
        <v>126627</v>
      </c>
      <c r="BP240" s="315">
        <v>65617</v>
      </c>
      <c r="BQ240" s="315">
        <v>12984</v>
      </c>
      <c r="BR240" s="315">
        <v>507</v>
      </c>
      <c r="BS240" s="315">
        <v>789356</v>
      </c>
      <c r="BT240" s="315">
        <v>221460</v>
      </c>
      <c r="BU240" s="315">
        <v>394708</v>
      </c>
      <c r="BV240" s="315">
        <v>154719</v>
      </c>
      <c r="BW240" s="315">
        <v>18469</v>
      </c>
      <c r="BX240" s="315">
        <v>-44515</v>
      </c>
      <c r="BY240" s="315">
        <v>107953</v>
      </c>
      <c r="BZ240" s="315">
        <v>2566</v>
      </c>
      <c r="CA240" s="315">
        <v>107448</v>
      </c>
      <c r="CB240" s="315">
        <v>-35575</v>
      </c>
      <c r="CC240" s="315">
        <v>-35575</v>
      </c>
      <c r="CD240" s="315">
        <v>0</v>
      </c>
      <c r="CE240" s="315">
        <v>71873</v>
      </c>
      <c r="CF240" s="315">
        <v>96114</v>
      </c>
      <c r="CG240" s="315">
        <v>2265</v>
      </c>
      <c r="CH240" s="315">
        <v>-26506</v>
      </c>
      <c r="CI240" s="315">
        <v>7057102</v>
      </c>
      <c r="CJ240" s="315">
        <v>755250</v>
      </c>
      <c r="CK240" s="315">
        <v>6301852</v>
      </c>
      <c r="CL240" s="315">
        <v>4273695</v>
      </c>
      <c r="CM240" s="315">
        <v>1444280</v>
      </c>
      <c r="CN240" s="315">
        <v>583877</v>
      </c>
      <c r="CO240" s="315">
        <v>0</v>
      </c>
      <c r="CP240" s="315">
        <v>0</v>
      </c>
      <c r="CQ240" s="315">
        <v>583877</v>
      </c>
      <c r="CR240" s="315">
        <v>-2443102</v>
      </c>
      <c r="CS240" s="315">
        <v>-699629</v>
      </c>
      <c r="CT240" s="315">
        <v>-596195</v>
      </c>
      <c r="CU240" s="315">
        <v>-23821</v>
      </c>
      <c r="CV240" s="315">
        <v>-668</v>
      </c>
      <c r="CW240" s="315">
        <v>-78945</v>
      </c>
      <c r="CX240" s="315">
        <v>-1743473</v>
      </c>
      <c r="CY240" s="315">
        <v>-1197213</v>
      </c>
      <c r="CZ240" s="315">
        <v>-542574</v>
      </c>
      <c r="DA240" s="315">
        <v>-3686</v>
      </c>
      <c r="DB240" s="315">
        <v>0</v>
      </c>
      <c r="DC240" s="315">
        <v>0</v>
      </c>
      <c r="DD240" s="315">
        <v>4614000</v>
      </c>
      <c r="DE240" s="315">
        <v>2464806</v>
      </c>
      <c r="DF240" s="315">
        <v>2149194</v>
      </c>
      <c r="DG240" s="315">
        <v>2104486</v>
      </c>
      <c r="DH240" s="315">
        <v>44708</v>
      </c>
      <c r="DI240" s="315">
        <v>1627171</v>
      </c>
      <c r="DJ240" s="315">
        <v>70137</v>
      </c>
      <c r="DK240" s="315">
        <v>21803</v>
      </c>
      <c r="DL240" s="315">
        <v>2145</v>
      </c>
      <c r="DM240" s="315">
        <v>859427</v>
      </c>
      <c r="DN240" s="315">
        <v>517536</v>
      </c>
      <c r="DO240" s="315">
        <v>156080</v>
      </c>
      <c r="DP240" s="315"/>
      <c r="DQ240" s="315">
        <v>0</v>
      </c>
      <c r="DR240" s="315">
        <v>43</v>
      </c>
      <c r="DS240" s="315">
        <v>-15495</v>
      </c>
      <c r="DT240" s="315">
        <v>-4810</v>
      </c>
      <c r="DU240" s="315">
        <v>-154</v>
      </c>
      <c r="DV240" s="315">
        <v>-28</v>
      </c>
      <c r="DW240" s="315">
        <v>-10252</v>
      </c>
      <c r="DX240" s="315">
        <v>-8579</v>
      </c>
      <c r="DY240" s="315">
        <v>-467</v>
      </c>
      <c r="DZ240" s="315">
        <v>-1206</v>
      </c>
      <c r="EA240" s="315">
        <v>-213</v>
      </c>
      <c r="EB240" s="315">
        <v>-1</v>
      </c>
      <c r="EC240" s="315"/>
      <c r="ED240" s="315">
        <v>0</v>
      </c>
      <c r="EE240" s="315">
        <v>-37</v>
      </c>
      <c r="EF240" s="315">
        <v>1611676</v>
      </c>
      <c r="EG240" s="315">
        <v>565659</v>
      </c>
      <c r="EH240" s="315">
        <v>1046017</v>
      </c>
      <c r="EI240" s="315">
        <v>1030648</v>
      </c>
      <c r="EJ240" s="315">
        <v>15369</v>
      </c>
      <c r="EK240" s="315">
        <v>65327</v>
      </c>
      <c r="EL240" s="315">
        <v>27082</v>
      </c>
      <c r="EM240" s="315">
        <v>38245</v>
      </c>
      <c r="EN240" s="315">
        <v>37490</v>
      </c>
      <c r="EO240" s="315">
        <v>755</v>
      </c>
      <c r="EP240" s="315">
        <v>21649</v>
      </c>
      <c r="EQ240" s="315">
        <v>7878</v>
      </c>
      <c r="ER240" s="315">
        <v>13771</v>
      </c>
      <c r="ES240" s="315">
        <v>13513</v>
      </c>
      <c r="ET240" s="315">
        <v>258</v>
      </c>
      <c r="EU240" s="315">
        <v>2117</v>
      </c>
      <c r="EV240" s="315">
        <v>1255</v>
      </c>
      <c r="EW240" s="315">
        <v>862</v>
      </c>
      <c r="EX240" s="315">
        <v>845</v>
      </c>
      <c r="EY240" s="315">
        <v>17</v>
      </c>
      <c r="EZ240" s="315">
        <v>849175</v>
      </c>
      <c r="FA240" s="315">
        <v>350857</v>
      </c>
      <c r="FB240" s="315">
        <v>498318</v>
      </c>
      <c r="FC240" s="315">
        <v>490282</v>
      </c>
      <c r="FD240" s="315">
        <v>8036</v>
      </c>
      <c r="FE240" s="315">
        <v>517323</v>
      </c>
      <c r="FF240" s="315">
        <v>159447</v>
      </c>
      <c r="FG240" s="315">
        <v>357876</v>
      </c>
      <c r="FH240" s="315">
        <v>351573</v>
      </c>
      <c r="FI240" s="315">
        <v>6303</v>
      </c>
      <c r="FJ240" s="315">
        <v>156079</v>
      </c>
      <c r="FK240" s="315">
        <v>19134</v>
      </c>
      <c r="FL240" s="315">
        <v>136945</v>
      </c>
      <c r="FM240" s="315">
        <v>136945</v>
      </c>
      <c r="FN240" s="315"/>
      <c r="FO240" s="315"/>
      <c r="FP240" s="315">
        <v>0</v>
      </c>
      <c r="FQ240" s="315">
        <v>6</v>
      </c>
      <c r="FR240" s="315">
        <v>826740</v>
      </c>
      <c r="FS240" s="315">
        <v>-39427</v>
      </c>
      <c r="FT240" s="315">
        <v>787313</v>
      </c>
      <c r="FU240" s="315">
        <v>281472</v>
      </c>
      <c r="FV240" s="315">
        <v>273306</v>
      </c>
      <c r="FW240" s="315">
        <v>8166</v>
      </c>
      <c r="FX240" s="315">
        <v>97397</v>
      </c>
      <c r="FY240" s="315">
        <v>134183</v>
      </c>
      <c r="FZ240" s="315"/>
      <c r="GA240" s="315"/>
      <c r="GB240" s="315">
        <v>23211</v>
      </c>
      <c r="GC240" s="315">
        <v>73337</v>
      </c>
      <c r="GD240" s="315">
        <v>2688</v>
      </c>
      <c r="GE240" s="315"/>
      <c r="GF240" s="315">
        <v>70649</v>
      </c>
      <c r="GG240" s="315">
        <v>177713</v>
      </c>
      <c r="GH240" s="315">
        <v>18864</v>
      </c>
      <c r="GI240" s="315">
        <v>510</v>
      </c>
      <c r="GJ240" s="315">
        <v>158339</v>
      </c>
      <c r="GL240"/>
      <c r="GM240"/>
      <c r="GN240"/>
      <c r="GO240"/>
    </row>
    <row r="241" spans="1:197">
      <c r="A241" s="98" t="s">
        <v>32</v>
      </c>
      <c r="B241" s="98">
        <v>6</v>
      </c>
      <c r="C241" s="98" t="s">
        <v>222</v>
      </c>
      <c r="D241" s="315">
        <v>13396019</v>
      </c>
      <c r="E241" s="315">
        <v>-5518431</v>
      </c>
      <c r="F241" s="315">
        <v>-13266</v>
      </c>
      <c r="G241" s="315">
        <v>7864322</v>
      </c>
      <c r="H241" s="315">
        <v>2000890</v>
      </c>
      <c r="I241" s="315">
        <v>5863432</v>
      </c>
      <c r="J241" s="315">
        <v>5745725</v>
      </c>
      <c r="K241" s="315">
        <v>117707</v>
      </c>
      <c r="L241" s="315">
        <v>5229402</v>
      </c>
      <c r="M241" s="315">
        <v>4148983</v>
      </c>
      <c r="N241" s="315">
        <v>486799</v>
      </c>
      <c r="O241" s="315">
        <v>379058</v>
      </c>
      <c r="P241" s="315">
        <v>107741</v>
      </c>
      <c r="Q241" s="315">
        <v>65815</v>
      </c>
      <c r="R241" s="315">
        <v>527805</v>
      </c>
      <c r="S241" s="315">
        <v>-2760920</v>
      </c>
      <c r="T241" s="315">
        <v>-2751714</v>
      </c>
      <c r="U241" s="315">
        <v>-48640</v>
      </c>
      <c r="V241" s="315">
        <v>-34</v>
      </c>
      <c r="W241" s="315">
        <v>-2672082</v>
      </c>
      <c r="X241" s="315">
        <v>0</v>
      </c>
      <c r="Y241" s="315">
        <v>-30958</v>
      </c>
      <c r="Z241" s="315">
        <v>-2649</v>
      </c>
      <c r="AA241" s="315">
        <v>-5783</v>
      </c>
      <c r="AB241" s="315">
        <v>-774</v>
      </c>
      <c r="AC241" s="315">
        <v>-13266</v>
      </c>
      <c r="AD241" s="315">
        <v>2455216</v>
      </c>
      <c r="AE241" s="315">
        <v>-213031</v>
      </c>
      <c r="AF241" s="315">
        <v>2668247</v>
      </c>
      <c r="AG241" s="315">
        <v>2610592</v>
      </c>
      <c r="AH241" s="315">
        <v>57655</v>
      </c>
      <c r="AI241" s="315">
        <v>4143785</v>
      </c>
      <c r="AJ241" s="315">
        <v>1705920</v>
      </c>
      <c r="AK241" s="315">
        <v>2313666</v>
      </c>
      <c r="AL241" s="315">
        <v>21273</v>
      </c>
      <c r="AM241" s="315">
        <v>411386</v>
      </c>
      <c r="AN241" s="315">
        <v>49183</v>
      </c>
      <c r="AO241" s="315">
        <v>27044</v>
      </c>
      <c r="AP241" s="315">
        <v>23400</v>
      </c>
      <c r="AQ241" s="315">
        <v>15433</v>
      </c>
      <c r="AR241" s="315">
        <v>-2264915</v>
      </c>
      <c r="AS241" s="315">
        <v>63166</v>
      </c>
      <c r="AT241" s="315">
        <v>0</v>
      </c>
      <c r="AU241" s="315">
        <v>-13266</v>
      </c>
      <c r="AV241" s="315">
        <v>578359</v>
      </c>
      <c r="AW241" s="315">
        <v>182625</v>
      </c>
      <c r="AX241" s="315">
        <v>49149</v>
      </c>
      <c r="AY241" s="315">
        <v>8829</v>
      </c>
      <c r="AZ241" s="315">
        <v>2756</v>
      </c>
      <c r="BA241" s="315">
        <v>8256</v>
      </c>
      <c r="BB241" s="315">
        <v>29308</v>
      </c>
      <c r="BC241" s="315">
        <v>144922</v>
      </c>
      <c r="BD241" s="315">
        <v>201663</v>
      </c>
      <c r="BE241" s="315">
        <v>-74122</v>
      </c>
      <c r="BF241" s="315">
        <v>-73604</v>
      </c>
      <c r="BG241" s="315">
        <v>-49667</v>
      </c>
      <c r="BH241" s="315">
        <v>-23937</v>
      </c>
      <c r="BI241" s="315">
        <v>0</v>
      </c>
      <c r="BJ241" s="315">
        <v>-37412</v>
      </c>
      <c r="BK241" s="315">
        <v>-36192</v>
      </c>
      <c r="BL241" s="315">
        <v>-518</v>
      </c>
      <c r="BM241" s="315">
        <v>0</v>
      </c>
      <c r="BN241" s="315">
        <v>504237</v>
      </c>
      <c r="BO241" s="315">
        <v>173753</v>
      </c>
      <c r="BP241" s="315">
        <v>15361</v>
      </c>
      <c r="BQ241" s="315">
        <v>11512</v>
      </c>
      <c r="BR241" s="315">
        <v>0</v>
      </c>
      <c r="BS241" s="315">
        <v>182342</v>
      </c>
      <c r="BT241" s="315">
        <v>16810</v>
      </c>
      <c r="BU241" s="315">
        <v>153507</v>
      </c>
      <c r="BV241" s="315">
        <v>1356</v>
      </c>
      <c r="BW241" s="315">
        <v>10669</v>
      </c>
      <c r="BX241" s="315">
        <v>-518</v>
      </c>
      <c r="BY241" s="315">
        <v>120985</v>
      </c>
      <c r="BZ241" s="315">
        <v>802</v>
      </c>
      <c r="CA241" s="315">
        <v>261212</v>
      </c>
      <c r="CB241" s="315">
        <v>-38999</v>
      </c>
      <c r="CC241" s="315">
        <v>-38999</v>
      </c>
      <c r="CD241" s="315">
        <v>0</v>
      </c>
      <c r="CE241" s="315">
        <v>222213</v>
      </c>
      <c r="CF241" s="315">
        <v>241021</v>
      </c>
      <c r="CG241" s="315">
        <v>106</v>
      </c>
      <c r="CH241" s="315">
        <v>-18914</v>
      </c>
      <c r="CI241" s="315">
        <v>5164377</v>
      </c>
      <c r="CJ241" s="315">
        <v>882660</v>
      </c>
      <c r="CK241" s="315">
        <v>4281717</v>
      </c>
      <c r="CL241" s="315">
        <v>3708039</v>
      </c>
      <c r="CM241" s="315">
        <v>52104</v>
      </c>
      <c r="CN241" s="315">
        <v>521574</v>
      </c>
      <c r="CO241" s="315">
        <v>0</v>
      </c>
      <c r="CP241" s="315">
        <v>0</v>
      </c>
      <c r="CQ241" s="315">
        <v>521574</v>
      </c>
      <c r="CR241" s="315">
        <v>-2584072</v>
      </c>
      <c r="CS241" s="315">
        <v>-553451</v>
      </c>
      <c r="CT241" s="315">
        <v>-447267</v>
      </c>
      <c r="CU241" s="315">
        <v>-24414</v>
      </c>
      <c r="CV241" s="315">
        <v>-141</v>
      </c>
      <c r="CW241" s="315">
        <v>-81629</v>
      </c>
      <c r="CX241" s="315">
        <v>-1852210</v>
      </c>
      <c r="CY241" s="315">
        <v>-1673424</v>
      </c>
      <c r="CZ241" s="315">
        <v>-168884</v>
      </c>
      <c r="DA241" s="315">
        <v>-9902</v>
      </c>
      <c r="DB241" s="315">
        <v>0</v>
      </c>
      <c r="DC241" s="315">
        <v>-178411</v>
      </c>
      <c r="DD241" s="315">
        <v>2580305</v>
      </c>
      <c r="DE241" s="315">
        <v>431131</v>
      </c>
      <c r="DF241" s="315">
        <v>2149174</v>
      </c>
      <c r="DG241" s="315">
        <v>2104488</v>
      </c>
      <c r="DH241" s="315">
        <v>44686</v>
      </c>
      <c r="DI241" s="315">
        <v>1598196</v>
      </c>
      <c r="DJ241" s="315">
        <v>59517</v>
      </c>
      <c r="DK241" s="315">
        <v>22809</v>
      </c>
      <c r="DL241" s="315">
        <v>1783</v>
      </c>
      <c r="DM241" s="315">
        <v>838205</v>
      </c>
      <c r="DN241" s="315">
        <v>566127</v>
      </c>
      <c r="DO241" s="315">
        <v>109694</v>
      </c>
      <c r="DP241" s="315"/>
      <c r="DQ241" s="315">
        <v>0</v>
      </c>
      <c r="DR241" s="315">
        <v>61</v>
      </c>
      <c r="DS241" s="315">
        <v>-23037</v>
      </c>
      <c r="DT241" s="315">
        <v>-741</v>
      </c>
      <c r="DU241" s="315">
        <v>-64</v>
      </c>
      <c r="DV241" s="315">
        <v>0</v>
      </c>
      <c r="DW241" s="315">
        <v>-22095</v>
      </c>
      <c r="DX241" s="315">
        <v>-21524</v>
      </c>
      <c r="DY241" s="315">
        <v>-344</v>
      </c>
      <c r="DZ241" s="315">
        <v>-227</v>
      </c>
      <c r="EA241" s="315">
        <v>0</v>
      </c>
      <c r="EB241" s="315">
        <v>-7</v>
      </c>
      <c r="EC241" s="315"/>
      <c r="ED241" s="315">
        <v>-90</v>
      </c>
      <c r="EE241" s="315">
        <v>-40</v>
      </c>
      <c r="EF241" s="315">
        <v>1575159</v>
      </c>
      <c r="EG241" s="315">
        <v>529148</v>
      </c>
      <c r="EH241" s="315">
        <v>1046011</v>
      </c>
      <c r="EI241" s="315">
        <v>1030645</v>
      </c>
      <c r="EJ241" s="315">
        <v>15366</v>
      </c>
      <c r="EK241" s="315">
        <v>58776</v>
      </c>
      <c r="EL241" s="315">
        <v>20530</v>
      </c>
      <c r="EM241" s="315">
        <v>38246</v>
      </c>
      <c r="EN241" s="315">
        <v>37490</v>
      </c>
      <c r="EO241" s="315">
        <v>756</v>
      </c>
      <c r="EP241" s="315">
        <v>22745</v>
      </c>
      <c r="EQ241" s="315">
        <v>8975</v>
      </c>
      <c r="ER241" s="315">
        <v>13770</v>
      </c>
      <c r="ES241" s="315">
        <v>13513</v>
      </c>
      <c r="ET241" s="315">
        <v>257</v>
      </c>
      <c r="EU241" s="315">
        <v>1783</v>
      </c>
      <c r="EV241" s="315">
        <v>922</v>
      </c>
      <c r="EW241" s="315">
        <v>861</v>
      </c>
      <c r="EX241" s="315">
        <v>844</v>
      </c>
      <c r="EY241" s="315">
        <v>17</v>
      </c>
      <c r="EZ241" s="315">
        <v>816110</v>
      </c>
      <c r="FA241" s="315">
        <v>317795</v>
      </c>
      <c r="FB241" s="315">
        <v>498315</v>
      </c>
      <c r="FC241" s="315">
        <v>490282</v>
      </c>
      <c r="FD241" s="315">
        <v>8033</v>
      </c>
      <c r="FE241" s="315">
        <v>566127</v>
      </c>
      <c r="FF241" s="315">
        <v>208253</v>
      </c>
      <c r="FG241" s="315">
        <v>357874</v>
      </c>
      <c r="FH241" s="315">
        <v>351571</v>
      </c>
      <c r="FI241" s="315">
        <v>6303</v>
      </c>
      <c r="FJ241" s="315">
        <v>109687</v>
      </c>
      <c r="FK241" s="315">
        <v>-27258</v>
      </c>
      <c r="FL241" s="315">
        <v>136945</v>
      </c>
      <c r="FM241" s="315">
        <v>136945</v>
      </c>
      <c r="FN241" s="315"/>
      <c r="FO241" s="315"/>
      <c r="FP241" s="315">
        <v>-90</v>
      </c>
      <c r="FQ241" s="315">
        <v>21</v>
      </c>
      <c r="FR241" s="315">
        <v>564473</v>
      </c>
      <c r="FS241" s="315">
        <v>-37281</v>
      </c>
      <c r="FT241" s="315">
        <v>527192</v>
      </c>
      <c r="FU241" s="315">
        <v>107193</v>
      </c>
      <c r="FV241" s="315">
        <v>106302</v>
      </c>
      <c r="FW241" s="315">
        <v>891</v>
      </c>
      <c r="FX241" s="315">
        <v>121519</v>
      </c>
      <c r="FY241" s="315">
        <v>107146</v>
      </c>
      <c r="FZ241" s="315"/>
      <c r="GA241" s="315"/>
      <c r="GB241" s="315">
        <v>56</v>
      </c>
      <c r="GC241" s="315">
        <v>60891</v>
      </c>
      <c r="GD241" s="315">
        <v>33</v>
      </c>
      <c r="GE241" s="315"/>
      <c r="GF241" s="315">
        <v>60858</v>
      </c>
      <c r="GG241" s="315">
        <v>130387</v>
      </c>
      <c r="GH241" s="315">
        <v>19247</v>
      </c>
      <c r="GI241" s="315">
        <v>401</v>
      </c>
      <c r="GJ241" s="315">
        <v>110739</v>
      </c>
      <c r="GL241"/>
      <c r="GM241"/>
      <c r="GN241"/>
      <c r="GO241"/>
    </row>
    <row r="242" spans="1:197">
      <c r="A242" s="98" t="s">
        <v>32</v>
      </c>
      <c r="B242" s="98">
        <v>7</v>
      </c>
      <c r="C242" s="98" t="s">
        <v>223</v>
      </c>
      <c r="D242" s="315">
        <v>28052521</v>
      </c>
      <c r="E242" s="315">
        <v>-4182674</v>
      </c>
      <c r="F242" s="315">
        <v>-13267</v>
      </c>
      <c r="G242" s="315">
        <v>23856580</v>
      </c>
      <c r="H242" s="315">
        <v>16490883</v>
      </c>
      <c r="I242" s="315">
        <v>7365697</v>
      </c>
      <c r="J242" s="315">
        <v>7171881</v>
      </c>
      <c r="K242" s="315">
        <v>193816</v>
      </c>
      <c r="L242" s="315">
        <v>14641339</v>
      </c>
      <c r="M242" s="315">
        <v>9117081</v>
      </c>
      <c r="N242" s="315">
        <v>4002597</v>
      </c>
      <c r="O242" s="315">
        <v>3907635</v>
      </c>
      <c r="P242" s="315">
        <v>94962</v>
      </c>
      <c r="Q242" s="315">
        <v>65236</v>
      </c>
      <c r="R242" s="315">
        <v>1456425</v>
      </c>
      <c r="S242" s="315">
        <v>-1400053</v>
      </c>
      <c r="T242" s="315">
        <v>-1379781</v>
      </c>
      <c r="U242" s="315">
        <v>-45640</v>
      </c>
      <c r="V242" s="315">
        <v>-20</v>
      </c>
      <c r="W242" s="315">
        <v>-1303340</v>
      </c>
      <c r="X242" s="315">
        <v>0</v>
      </c>
      <c r="Y242" s="315">
        <v>-30781</v>
      </c>
      <c r="Z242" s="315">
        <v>-5692</v>
      </c>
      <c r="AA242" s="315">
        <v>-14580</v>
      </c>
      <c r="AB242" s="315">
        <v>0</v>
      </c>
      <c r="AC242" s="315">
        <v>-13267</v>
      </c>
      <c r="AD242" s="315">
        <v>13228019</v>
      </c>
      <c r="AE242" s="315">
        <v>11137827</v>
      </c>
      <c r="AF242" s="315">
        <v>2090192</v>
      </c>
      <c r="AG242" s="315">
        <v>2030477</v>
      </c>
      <c r="AH242" s="315">
        <v>59715</v>
      </c>
      <c r="AI242" s="315">
        <v>9104957</v>
      </c>
      <c r="AJ242" s="315">
        <v>2223492</v>
      </c>
      <c r="AK242" s="315">
        <v>3015175</v>
      </c>
      <c r="AL242" s="315">
        <v>3754173</v>
      </c>
      <c r="AM242" s="315">
        <v>510740</v>
      </c>
      <c r="AN242" s="315">
        <v>364359</v>
      </c>
      <c r="AO242" s="315">
        <v>58433</v>
      </c>
      <c r="AP242" s="315">
        <v>38286</v>
      </c>
      <c r="AQ242" s="315">
        <v>482151</v>
      </c>
      <c r="AR242" s="315">
        <v>2622816</v>
      </c>
      <c r="AS242" s="315">
        <v>59544</v>
      </c>
      <c r="AT242" s="315">
        <v>0</v>
      </c>
      <c r="AU242" s="315">
        <v>-13267</v>
      </c>
      <c r="AV242" s="315">
        <v>683274</v>
      </c>
      <c r="AW242" s="315">
        <v>16966</v>
      </c>
      <c r="AX242" s="315">
        <v>175397</v>
      </c>
      <c r="AY242" s="315">
        <v>66555</v>
      </c>
      <c r="AZ242" s="315">
        <v>19934</v>
      </c>
      <c r="BA242" s="315">
        <v>68402</v>
      </c>
      <c r="BB242" s="315">
        <v>20506</v>
      </c>
      <c r="BC242" s="315">
        <v>109101</v>
      </c>
      <c r="BD242" s="315">
        <v>381810</v>
      </c>
      <c r="BE242" s="315">
        <v>-135607</v>
      </c>
      <c r="BF242" s="315">
        <v>-71677</v>
      </c>
      <c r="BG242" s="315">
        <v>-37158</v>
      </c>
      <c r="BH242" s="315">
        <v>-34519</v>
      </c>
      <c r="BI242" s="315">
        <v>0</v>
      </c>
      <c r="BJ242" s="315">
        <v>-25110</v>
      </c>
      <c r="BK242" s="315">
        <v>-46567</v>
      </c>
      <c r="BL242" s="315">
        <v>-63930</v>
      </c>
      <c r="BM242" s="315">
        <v>0</v>
      </c>
      <c r="BN242" s="315">
        <v>547667</v>
      </c>
      <c r="BO242" s="315">
        <v>202824</v>
      </c>
      <c r="BP242" s="315">
        <v>152623</v>
      </c>
      <c r="BQ242" s="315">
        <v>24864</v>
      </c>
      <c r="BR242" s="315">
        <v>522</v>
      </c>
      <c r="BS242" s="315">
        <v>-46017</v>
      </c>
      <c r="BT242" s="315">
        <v>3302</v>
      </c>
      <c r="BU242" s="315">
        <v>1</v>
      </c>
      <c r="BV242" s="315">
        <v>330</v>
      </c>
      <c r="BW242" s="315">
        <v>-49650</v>
      </c>
      <c r="BX242" s="315">
        <v>138239</v>
      </c>
      <c r="BY242" s="315">
        <v>74582</v>
      </c>
      <c r="BZ242" s="315">
        <v>30</v>
      </c>
      <c r="CA242" s="315">
        <v>243131</v>
      </c>
      <c r="CB242" s="315">
        <v>-39626</v>
      </c>
      <c r="CC242" s="315">
        <v>-39626</v>
      </c>
      <c r="CD242" s="315">
        <v>0</v>
      </c>
      <c r="CE242" s="315">
        <v>203505</v>
      </c>
      <c r="CF242" s="315">
        <v>213359</v>
      </c>
      <c r="CG242" s="315">
        <v>15</v>
      </c>
      <c r="CH242" s="315">
        <v>-9869</v>
      </c>
      <c r="CI242" s="315">
        <v>10126901</v>
      </c>
      <c r="CJ242" s="315">
        <v>852299</v>
      </c>
      <c r="CK242" s="315">
        <v>9274602</v>
      </c>
      <c r="CL242" s="315">
        <v>3888081</v>
      </c>
      <c r="CM242" s="315">
        <v>4890260</v>
      </c>
      <c r="CN242" s="315">
        <v>496261</v>
      </c>
      <c r="CO242" s="315">
        <v>0</v>
      </c>
      <c r="CP242" s="315">
        <v>0</v>
      </c>
      <c r="CQ242" s="315">
        <v>496261</v>
      </c>
      <c r="CR242" s="315">
        <v>-2441957</v>
      </c>
      <c r="CS242" s="315">
        <v>-541094</v>
      </c>
      <c r="CT242" s="315">
        <v>-448684</v>
      </c>
      <c r="CU242" s="315">
        <v>-19564</v>
      </c>
      <c r="CV242" s="315">
        <v>-579</v>
      </c>
      <c r="CW242" s="315">
        <v>-72267</v>
      </c>
      <c r="CX242" s="315">
        <v>-1609131</v>
      </c>
      <c r="CY242" s="315">
        <v>-1421418</v>
      </c>
      <c r="CZ242" s="315">
        <v>-184560</v>
      </c>
      <c r="DA242" s="315">
        <v>-3153</v>
      </c>
      <c r="DB242" s="315">
        <v>-291732</v>
      </c>
      <c r="DC242" s="315">
        <v>0</v>
      </c>
      <c r="DD242" s="315">
        <v>7684944</v>
      </c>
      <c r="DE242" s="315">
        <v>3595371</v>
      </c>
      <c r="DF242" s="315">
        <v>4089573</v>
      </c>
      <c r="DG242" s="315">
        <v>3967630</v>
      </c>
      <c r="DH242" s="315">
        <v>121943</v>
      </c>
      <c r="DI242" s="315">
        <v>1837046</v>
      </c>
      <c r="DJ242" s="315">
        <v>42013</v>
      </c>
      <c r="DK242" s="315">
        <v>27121</v>
      </c>
      <c r="DL242" s="315">
        <v>1287</v>
      </c>
      <c r="DM242" s="315">
        <v>856718</v>
      </c>
      <c r="DN242" s="315">
        <v>755653</v>
      </c>
      <c r="DO242" s="315">
        <v>105163</v>
      </c>
      <c r="DP242" s="315"/>
      <c r="DQ242" s="315">
        <v>49055</v>
      </c>
      <c r="DR242" s="315">
        <v>36</v>
      </c>
      <c r="DS242" s="315">
        <v>-36692</v>
      </c>
      <c r="DT242" s="315">
        <v>-9106</v>
      </c>
      <c r="DU242" s="315">
        <v>-2376</v>
      </c>
      <c r="DV242" s="315">
        <v>-10</v>
      </c>
      <c r="DW242" s="315">
        <v>-17153</v>
      </c>
      <c r="DX242" s="315">
        <v>-16627</v>
      </c>
      <c r="DY242" s="315">
        <v>-154</v>
      </c>
      <c r="DZ242" s="315">
        <v>-372</v>
      </c>
      <c r="EA242" s="315">
        <v>-7795</v>
      </c>
      <c r="EB242" s="315">
        <v>-138</v>
      </c>
      <c r="EC242" s="315"/>
      <c r="ED242" s="315">
        <v>0</v>
      </c>
      <c r="EE242" s="315">
        <v>-114</v>
      </c>
      <c r="EF242" s="315">
        <v>1800354</v>
      </c>
      <c r="EG242" s="315">
        <v>614422</v>
      </c>
      <c r="EH242" s="315">
        <v>1185932</v>
      </c>
      <c r="EI242" s="315">
        <v>1173774</v>
      </c>
      <c r="EJ242" s="315">
        <v>12158</v>
      </c>
      <c r="EK242" s="315">
        <v>32907</v>
      </c>
      <c r="EL242" s="315">
        <v>-9039</v>
      </c>
      <c r="EM242" s="315">
        <v>41946</v>
      </c>
      <c r="EN242" s="315">
        <v>41384</v>
      </c>
      <c r="EO242" s="315">
        <v>562</v>
      </c>
      <c r="EP242" s="315">
        <v>24745</v>
      </c>
      <c r="EQ242" s="315">
        <v>3506</v>
      </c>
      <c r="ER242" s="315">
        <v>21239</v>
      </c>
      <c r="ES242" s="315">
        <v>20744</v>
      </c>
      <c r="ET242" s="315">
        <v>495</v>
      </c>
      <c r="EU242" s="315">
        <v>1277</v>
      </c>
      <c r="EV242" s="315">
        <v>129</v>
      </c>
      <c r="EW242" s="315">
        <v>1148</v>
      </c>
      <c r="EX242" s="315">
        <v>1124</v>
      </c>
      <c r="EY242" s="315">
        <v>24</v>
      </c>
      <c r="EZ242" s="315">
        <v>839565</v>
      </c>
      <c r="FA242" s="315">
        <v>536202</v>
      </c>
      <c r="FB242" s="315">
        <v>303363</v>
      </c>
      <c r="FC242" s="315">
        <v>306192</v>
      </c>
      <c r="FD242" s="315">
        <v>-2829</v>
      </c>
      <c r="FE242" s="315">
        <v>747858</v>
      </c>
      <c r="FF242" s="315">
        <v>198350</v>
      </c>
      <c r="FG242" s="315">
        <v>549508</v>
      </c>
      <c r="FH242" s="315">
        <v>535602</v>
      </c>
      <c r="FI242" s="315">
        <v>13906</v>
      </c>
      <c r="FJ242" s="315">
        <v>105025</v>
      </c>
      <c r="FK242" s="315">
        <v>-163703</v>
      </c>
      <c r="FL242" s="315">
        <v>268728</v>
      </c>
      <c r="FM242" s="315">
        <v>268728</v>
      </c>
      <c r="FN242" s="315"/>
      <c r="FO242" s="315"/>
      <c r="FP242" s="315">
        <v>49055</v>
      </c>
      <c r="FQ242" s="315">
        <v>-78</v>
      </c>
      <c r="FR242" s="315">
        <v>520830</v>
      </c>
      <c r="FS242" s="315">
        <v>-128739</v>
      </c>
      <c r="FT242" s="315">
        <v>392091</v>
      </c>
      <c r="FU242" s="315">
        <v>-59540</v>
      </c>
      <c r="FV242" s="315">
        <v>-59618</v>
      </c>
      <c r="FW242" s="315">
        <v>78</v>
      </c>
      <c r="FX242" s="315">
        <v>121691</v>
      </c>
      <c r="FY242" s="315">
        <v>115898</v>
      </c>
      <c r="FZ242" s="315"/>
      <c r="GA242" s="315"/>
      <c r="GB242" s="315">
        <v>71</v>
      </c>
      <c r="GC242" s="315">
        <v>20404</v>
      </c>
      <c r="GD242" s="315">
        <v>-35199</v>
      </c>
      <c r="GE242" s="315"/>
      <c r="GF242" s="315">
        <v>55603</v>
      </c>
      <c r="GG242" s="315">
        <v>193567</v>
      </c>
      <c r="GH242" s="315">
        <v>34906</v>
      </c>
      <c r="GI242" s="315">
        <v>365</v>
      </c>
      <c r="GJ242" s="315">
        <v>158296</v>
      </c>
      <c r="GL242"/>
      <c r="GM242"/>
      <c r="GN242"/>
      <c r="GO242"/>
    </row>
    <row r="243" spans="1:197">
      <c r="A243" s="98" t="s">
        <v>32</v>
      </c>
      <c r="B243" s="98">
        <v>8</v>
      </c>
      <c r="C243" s="98" t="s">
        <v>224</v>
      </c>
      <c r="D243" s="315">
        <v>16718377</v>
      </c>
      <c r="E243" s="315">
        <v>-2873729</v>
      </c>
      <c r="F243" s="315">
        <v>-13266</v>
      </c>
      <c r="G243" s="315">
        <v>13831382</v>
      </c>
      <c r="H243" s="315">
        <v>7967966</v>
      </c>
      <c r="I243" s="315">
        <v>5863416</v>
      </c>
      <c r="J243" s="315">
        <v>5745723</v>
      </c>
      <c r="K243" s="315">
        <v>117693</v>
      </c>
      <c r="L243" s="315">
        <v>4836548</v>
      </c>
      <c r="M243" s="315">
        <v>4166859</v>
      </c>
      <c r="N243" s="315">
        <v>114608</v>
      </c>
      <c r="O243" s="315">
        <v>24873</v>
      </c>
      <c r="P243" s="315">
        <v>89735</v>
      </c>
      <c r="Q243" s="315">
        <v>62378</v>
      </c>
      <c r="R243" s="315">
        <v>492703</v>
      </c>
      <c r="S243" s="315">
        <v>-482748</v>
      </c>
      <c r="T243" s="315">
        <v>-477554</v>
      </c>
      <c r="U243" s="315">
        <v>-48525</v>
      </c>
      <c r="V243" s="315">
        <v>-8</v>
      </c>
      <c r="W243" s="315">
        <v>-411086</v>
      </c>
      <c r="X243" s="315">
        <v>0</v>
      </c>
      <c r="Y243" s="315">
        <v>-17935</v>
      </c>
      <c r="Z243" s="315">
        <v>-2348</v>
      </c>
      <c r="AA243" s="315">
        <v>-2846</v>
      </c>
      <c r="AB243" s="315">
        <v>0</v>
      </c>
      <c r="AC243" s="315">
        <v>-13266</v>
      </c>
      <c r="AD243" s="315">
        <v>4340534</v>
      </c>
      <c r="AE243" s="315">
        <v>1672291</v>
      </c>
      <c r="AF243" s="315">
        <v>2668243</v>
      </c>
      <c r="AG243" s="315">
        <v>2610592</v>
      </c>
      <c r="AH243" s="315">
        <v>57651</v>
      </c>
      <c r="AI243" s="315">
        <v>4164886</v>
      </c>
      <c r="AJ243" s="315">
        <v>1453963</v>
      </c>
      <c r="AK243" s="315">
        <v>2600555</v>
      </c>
      <c r="AL243" s="315">
        <v>6133</v>
      </c>
      <c r="AM243" s="315">
        <v>358395</v>
      </c>
      <c r="AN243" s="315">
        <v>50888</v>
      </c>
      <c r="AO243" s="315">
        <v>38273</v>
      </c>
      <c r="AP243" s="315">
        <v>28297</v>
      </c>
      <c r="AQ243" s="315">
        <v>15977</v>
      </c>
      <c r="AR243" s="315">
        <v>-362946</v>
      </c>
      <c r="AS243" s="315">
        <v>60030</v>
      </c>
      <c r="AT243" s="315">
        <v>0</v>
      </c>
      <c r="AU243" s="315">
        <v>-13266</v>
      </c>
      <c r="AV243" s="315">
        <v>3999120</v>
      </c>
      <c r="AW243" s="315">
        <v>18183</v>
      </c>
      <c r="AX243" s="315">
        <v>3682492</v>
      </c>
      <c r="AY243" s="315">
        <v>1637649</v>
      </c>
      <c r="AZ243" s="315">
        <v>404680</v>
      </c>
      <c r="BA243" s="315">
        <v>1587204</v>
      </c>
      <c r="BB243" s="315">
        <v>52959</v>
      </c>
      <c r="BC243" s="315">
        <v>116628</v>
      </c>
      <c r="BD243" s="315">
        <v>181817</v>
      </c>
      <c r="BE243" s="315">
        <v>-28850</v>
      </c>
      <c r="BF243" s="315">
        <v>-28382</v>
      </c>
      <c r="BG243" s="315">
        <v>-21660</v>
      </c>
      <c r="BH243" s="315">
        <v>-6722</v>
      </c>
      <c r="BI243" s="315">
        <v>0</v>
      </c>
      <c r="BJ243" s="315">
        <v>-14466</v>
      </c>
      <c r="BK243" s="315">
        <v>-13916</v>
      </c>
      <c r="BL243" s="315">
        <v>-468</v>
      </c>
      <c r="BM243" s="315">
        <v>0</v>
      </c>
      <c r="BN243" s="315">
        <v>3970270</v>
      </c>
      <c r="BO243" s="315">
        <v>147385</v>
      </c>
      <c r="BP243" s="315">
        <v>17714</v>
      </c>
      <c r="BQ243" s="315">
        <v>16295</v>
      </c>
      <c r="BR243" s="315">
        <v>0</v>
      </c>
      <c r="BS243" s="315">
        <v>18029</v>
      </c>
      <c r="BT243" s="315">
        <v>395</v>
      </c>
      <c r="BU243" s="315">
        <v>0</v>
      </c>
      <c r="BV243" s="315">
        <v>259</v>
      </c>
      <c r="BW243" s="315">
        <v>17375</v>
      </c>
      <c r="BX243" s="315">
        <v>3660832</v>
      </c>
      <c r="BY243" s="315">
        <v>109906</v>
      </c>
      <c r="BZ243" s="315">
        <v>109</v>
      </c>
      <c r="CA243" s="315">
        <v>292343</v>
      </c>
      <c r="CB243" s="315">
        <v>-53085</v>
      </c>
      <c r="CC243" s="315">
        <v>-53085</v>
      </c>
      <c r="CD243" s="315">
        <v>0</v>
      </c>
      <c r="CE243" s="315">
        <v>239258</v>
      </c>
      <c r="CF243" s="315">
        <v>219969</v>
      </c>
      <c r="CG243" s="315">
        <v>4</v>
      </c>
      <c r="CH243" s="315">
        <v>19285</v>
      </c>
      <c r="CI243" s="315">
        <v>5587613</v>
      </c>
      <c r="CJ243" s="315">
        <v>888602</v>
      </c>
      <c r="CK243" s="315">
        <v>4699011</v>
      </c>
      <c r="CL243" s="315">
        <v>4167877</v>
      </c>
      <c r="CM243" s="315">
        <v>79093</v>
      </c>
      <c r="CN243" s="315">
        <v>452041</v>
      </c>
      <c r="CO243" s="315">
        <v>0</v>
      </c>
      <c r="CP243" s="315">
        <v>0</v>
      </c>
      <c r="CQ243" s="315">
        <v>452041</v>
      </c>
      <c r="CR243" s="315">
        <v>-2270065</v>
      </c>
      <c r="CS243" s="315">
        <v>-943540</v>
      </c>
      <c r="CT243" s="315">
        <v>-873000</v>
      </c>
      <c r="CU243" s="315">
        <v>-8355</v>
      </c>
      <c r="CV243" s="315">
        <v>-365</v>
      </c>
      <c r="CW243" s="315">
        <v>-61820</v>
      </c>
      <c r="CX243" s="315">
        <v>-1326525</v>
      </c>
      <c r="CY243" s="315">
        <v>-1115207</v>
      </c>
      <c r="CZ243" s="315">
        <v>-207597</v>
      </c>
      <c r="DA243" s="315">
        <v>-3721</v>
      </c>
      <c r="DB243" s="315">
        <v>0</v>
      </c>
      <c r="DC243" s="315">
        <v>0</v>
      </c>
      <c r="DD243" s="315">
        <v>3317548</v>
      </c>
      <c r="DE243" s="315">
        <v>1168386</v>
      </c>
      <c r="DF243" s="315">
        <v>2149162</v>
      </c>
      <c r="DG243" s="315">
        <v>2104486</v>
      </c>
      <c r="DH243" s="315">
        <v>44676</v>
      </c>
      <c r="DI243" s="315">
        <v>1653483</v>
      </c>
      <c r="DJ243" s="315">
        <v>88997</v>
      </c>
      <c r="DK243" s="315">
        <v>30632</v>
      </c>
      <c r="DL243" s="315">
        <v>2814</v>
      </c>
      <c r="DM243" s="315">
        <v>906565</v>
      </c>
      <c r="DN243" s="315">
        <v>514535</v>
      </c>
      <c r="DO243" s="315">
        <v>109887</v>
      </c>
      <c r="DP243" s="315"/>
      <c r="DQ243" s="315">
        <v>0</v>
      </c>
      <c r="DR243" s="315">
        <v>53</v>
      </c>
      <c r="DS243" s="315">
        <v>-15658</v>
      </c>
      <c r="DT243" s="315">
        <v>-1781</v>
      </c>
      <c r="DU243" s="315">
        <v>-65</v>
      </c>
      <c r="DV243" s="315">
        <v>-12</v>
      </c>
      <c r="DW243" s="315">
        <v>-13407</v>
      </c>
      <c r="DX243" s="315">
        <v>-10298</v>
      </c>
      <c r="DY243" s="315">
        <v>-287</v>
      </c>
      <c r="DZ243" s="315">
        <v>-2822</v>
      </c>
      <c r="EA243" s="315">
        <v>-2</v>
      </c>
      <c r="EB243" s="315">
        <v>-22</v>
      </c>
      <c r="EC243" s="315"/>
      <c r="ED243" s="315">
        <v>0</v>
      </c>
      <c r="EE243" s="315">
        <v>-369</v>
      </c>
      <c r="EF243" s="315">
        <v>1637825</v>
      </c>
      <c r="EG243" s="315">
        <v>591814</v>
      </c>
      <c r="EH243" s="315">
        <v>1046011</v>
      </c>
      <c r="EI243" s="315">
        <v>1030645</v>
      </c>
      <c r="EJ243" s="315">
        <v>15366</v>
      </c>
      <c r="EK243" s="315">
        <v>87216</v>
      </c>
      <c r="EL243" s="315">
        <v>48971</v>
      </c>
      <c r="EM243" s="315">
        <v>38245</v>
      </c>
      <c r="EN243" s="315">
        <v>37489</v>
      </c>
      <c r="EO243" s="315">
        <v>756</v>
      </c>
      <c r="EP243" s="315">
        <v>30567</v>
      </c>
      <c r="EQ243" s="315">
        <v>16797</v>
      </c>
      <c r="ER243" s="315">
        <v>13770</v>
      </c>
      <c r="ES243" s="315">
        <v>13512</v>
      </c>
      <c r="ET243" s="315">
        <v>258</v>
      </c>
      <c r="EU243" s="315">
        <v>2802</v>
      </c>
      <c r="EV243" s="315">
        <v>1942</v>
      </c>
      <c r="EW243" s="315">
        <v>860</v>
      </c>
      <c r="EX243" s="315">
        <v>844</v>
      </c>
      <c r="EY243" s="315">
        <v>16</v>
      </c>
      <c r="EZ243" s="315">
        <v>893158</v>
      </c>
      <c r="FA243" s="315">
        <v>394845</v>
      </c>
      <c r="FB243" s="315">
        <v>498313</v>
      </c>
      <c r="FC243" s="315">
        <v>490281</v>
      </c>
      <c r="FD243" s="315">
        <v>8032</v>
      </c>
      <c r="FE243" s="315">
        <v>514533</v>
      </c>
      <c r="FF243" s="315">
        <v>156656</v>
      </c>
      <c r="FG243" s="315">
        <v>357877</v>
      </c>
      <c r="FH243" s="315">
        <v>351573</v>
      </c>
      <c r="FI243" s="315">
        <v>6304</v>
      </c>
      <c r="FJ243" s="315">
        <v>109865</v>
      </c>
      <c r="FK243" s="315">
        <v>-27081</v>
      </c>
      <c r="FL243" s="315">
        <v>136946</v>
      </c>
      <c r="FM243" s="315">
        <v>136946</v>
      </c>
      <c r="FN243" s="315"/>
      <c r="FO243" s="315"/>
      <c r="FP243" s="315">
        <v>0</v>
      </c>
      <c r="FQ243" s="315">
        <v>-316</v>
      </c>
      <c r="FR243" s="315">
        <v>349270</v>
      </c>
      <c r="FS243" s="315">
        <v>-23323</v>
      </c>
      <c r="FT243" s="315">
        <v>325947</v>
      </c>
      <c r="FU243" s="315">
        <v>4761</v>
      </c>
      <c r="FV243" s="315">
        <v>4658</v>
      </c>
      <c r="FW243" s="315">
        <v>103</v>
      </c>
      <c r="FX243" s="315">
        <v>139302</v>
      </c>
      <c r="FY243" s="315">
        <v>23364</v>
      </c>
      <c r="FZ243" s="315"/>
      <c r="GA243" s="315"/>
      <c r="GB243" s="315">
        <v>13217</v>
      </c>
      <c r="GC243" s="315">
        <v>62445</v>
      </c>
      <c r="GD243" s="315">
        <v>15909</v>
      </c>
      <c r="GE243" s="315"/>
      <c r="GF243" s="315">
        <v>46536</v>
      </c>
      <c r="GG243" s="315">
        <v>82858</v>
      </c>
      <c r="GH243" s="315">
        <v>9569</v>
      </c>
      <c r="GI243" s="315">
        <v>-4499</v>
      </c>
      <c r="GJ243" s="315">
        <v>77788</v>
      </c>
      <c r="GL243"/>
      <c r="GM243"/>
      <c r="GN243"/>
      <c r="GO243"/>
    </row>
    <row r="244" spans="1:197">
      <c r="A244" s="98" t="s">
        <v>32</v>
      </c>
      <c r="B244" s="98">
        <v>9</v>
      </c>
      <c r="C244" s="98" t="s">
        <v>225</v>
      </c>
      <c r="D244" s="315">
        <v>11987253</v>
      </c>
      <c r="E244" s="315">
        <v>-2816653</v>
      </c>
      <c r="F244" s="315">
        <v>-13266</v>
      </c>
      <c r="G244" s="315">
        <v>9157334</v>
      </c>
      <c r="H244" s="315">
        <v>3293935</v>
      </c>
      <c r="I244" s="315">
        <v>5863399</v>
      </c>
      <c r="J244" s="315">
        <v>5745726</v>
      </c>
      <c r="K244" s="315">
        <v>117673</v>
      </c>
      <c r="L244" s="315">
        <v>4205516</v>
      </c>
      <c r="M244" s="315">
        <v>3736625</v>
      </c>
      <c r="N244" s="315">
        <v>110055</v>
      </c>
      <c r="O244" s="315">
        <v>21974</v>
      </c>
      <c r="P244" s="315">
        <v>88081</v>
      </c>
      <c r="Q244" s="315">
        <v>71935</v>
      </c>
      <c r="R244" s="315">
        <v>286901</v>
      </c>
      <c r="S244" s="315">
        <v>-637624</v>
      </c>
      <c r="T244" s="315">
        <v>-629794</v>
      </c>
      <c r="U244" s="315">
        <v>-49191</v>
      </c>
      <c r="V244" s="315">
        <v>-8</v>
      </c>
      <c r="W244" s="315">
        <v>-559032</v>
      </c>
      <c r="X244" s="315">
        <v>0</v>
      </c>
      <c r="Y244" s="315">
        <v>-21563</v>
      </c>
      <c r="Z244" s="315">
        <v>-2363</v>
      </c>
      <c r="AA244" s="315">
        <v>-5279</v>
      </c>
      <c r="AB244" s="315">
        <v>-188</v>
      </c>
      <c r="AC244" s="315">
        <v>-13266</v>
      </c>
      <c r="AD244" s="315">
        <v>3554626</v>
      </c>
      <c r="AE244" s="315">
        <v>886384</v>
      </c>
      <c r="AF244" s="315">
        <v>2668242</v>
      </c>
      <c r="AG244" s="315">
        <v>2610593</v>
      </c>
      <c r="AH244" s="315">
        <v>57649</v>
      </c>
      <c r="AI244" s="315">
        <v>3732707</v>
      </c>
      <c r="AJ244" s="315">
        <v>1415356</v>
      </c>
      <c r="AK244" s="315">
        <v>2211189</v>
      </c>
      <c r="AL244" s="315">
        <v>12595</v>
      </c>
      <c r="AM244" s="315">
        <v>180283</v>
      </c>
      <c r="AN244" s="315">
        <v>44574</v>
      </c>
      <c r="AO244" s="315">
        <v>20805</v>
      </c>
      <c r="AP244" s="315">
        <v>27576</v>
      </c>
      <c r="AQ244" s="315">
        <v>12114</v>
      </c>
      <c r="AR244" s="315">
        <v>-519739</v>
      </c>
      <c r="AS244" s="315">
        <v>69572</v>
      </c>
      <c r="AT244" s="315">
        <v>0</v>
      </c>
      <c r="AU244" s="315">
        <v>-13266</v>
      </c>
      <c r="AV244" s="315">
        <v>423018</v>
      </c>
      <c r="AW244" s="315">
        <v>7956</v>
      </c>
      <c r="AX244" s="315">
        <v>85756</v>
      </c>
      <c r="AY244" s="315">
        <v>22062</v>
      </c>
      <c r="AZ244" s="315">
        <v>11932</v>
      </c>
      <c r="BA244" s="315">
        <v>6810</v>
      </c>
      <c r="BB244" s="315">
        <v>44952</v>
      </c>
      <c r="BC244" s="315">
        <v>229608</v>
      </c>
      <c r="BD244" s="315">
        <v>99698</v>
      </c>
      <c r="BE244" s="315">
        <v>-146662</v>
      </c>
      <c r="BF244" s="315">
        <v>-145840</v>
      </c>
      <c r="BG244" s="315">
        <v>-130970</v>
      </c>
      <c r="BH244" s="315">
        <v>-14870</v>
      </c>
      <c r="BI244" s="315">
        <v>0</v>
      </c>
      <c r="BJ244" s="315">
        <v>-20901.999999999996</v>
      </c>
      <c r="BK244" s="315">
        <v>-124938</v>
      </c>
      <c r="BL244" s="315">
        <v>-822</v>
      </c>
      <c r="BM244" s="315">
        <v>0</v>
      </c>
      <c r="BN244" s="315">
        <v>276356</v>
      </c>
      <c r="BO244" s="315">
        <v>75693</v>
      </c>
      <c r="BP244" s="315">
        <v>14665</v>
      </c>
      <c r="BQ244" s="315">
        <v>8855</v>
      </c>
      <c r="BR244" s="315">
        <v>123</v>
      </c>
      <c r="BS244" s="315">
        <v>7482</v>
      </c>
      <c r="BT244" s="315">
        <v>160</v>
      </c>
      <c r="BU244" s="315">
        <v>83</v>
      </c>
      <c r="BV244" s="315">
        <v>100</v>
      </c>
      <c r="BW244" s="315">
        <v>7139</v>
      </c>
      <c r="BX244" s="315">
        <v>-45214</v>
      </c>
      <c r="BY244" s="315">
        <v>214738</v>
      </c>
      <c r="BZ244" s="315">
        <v>14</v>
      </c>
      <c r="CA244" s="315">
        <v>70198</v>
      </c>
      <c r="CB244" s="315">
        <v>-24751</v>
      </c>
      <c r="CC244" s="315">
        <v>-24751</v>
      </c>
      <c r="CD244" s="315">
        <v>0</v>
      </c>
      <c r="CE244" s="315">
        <v>45447</v>
      </c>
      <c r="CF244" s="315">
        <v>62540</v>
      </c>
      <c r="CG244" s="315">
        <v>-1</v>
      </c>
      <c r="CH244" s="315">
        <v>-17092</v>
      </c>
      <c r="CI244" s="315">
        <v>4794977</v>
      </c>
      <c r="CJ244" s="315">
        <v>881092</v>
      </c>
      <c r="CK244" s="315">
        <v>3913885</v>
      </c>
      <c r="CL244" s="315">
        <v>3465272</v>
      </c>
      <c r="CM244" s="315">
        <v>45685</v>
      </c>
      <c r="CN244" s="315">
        <v>402928</v>
      </c>
      <c r="CO244" s="315">
        <v>0</v>
      </c>
      <c r="CP244" s="315">
        <v>0</v>
      </c>
      <c r="CQ244" s="315">
        <v>402928</v>
      </c>
      <c r="CR244" s="315">
        <v>-1953996</v>
      </c>
      <c r="CS244" s="315">
        <v>-392423</v>
      </c>
      <c r="CT244" s="315">
        <v>-251700</v>
      </c>
      <c r="CU244" s="315">
        <v>-16313</v>
      </c>
      <c r="CV244" s="315">
        <v>-3437</v>
      </c>
      <c r="CW244" s="315">
        <v>-120973</v>
      </c>
      <c r="CX244" s="315">
        <v>-1428699</v>
      </c>
      <c r="CY244" s="315">
        <v>-1392371</v>
      </c>
      <c r="CZ244" s="315">
        <v>-34118</v>
      </c>
      <c r="DA244" s="315">
        <v>-2210</v>
      </c>
      <c r="DB244" s="315">
        <v>0</v>
      </c>
      <c r="DC244" s="315">
        <v>-132874</v>
      </c>
      <c r="DD244" s="315">
        <v>2840981</v>
      </c>
      <c r="DE244" s="315">
        <v>691837</v>
      </c>
      <c r="DF244" s="315">
        <v>2149144</v>
      </c>
      <c r="DG244" s="315">
        <v>2104487</v>
      </c>
      <c r="DH244" s="315">
        <v>44657</v>
      </c>
      <c r="DI244" s="315">
        <v>1617048</v>
      </c>
      <c r="DJ244" s="315">
        <v>78361</v>
      </c>
      <c r="DK244" s="315">
        <v>29274</v>
      </c>
      <c r="DL244" s="315">
        <v>1037</v>
      </c>
      <c r="DM244" s="315">
        <v>848114</v>
      </c>
      <c r="DN244" s="315">
        <v>546423</v>
      </c>
      <c r="DO244" s="315">
        <v>113798</v>
      </c>
      <c r="DP244" s="315"/>
      <c r="DQ244" s="315">
        <v>0</v>
      </c>
      <c r="DR244" s="315">
        <v>41</v>
      </c>
      <c r="DS244" s="315">
        <v>-13025</v>
      </c>
      <c r="DT244" s="315">
        <v>-1153</v>
      </c>
      <c r="DU244" s="315">
        <v>-129</v>
      </c>
      <c r="DV244" s="315">
        <v>-4</v>
      </c>
      <c r="DW244" s="315">
        <v>-11366</v>
      </c>
      <c r="DX244" s="315">
        <v>-10615</v>
      </c>
      <c r="DY244" s="315">
        <v>-434</v>
      </c>
      <c r="DZ244" s="315">
        <v>-317</v>
      </c>
      <c r="EA244" s="315">
        <v>0</v>
      </c>
      <c r="EB244" s="315">
        <v>-93</v>
      </c>
      <c r="EC244" s="315"/>
      <c r="ED244" s="315">
        <v>-96</v>
      </c>
      <c r="EE244" s="315">
        <v>-184</v>
      </c>
      <c r="EF244" s="315">
        <v>1604023</v>
      </c>
      <c r="EG244" s="315">
        <v>558010</v>
      </c>
      <c r="EH244" s="315">
        <v>1046013</v>
      </c>
      <c r="EI244" s="315">
        <v>1030646</v>
      </c>
      <c r="EJ244" s="315">
        <v>15367</v>
      </c>
      <c r="EK244" s="315">
        <v>77208</v>
      </c>
      <c r="EL244" s="315">
        <v>38963</v>
      </c>
      <c r="EM244" s="315">
        <v>38245</v>
      </c>
      <c r="EN244" s="315">
        <v>37490</v>
      </c>
      <c r="EO244" s="315">
        <v>755</v>
      </c>
      <c r="EP244" s="315">
        <v>29145</v>
      </c>
      <c r="EQ244" s="315">
        <v>15374</v>
      </c>
      <c r="ER244" s="315">
        <v>13771</v>
      </c>
      <c r="ES244" s="315">
        <v>13513</v>
      </c>
      <c r="ET244" s="315">
        <v>258</v>
      </c>
      <c r="EU244" s="315">
        <v>1033</v>
      </c>
      <c r="EV244" s="315">
        <v>170</v>
      </c>
      <c r="EW244" s="315">
        <v>863</v>
      </c>
      <c r="EX244" s="315">
        <v>845</v>
      </c>
      <c r="EY244" s="315">
        <v>18</v>
      </c>
      <c r="EZ244" s="315">
        <v>836748</v>
      </c>
      <c r="FA244" s="315">
        <v>338432</v>
      </c>
      <c r="FB244" s="315">
        <v>498316</v>
      </c>
      <c r="FC244" s="315">
        <v>490282</v>
      </c>
      <c r="FD244" s="315">
        <v>8034</v>
      </c>
      <c r="FE244" s="315">
        <v>546423</v>
      </c>
      <c r="FF244" s="315">
        <v>188550</v>
      </c>
      <c r="FG244" s="315">
        <v>357873</v>
      </c>
      <c r="FH244" s="315">
        <v>351571</v>
      </c>
      <c r="FI244" s="315">
        <v>6302</v>
      </c>
      <c r="FJ244" s="315">
        <v>113705</v>
      </c>
      <c r="FK244" s="315">
        <v>-23240</v>
      </c>
      <c r="FL244" s="315">
        <v>136945</v>
      </c>
      <c r="FM244" s="315">
        <v>136945</v>
      </c>
      <c r="FN244" s="315"/>
      <c r="FO244" s="315"/>
      <c r="FP244" s="315">
        <v>-96</v>
      </c>
      <c r="FQ244" s="315">
        <v>-143</v>
      </c>
      <c r="FR244" s="315">
        <v>876496</v>
      </c>
      <c r="FS244" s="315">
        <v>-40595</v>
      </c>
      <c r="FT244" s="315">
        <v>835901</v>
      </c>
      <c r="FU244" s="315">
        <v>316967</v>
      </c>
      <c r="FV244" s="315">
        <v>297001</v>
      </c>
      <c r="FW244" s="315">
        <v>19966</v>
      </c>
      <c r="FX244" s="315">
        <v>157441</v>
      </c>
      <c r="FY244" s="315">
        <v>196373</v>
      </c>
      <c r="FZ244" s="315"/>
      <c r="GA244" s="315"/>
      <c r="GB244" s="315">
        <v>209</v>
      </c>
      <c r="GC244" s="315">
        <v>22518</v>
      </c>
      <c r="GD244" s="315">
        <v>-26889</v>
      </c>
      <c r="GE244" s="315"/>
      <c r="GF244" s="315">
        <v>49407</v>
      </c>
      <c r="GG244" s="315">
        <v>142393</v>
      </c>
      <c r="GH244" s="315">
        <v>9849</v>
      </c>
      <c r="GI244" s="315">
        <v>263</v>
      </c>
      <c r="GJ244" s="315">
        <v>132281</v>
      </c>
      <c r="GL244"/>
      <c r="GM244"/>
      <c r="GN244"/>
      <c r="GO244"/>
    </row>
    <row r="245" spans="1:197">
      <c r="A245" s="98" t="s">
        <v>32</v>
      </c>
      <c r="B245" s="98">
        <v>10</v>
      </c>
      <c r="C245" s="98" t="s">
        <v>226</v>
      </c>
      <c r="D245" s="315">
        <v>29743090</v>
      </c>
      <c r="E245" s="315">
        <v>-2933855</v>
      </c>
      <c r="F245" s="315">
        <v>-13266</v>
      </c>
      <c r="G245" s="315">
        <v>26795969</v>
      </c>
      <c r="H245" s="315">
        <v>20932575</v>
      </c>
      <c r="I245" s="315">
        <v>5863394</v>
      </c>
      <c r="J245" s="315">
        <v>5745725</v>
      </c>
      <c r="K245" s="315">
        <v>117669</v>
      </c>
      <c r="L245" s="315">
        <v>8730112</v>
      </c>
      <c r="M245" s="315">
        <v>7303071</v>
      </c>
      <c r="N245" s="315">
        <v>125528</v>
      </c>
      <c r="O245" s="315">
        <v>32518</v>
      </c>
      <c r="P245" s="315">
        <v>93010</v>
      </c>
      <c r="Q245" s="315">
        <v>53655</v>
      </c>
      <c r="R245" s="315">
        <v>1247858</v>
      </c>
      <c r="S245" s="315">
        <v>-539510</v>
      </c>
      <c r="T245" s="315">
        <v>-519352</v>
      </c>
      <c r="U245" s="315">
        <v>-49250</v>
      </c>
      <c r="V245" s="315">
        <v>-10</v>
      </c>
      <c r="W245" s="315">
        <v>-440384</v>
      </c>
      <c r="X245" s="315">
        <v>0</v>
      </c>
      <c r="Y245" s="315">
        <v>-29708</v>
      </c>
      <c r="Z245" s="315">
        <v>-12718</v>
      </c>
      <c r="AA245" s="315">
        <v>-7440</v>
      </c>
      <c r="AB245" s="315">
        <v>0</v>
      </c>
      <c r="AC245" s="315">
        <v>-13266</v>
      </c>
      <c r="AD245" s="315">
        <v>8177336</v>
      </c>
      <c r="AE245" s="315">
        <v>5509099</v>
      </c>
      <c r="AF245" s="315">
        <v>2668237</v>
      </c>
      <c r="AG245" s="315">
        <v>2610591</v>
      </c>
      <c r="AH245" s="315">
        <v>57646</v>
      </c>
      <c r="AI245" s="315">
        <v>7299566</v>
      </c>
      <c r="AJ245" s="315">
        <v>1452402</v>
      </c>
      <c r="AK245" s="315">
        <v>2234890</v>
      </c>
      <c r="AL245" s="315">
        <v>3535474</v>
      </c>
      <c r="AM245" s="315">
        <v>313102</v>
      </c>
      <c r="AN245" s="315">
        <v>369500</v>
      </c>
      <c r="AO245" s="315">
        <v>53482</v>
      </c>
      <c r="AP245" s="315">
        <v>18144</v>
      </c>
      <c r="AQ245" s="315">
        <v>489695</v>
      </c>
      <c r="AR245" s="315">
        <v>-393824</v>
      </c>
      <c r="AS245" s="315">
        <v>40937</v>
      </c>
      <c r="AT245" s="315">
        <v>0</v>
      </c>
      <c r="AU245" s="315">
        <v>-13266</v>
      </c>
      <c r="AV245" s="315">
        <v>8507164</v>
      </c>
      <c r="AW245" s="315">
        <v>7984867</v>
      </c>
      <c r="AX245" s="315">
        <v>61159</v>
      </c>
      <c r="AY245" s="315">
        <v>2670</v>
      </c>
      <c r="AZ245" s="315">
        <v>2037</v>
      </c>
      <c r="BA245" s="315">
        <v>5606</v>
      </c>
      <c r="BB245" s="315">
        <v>50846</v>
      </c>
      <c r="BC245" s="315">
        <v>150145</v>
      </c>
      <c r="BD245" s="315">
        <v>310993</v>
      </c>
      <c r="BE245" s="315">
        <v>-275327</v>
      </c>
      <c r="BF245" s="315">
        <v>-273341</v>
      </c>
      <c r="BG245" s="315">
        <v>-256888</v>
      </c>
      <c r="BH245" s="315">
        <v>-16453</v>
      </c>
      <c r="BI245" s="315">
        <v>-189007</v>
      </c>
      <c r="BJ245" s="315">
        <v>-49410</v>
      </c>
      <c r="BK245" s="315">
        <v>-34924</v>
      </c>
      <c r="BL245" s="315">
        <v>-1986</v>
      </c>
      <c r="BM245" s="315">
        <v>0</v>
      </c>
      <c r="BN245" s="315">
        <v>8231837</v>
      </c>
      <c r="BO245" s="315">
        <v>133099</v>
      </c>
      <c r="BP245" s="315">
        <v>153481</v>
      </c>
      <c r="BQ245" s="315">
        <v>22767</v>
      </c>
      <c r="BR245" s="315">
        <v>57</v>
      </c>
      <c r="BS245" s="315">
        <v>7984474</v>
      </c>
      <c r="BT245" s="315">
        <v>3037623</v>
      </c>
      <c r="BU245" s="315">
        <v>4333328</v>
      </c>
      <c r="BV245" s="315">
        <v>606079</v>
      </c>
      <c r="BW245" s="315">
        <v>7444</v>
      </c>
      <c r="BX245" s="315">
        <v>-195729</v>
      </c>
      <c r="BY245" s="315">
        <v>133692</v>
      </c>
      <c r="BZ245" s="315">
        <v>-4</v>
      </c>
      <c r="CA245" s="315">
        <v>189741</v>
      </c>
      <c r="CB245" s="315">
        <v>-70409</v>
      </c>
      <c r="CC245" s="315">
        <v>-70409</v>
      </c>
      <c r="CD245" s="315">
        <v>0</v>
      </c>
      <c r="CE245" s="315">
        <v>119332</v>
      </c>
      <c r="CF245" s="315">
        <v>102239</v>
      </c>
      <c r="CG245" s="315">
        <v>21856</v>
      </c>
      <c r="CH245" s="315">
        <v>-4763</v>
      </c>
      <c r="CI245" s="315">
        <v>10059539</v>
      </c>
      <c r="CJ245" s="315">
        <v>881978</v>
      </c>
      <c r="CK245" s="315">
        <v>9177561</v>
      </c>
      <c r="CL245" s="315">
        <v>3725264</v>
      </c>
      <c r="CM245" s="315">
        <v>4988726</v>
      </c>
      <c r="CN245" s="315">
        <v>463571</v>
      </c>
      <c r="CO245" s="315">
        <v>0</v>
      </c>
      <c r="CP245" s="315">
        <v>0</v>
      </c>
      <c r="CQ245" s="315">
        <v>463571</v>
      </c>
      <c r="CR245" s="315">
        <v>-1984227</v>
      </c>
      <c r="CS245" s="315">
        <v>-364431</v>
      </c>
      <c r="CT245" s="315">
        <v>-265973</v>
      </c>
      <c r="CU245" s="315">
        <v>-7729</v>
      </c>
      <c r="CV245" s="315">
        <v>-2006</v>
      </c>
      <c r="CW245" s="315">
        <v>-88723</v>
      </c>
      <c r="CX245" s="315">
        <v>-1324030</v>
      </c>
      <c r="CY245" s="315">
        <v>-1290549</v>
      </c>
      <c r="CZ245" s="315">
        <v>-30578</v>
      </c>
      <c r="DA245" s="315">
        <v>-2903</v>
      </c>
      <c r="DB245" s="315">
        <v>-295766</v>
      </c>
      <c r="DC245" s="315">
        <v>0</v>
      </c>
      <c r="DD245" s="315">
        <v>8075312</v>
      </c>
      <c r="DE245" s="315">
        <v>5926167</v>
      </c>
      <c r="DF245" s="315">
        <v>2149145</v>
      </c>
      <c r="DG245" s="315">
        <v>2104487</v>
      </c>
      <c r="DH245" s="315">
        <v>44658</v>
      </c>
      <c r="DI245" s="315">
        <v>1782121</v>
      </c>
      <c r="DJ245" s="315">
        <v>65576</v>
      </c>
      <c r="DK245" s="315">
        <v>34187</v>
      </c>
      <c r="DL245" s="315">
        <v>1077</v>
      </c>
      <c r="DM245" s="315">
        <v>869034</v>
      </c>
      <c r="DN245" s="315">
        <v>614716</v>
      </c>
      <c r="DO245" s="315">
        <v>119374</v>
      </c>
      <c r="DP245" s="315"/>
      <c r="DQ245" s="315">
        <v>78091</v>
      </c>
      <c r="DR245" s="315">
        <v>66</v>
      </c>
      <c r="DS245" s="315">
        <v>-18476</v>
      </c>
      <c r="DT245" s="315">
        <v>-7875</v>
      </c>
      <c r="DU245" s="315">
        <v>-2428</v>
      </c>
      <c r="DV245" s="315">
        <v>-1</v>
      </c>
      <c r="DW245" s="315">
        <v>-8161</v>
      </c>
      <c r="DX245" s="315">
        <v>-7021</v>
      </c>
      <c r="DY245" s="315">
        <v>-156</v>
      </c>
      <c r="DZ245" s="315">
        <v>-984</v>
      </c>
      <c r="EA245" s="315">
        <v>0</v>
      </c>
      <c r="EB245" s="315">
        <v>0</v>
      </c>
      <c r="EC245" s="315"/>
      <c r="ED245" s="315">
        <v>0</v>
      </c>
      <c r="EE245" s="315">
        <v>-11</v>
      </c>
      <c r="EF245" s="315">
        <v>1763645</v>
      </c>
      <c r="EG245" s="315">
        <v>717633</v>
      </c>
      <c r="EH245" s="315">
        <v>1046012</v>
      </c>
      <c r="EI245" s="315">
        <v>1030647</v>
      </c>
      <c r="EJ245" s="315">
        <v>15365</v>
      </c>
      <c r="EK245" s="315">
        <v>57701</v>
      </c>
      <c r="EL245" s="315">
        <v>19457</v>
      </c>
      <c r="EM245" s="315">
        <v>38244</v>
      </c>
      <c r="EN245" s="315">
        <v>37490</v>
      </c>
      <c r="EO245" s="315">
        <v>754</v>
      </c>
      <c r="EP245" s="315">
        <v>31759</v>
      </c>
      <c r="EQ245" s="315">
        <v>17988</v>
      </c>
      <c r="ER245" s="315">
        <v>13771</v>
      </c>
      <c r="ES245" s="315">
        <v>13513</v>
      </c>
      <c r="ET245" s="315">
        <v>258</v>
      </c>
      <c r="EU245" s="315">
        <v>1076</v>
      </c>
      <c r="EV245" s="315">
        <v>215</v>
      </c>
      <c r="EW245" s="315">
        <v>861</v>
      </c>
      <c r="EX245" s="315">
        <v>845</v>
      </c>
      <c r="EY245" s="315">
        <v>16</v>
      </c>
      <c r="EZ245" s="315">
        <v>860873</v>
      </c>
      <c r="FA245" s="315">
        <v>362557</v>
      </c>
      <c r="FB245" s="315">
        <v>498316</v>
      </c>
      <c r="FC245" s="315">
        <v>490282</v>
      </c>
      <c r="FD245" s="315">
        <v>8034</v>
      </c>
      <c r="FE245" s="315">
        <v>614716</v>
      </c>
      <c r="FF245" s="315">
        <v>256841</v>
      </c>
      <c r="FG245" s="315">
        <v>357875</v>
      </c>
      <c r="FH245" s="315">
        <v>351572</v>
      </c>
      <c r="FI245" s="315">
        <v>6303</v>
      </c>
      <c r="FJ245" s="315">
        <v>119374</v>
      </c>
      <c r="FK245" s="315">
        <v>-17571</v>
      </c>
      <c r="FL245" s="315">
        <v>136945</v>
      </c>
      <c r="FM245" s="315">
        <v>136945</v>
      </c>
      <c r="FN245" s="315"/>
      <c r="FO245" s="315"/>
      <c r="FP245" s="315">
        <v>78091</v>
      </c>
      <c r="FQ245" s="315">
        <v>55</v>
      </c>
      <c r="FR245" s="315">
        <v>474413</v>
      </c>
      <c r="FS245" s="315">
        <v>-45906</v>
      </c>
      <c r="FT245" s="315">
        <v>428507</v>
      </c>
      <c r="FU245" s="315">
        <v>7141</v>
      </c>
      <c r="FV245" s="315">
        <v>6641</v>
      </c>
      <c r="FW245" s="315">
        <v>500</v>
      </c>
      <c r="FX245" s="315">
        <v>148179</v>
      </c>
      <c r="FY245" s="315">
        <v>99148</v>
      </c>
      <c r="FZ245" s="315"/>
      <c r="GA245" s="315"/>
      <c r="GB245" s="315">
        <v>52</v>
      </c>
      <c r="GC245" s="315">
        <v>24162</v>
      </c>
      <c r="GD245" s="315">
        <v>-26944</v>
      </c>
      <c r="GE245" s="315"/>
      <c r="GF245" s="315">
        <v>51106</v>
      </c>
      <c r="GG245" s="315">
        <v>149825</v>
      </c>
      <c r="GH245" s="315">
        <v>39385</v>
      </c>
      <c r="GI245" s="315">
        <v>226</v>
      </c>
      <c r="GJ245" s="315">
        <v>110214</v>
      </c>
      <c r="GL245"/>
      <c r="GM245"/>
      <c r="GN245"/>
      <c r="GO245"/>
    </row>
    <row r="246" spans="1:197">
      <c r="A246" s="98" t="s">
        <v>32</v>
      </c>
      <c r="B246" s="98">
        <v>11</v>
      </c>
      <c r="C246" s="98" t="s">
        <v>227</v>
      </c>
      <c r="D246" s="315">
        <v>14934056</v>
      </c>
      <c r="E246" s="315">
        <v>-2982273</v>
      </c>
      <c r="F246" s="315">
        <v>-13266</v>
      </c>
      <c r="G246" s="315">
        <v>11938517</v>
      </c>
      <c r="H246" s="315">
        <v>6075122</v>
      </c>
      <c r="I246" s="315">
        <v>5863395</v>
      </c>
      <c r="J246" s="315">
        <v>5745725</v>
      </c>
      <c r="K246" s="315">
        <v>117670</v>
      </c>
      <c r="L246" s="315">
        <v>6559195</v>
      </c>
      <c r="M246" s="315">
        <v>3787382</v>
      </c>
      <c r="N246" s="315">
        <v>2267907</v>
      </c>
      <c r="O246" s="315">
        <v>2167443</v>
      </c>
      <c r="P246" s="315">
        <v>100464</v>
      </c>
      <c r="Q246" s="315">
        <v>58189</v>
      </c>
      <c r="R246" s="315">
        <v>445717</v>
      </c>
      <c r="S246" s="315">
        <v>-522932</v>
      </c>
      <c r="T246" s="315">
        <v>-512183</v>
      </c>
      <c r="U246" s="315">
        <v>-48171</v>
      </c>
      <c r="V246" s="315">
        <v>-8</v>
      </c>
      <c r="W246" s="315">
        <v>-437021</v>
      </c>
      <c r="X246" s="315">
        <v>0</v>
      </c>
      <c r="Y246" s="315">
        <v>-26983</v>
      </c>
      <c r="Z246" s="315">
        <v>-3494</v>
      </c>
      <c r="AA246" s="315">
        <v>-7255</v>
      </c>
      <c r="AB246" s="315">
        <v>0</v>
      </c>
      <c r="AC246" s="315">
        <v>-13266</v>
      </c>
      <c r="AD246" s="315">
        <v>6022997</v>
      </c>
      <c r="AE246" s="315">
        <v>3354756</v>
      </c>
      <c r="AF246" s="315">
        <v>2668241</v>
      </c>
      <c r="AG246" s="315">
        <v>2610592</v>
      </c>
      <c r="AH246" s="315">
        <v>57649</v>
      </c>
      <c r="AI246" s="315">
        <v>3781532</v>
      </c>
      <c r="AJ246" s="315">
        <v>1408341</v>
      </c>
      <c r="AK246" s="315">
        <v>2266487</v>
      </c>
      <c r="AL246" s="315">
        <v>14840</v>
      </c>
      <c r="AM246" s="315">
        <v>307792</v>
      </c>
      <c r="AN246" s="315">
        <v>53005</v>
      </c>
      <c r="AO246" s="315">
        <v>40812</v>
      </c>
      <c r="AP246" s="315">
        <v>24998</v>
      </c>
      <c r="AQ246" s="315">
        <v>17705</v>
      </c>
      <c r="AR246" s="315">
        <v>1755724</v>
      </c>
      <c r="AS246" s="315">
        <v>54695</v>
      </c>
      <c r="AT246" s="315">
        <v>0</v>
      </c>
      <c r="AU246" s="315">
        <v>-13266</v>
      </c>
      <c r="AV246" s="315">
        <v>390019</v>
      </c>
      <c r="AW246" s="315">
        <v>46228</v>
      </c>
      <c r="AX246" s="315">
        <v>77696</v>
      </c>
      <c r="AY246" s="315">
        <v>13437</v>
      </c>
      <c r="AZ246" s="315">
        <v>1567</v>
      </c>
      <c r="BA246" s="315">
        <v>10486</v>
      </c>
      <c r="BB246" s="315">
        <v>52206</v>
      </c>
      <c r="BC246" s="315">
        <v>105742</v>
      </c>
      <c r="BD246" s="315">
        <v>160353</v>
      </c>
      <c r="BE246" s="315">
        <v>-838866</v>
      </c>
      <c r="BF246" s="315">
        <v>-836330</v>
      </c>
      <c r="BG246" s="315">
        <v>-494085</v>
      </c>
      <c r="BH246" s="315">
        <v>-342245</v>
      </c>
      <c r="BI246" s="315">
        <v>-469244</v>
      </c>
      <c r="BJ246" s="315">
        <v>-11753</v>
      </c>
      <c r="BK246" s="315">
        <v>-355333</v>
      </c>
      <c r="BL246" s="315">
        <v>-2536</v>
      </c>
      <c r="BM246" s="315">
        <v>0</v>
      </c>
      <c r="BN246" s="315">
        <v>-448847</v>
      </c>
      <c r="BO246" s="315">
        <v>124122</v>
      </c>
      <c r="BP246" s="315">
        <v>18265</v>
      </c>
      <c r="BQ246" s="315">
        <v>17375</v>
      </c>
      <c r="BR246" s="315">
        <v>21</v>
      </c>
      <c r="BS246" s="315">
        <v>44230</v>
      </c>
      <c r="BT246" s="315">
        <v>10585</v>
      </c>
      <c r="BU246" s="315">
        <v>3508</v>
      </c>
      <c r="BV246" s="315">
        <v>4830</v>
      </c>
      <c r="BW246" s="315">
        <v>25307</v>
      </c>
      <c r="BX246" s="315">
        <v>-416389</v>
      </c>
      <c r="BY246" s="315">
        <v>-236503</v>
      </c>
      <c r="BZ246" s="315">
        <v>32</v>
      </c>
      <c r="CA246" s="315">
        <v>177693</v>
      </c>
      <c r="CB246" s="315">
        <v>-86369</v>
      </c>
      <c r="CC246" s="315">
        <v>-86369</v>
      </c>
      <c r="CD246" s="315">
        <v>0</v>
      </c>
      <c r="CE246" s="315">
        <v>91324</v>
      </c>
      <c r="CF246" s="315">
        <v>140128</v>
      </c>
      <c r="CG246" s="315">
        <v>89</v>
      </c>
      <c r="CH246" s="315">
        <v>-48893</v>
      </c>
      <c r="CI246" s="315">
        <v>5212661</v>
      </c>
      <c r="CJ246" s="315">
        <v>932208</v>
      </c>
      <c r="CK246" s="315">
        <v>4280453</v>
      </c>
      <c r="CL246" s="315">
        <v>3660179</v>
      </c>
      <c r="CM246" s="315">
        <v>95931</v>
      </c>
      <c r="CN246" s="315">
        <v>524343</v>
      </c>
      <c r="CO246" s="315">
        <v>0</v>
      </c>
      <c r="CP246" s="315">
        <v>0</v>
      </c>
      <c r="CQ246" s="315">
        <v>524343</v>
      </c>
      <c r="CR246" s="315">
        <v>-1477640</v>
      </c>
      <c r="CS246" s="315">
        <v>-275501</v>
      </c>
      <c r="CT246" s="315">
        <v>-158761</v>
      </c>
      <c r="CU246" s="315">
        <v>-5383</v>
      </c>
      <c r="CV246" s="315">
        <v>-247</v>
      </c>
      <c r="CW246" s="315">
        <v>-111110</v>
      </c>
      <c r="CX246" s="315">
        <v>-1191246</v>
      </c>
      <c r="CY246" s="315">
        <v>-1172976</v>
      </c>
      <c r="CZ246" s="315">
        <v>-15986</v>
      </c>
      <c r="DA246" s="315">
        <v>-2284</v>
      </c>
      <c r="DB246" s="315">
        <v>-10893</v>
      </c>
      <c r="DC246" s="315">
        <v>0</v>
      </c>
      <c r="DD246" s="315">
        <v>3735021</v>
      </c>
      <c r="DE246" s="315">
        <v>1585876</v>
      </c>
      <c r="DF246" s="315">
        <v>2149145</v>
      </c>
      <c r="DG246" s="315">
        <v>2104487</v>
      </c>
      <c r="DH246" s="315">
        <v>44658</v>
      </c>
      <c r="DI246" s="315">
        <v>1651952</v>
      </c>
      <c r="DJ246" s="315">
        <v>91816</v>
      </c>
      <c r="DK246" s="315">
        <v>32194</v>
      </c>
      <c r="DL246" s="315">
        <v>2387</v>
      </c>
      <c r="DM246" s="315">
        <v>842215</v>
      </c>
      <c r="DN246" s="315">
        <v>562967</v>
      </c>
      <c r="DO246" s="315">
        <v>120275</v>
      </c>
      <c r="DP246" s="315"/>
      <c r="DQ246" s="315">
        <v>3</v>
      </c>
      <c r="DR246" s="315">
        <v>95</v>
      </c>
      <c r="DS246" s="315">
        <v>-10039</v>
      </c>
      <c r="DT246" s="315">
        <v>-2716</v>
      </c>
      <c r="DU246" s="315">
        <v>-69</v>
      </c>
      <c r="DV246" s="315">
        <v>-45</v>
      </c>
      <c r="DW246" s="315">
        <v>-7181</v>
      </c>
      <c r="DX246" s="315">
        <v>-3966</v>
      </c>
      <c r="DY246" s="315">
        <v>-448</v>
      </c>
      <c r="DZ246" s="315">
        <v>-2767</v>
      </c>
      <c r="EA246" s="315">
        <v>0</v>
      </c>
      <c r="EB246" s="315">
        <v>-10</v>
      </c>
      <c r="EC246" s="315"/>
      <c r="ED246" s="315">
        <v>0</v>
      </c>
      <c r="EE246" s="315">
        <v>-18</v>
      </c>
      <c r="EF246" s="315">
        <v>1641913</v>
      </c>
      <c r="EG246" s="315">
        <v>595904</v>
      </c>
      <c r="EH246" s="315">
        <v>1046009</v>
      </c>
      <c r="EI246" s="315">
        <v>1030646</v>
      </c>
      <c r="EJ246" s="315">
        <v>15363</v>
      </c>
      <c r="EK246" s="315">
        <v>89100</v>
      </c>
      <c r="EL246" s="315">
        <v>50854</v>
      </c>
      <c r="EM246" s="315">
        <v>38246</v>
      </c>
      <c r="EN246" s="315">
        <v>37490</v>
      </c>
      <c r="EO246" s="315">
        <v>756</v>
      </c>
      <c r="EP246" s="315">
        <v>32125</v>
      </c>
      <c r="EQ246" s="315">
        <v>18355</v>
      </c>
      <c r="ER246" s="315">
        <v>13770</v>
      </c>
      <c r="ES246" s="315">
        <v>13513</v>
      </c>
      <c r="ET246" s="315">
        <v>257</v>
      </c>
      <c r="EU246" s="315">
        <v>2342</v>
      </c>
      <c r="EV246" s="315">
        <v>1483</v>
      </c>
      <c r="EW246" s="315">
        <v>859</v>
      </c>
      <c r="EX246" s="315">
        <v>844</v>
      </c>
      <c r="EY246" s="315">
        <v>15</v>
      </c>
      <c r="EZ246" s="315">
        <v>835034</v>
      </c>
      <c r="FA246" s="315">
        <v>336719</v>
      </c>
      <c r="FB246" s="315">
        <v>498315</v>
      </c>
      <c r="FC246" s="315">
        <v>490282</v>
      </c>
      <c r="FD246" s="315">
        <v>8033</v>
      </c>
      <c r="FE246" s="315">
        <v>562967</v>
      </c>
      <c r="FF246" s="315">
        <v>205093</v>
      </c>
      <c r="FG246" s="315">
        <v>357874</v>
      </c>
      <c r="FH246" s="315">
        <v>351572</v>
      </c>
      <c r="FI246" s="315">
        <v>6302</v>
      </c>
      <c r="FJ246" s="315">
        <v>120265</v>
      </c>
      <c r="FK246" s="315">
        <v>-16680</v>
      </c>
      <c r="FL246" s="315">
        <v>136945</v>
      </c>
      <c r="FM246" s="315">
        <v>136945</v>
      </c>
      <c r="FN246" s="315"/>
      <c r="FO246" s="315"/>
      <c r="FP246" s="315">
        <v>3</v>
      </c>
      <c r="FQ246" s="315">
        <v>77</v>
      </c>
      <c r="FR246" s="315">
        <v>942536</v>
      </c>
      <c r="FS246" s="315">
        <v>-46427</v>
      </c>
      <c r="FT246" s="315">
        <v>896109</v>
      </c>
      <c r="FU246" s="315">
        <v>438251</v>
      </c>
      <c r="FV246" s="315">
        <v>437930</v>
      </c>
      <c r="FW246" s="315">
        <v>321</v>
      </c>
      <c r="FX246" s="315">
        <v>146063</v>
      </c>
      <c r="FY246" s="315">
        <v>109487</v>
      </c>
      <c r="FZ246" s="315"/>
      <c r="GA246" s="315"/>
      <c r="GB246" s="315">
        <v>8089</v>
      </c>
      <c r="GC246" s="315">
        <v>58950</v>
      </c>
      <c r="GD246" s="315">
        <v>-26186</v>
      </c>
      <c r="GE246" s="315"/>
      <c r="GF246" s="315">
        <v>85136</v>
      </c>
      <c r="GG246" s="315">
        <v>135269</v>
      </c>
      <c r="GH246" s="315">
        <v>13294</v>
      </c>
      <c r="GI246" s="315">
        <v>417</v>
      </c>
      <c r="GJ246" s="315">
        <v>121558</v>
      </c>
      <c r="GL246"/>
      <c r="GM246"/>
      <c r="GN246"/>
      <c r="GO246"/>
    </row>
    <row r="247" spans="1:197">
      <c r="A247" s="98" t="s">
        <v>32</v>
      </c>
      <c r="B247" s="98">
        <v>12</v>
      </c>
      <c r="C247" s="98" t="s">
        <v>228</v>
      </c>
      <c r="D247" s="315">
        <v>17925287</v>
      </c>
      <c r="E247" s="315">
        <v>-4480740</v>
      </c>
      <c r="F247" s="315">
        <v>-13267</v>
      </c>
      <c r="G247" s="315">
        <v>13431280</v>
      </c>
      <c r="H247" s="315">
        <v>7567882</v>
      </c>
      <c r="I247" s="315">
        <v>5863398</v>
      </c>
      <c r="J247" s="315">
        <v>5745724</v>
      </c>
      <c r="K247" s="315">
        <v>117674</v>
      </c>
      <c r="L247" s="315">
        <v>5163395</v>
      </c>
      <c r="M247" s="315">
        <v>4619077</v>
      </c>
      <c r="N247" s="315">
        <v>128138</v>
      </c>
      <c r="O247" s="315">
        <v>37063</v>
      </c>
      <c r="P247" s="315">
        <v>91075</v>
      </c>
      <c r="Q247" s="315">
        <v>79554</v>
      </c>
      <c r="R247" s="315">
        <v>336626</v>
      </c>
      <c r="S247" s="315">
        <v>-510510</v>
      </c>
      <c r="T247" s="315">
        <v>-500952</v>
      </c>
      <c r="U247" s="315">
        <v>-48015</v>
      </c>
      <c r="V247" s="315">
        <v>-12</v>
      </c>
      <c r="W247" s="315">
        <v>-428768</v>
      </c>
      <c r="X247" s="315">
        <v>0</v>
      </c>
      <c r="Y247" s="315">
        <v>-24157</v>
      </c>
      <c r="Z247" s="315">
        <v>-4080</v>
      </c>
      <c r="AA247" s="315">
        <v>-2980</v>
      </c>
      <c r="AB247" s="315">
        <v>-2498</v>
      </c>
      <c r="AC247" s="315">
        <v>-13267</v>
      </c>
      <c r="AD247" s="315">
        <v>4639618</v>
      </c>
      <c r="AE247" s="315">
        <v>1971377</v>
      </c>
      <c r="AF247" s="315">
        <v>2668241</v>
      </c>
      <c r="AG247" s="315">
        <v>2610592</v>
      </c>
      <c r="AH247" s="315">
        <v>57649</v>
      </c>
      <c r="AI247" s="315">
        <v>4616728</v>
      </c>
      <c r="AJ247" s="315">
        <v>2140388</v>
      </c>
      <c r="AK247" s="315">
        <v>2361886</v>
      </c>
      <c r="AL247" s="315">
        <v>10121</v>
      </c>
      <c r="AM247" s="315">
        <v>221415</v>
      </c>
      <c r="AN247" s="315">
        <v>43879</v>
      </c>
      <c r="AO247" s="315">
        <v>40516</v>
      </c>
      <c r="AP247" s="315">
        <v>16365</v>
      </c>
      <c r="AQ247" s="315">
        <v>11322</v>
      </c>
      <c r="AR247" s="315">
        <v>-372814</v>
      </c>
      <c r="AS247" s="315">
        <v>75474</v>
      </c>
      <c r="AT247" s="315">
        <v>0</v>
      </c>
      <c r="AU247" s="315">
        <v>-13267</v>
      </c>
      <c r="AV247" s="315">
        <v>5286994</v>
      </c>
      <c r="AW247" s="315">
        <v>4947686</v>
      </c>
      <c r="AX247" s="315">
        <v>40461</v>
      </c>
      <c r="AY247" s="315">
        <v>12607</v>
      </c>
      <c r="AZ247" s="315">
        <v>5275</v>
      </c>
      <c r="BA247" s="315">
        <v>8674</v>
      </c>
      <c r="BB247" s="315">
        <v>13905</v>
      </c>
      <c r="BC247" s="315">
        <v>173632</v>
      </c>
      <c r="BD247" s="315">
        <v>125215</v>
      </c>
      <c r="BE247" s="315">
        <v>-701633</v>
      </c>
      <c r="BF247" s="315">
        <v>-691309</v>
      </c>
      <c r="BG247" s="315">
        <v>-656063</v>
      </c>
      <c r="BH247" s="315">
        <v>-35246</v>
      </c>
      <c r="BI247" s="315">
        <v>-635580.99999999988</v>
      </c>
      <c r="BJ247" s="315">
        <v>-8453</v>
      </c>
      <c r="BK247" s="315">
        <v>-47275.000000000116</v>
      </c>
      <c r="BL247" s="315">
        <v>-10324</v>
      </c>
      <c r="BM247" s="315">
        <v>0</v>
      </c>
      <c r="BN247" s="315">
        <v>4585361</v>
      </c>
      <c r="BO247" s="315">
        <v>92773</v>
      </c>
      <c r="BP247" s="315">
        <v>14733</v>
      </c>
      <c r="BQ247" s="315">
        <v>17246</v>
      </c>
      <c r="BR247" s="315">
        <v>192</v>
      </c>
      <c r="BS247" s="315">
        <v>4937583</v>
      </c>
      <c r="BT247" s="315">
        <v>1238082</v>
      </c>
      <c r="BU247" s="315">
        <v>3186274</v>
      </c>
      <c r="BV247" s="315">
        <v>504205</v>
      </c>
      <c r="BW247" s="315">
        <v>9022</v>
      </c>
      <c r="BX247" s="315">
        <v>-615602</v>
      </c>
      <c r="BY247" s="315">
        <v>138386</v>
      </c>
      <c r="BZ247" s="315">
        <v>50</v>
      </c>
      <c r="CA247" s="315">
        <v>156450</v>
      </c>
      <c r="CB247" s="315">
        <v>-85389</v>
      </c>
      <c r="CC247" s="315">
        <v>-85389</v>
      </c>
      <c r="CD247" s="315">
        <v>0</v>
      </c>
      <c r="CE247" s="315">
        <v>71061</v>
      </c>
      <c r="CF247" s="315">
        <v>117579</v>
      </c>
      <c r="CG247" s="315">
        <v>10510</v>
      </c>
      <c r="CH247" s="315">
        <v>-57028</v>
      </c>
      <c r="CI247" s="315">
        <v>5106464</v>
      </c>
      <c r="CJ247" s="315">
        <v>895764</v>
      </c>
      <c r="CK247" s="315">
        <v>4210700</v>
      </c>
      <c r="CL247" s="315">
        <v>3727165</v>
      </c>
      <c r="CM247" s="315">
        <v>60102</v>
      </c>
      <c r="CN247" s="315">
        <v>423433</v>
      </c>
      <c r="CO247" s="315">
        <v>9270</v>
      </c>
      <c r="CP247" s="315">
        <v>13559</v>
      </c>
      <c r="CQ247" s="315">
        <v>400604</v>
      </c>
      <c r="CR247" s="315">
        <v>-2670953</v>
      </c>
      <c r="CS247" s="315">
        <v>-158687</v>
      </c>
      <c r="CT247" s="315">
        <v>-85811</v>
      </c>
      <c r="CU247" s="315">
        <v>-6694</v>
      </c>
      <c r="CV247" s="315">
        <v>-410</v>
      </c>
      <c r="CW247" s="315">
        <v>-65772</v>
      </c>
      <c r="CX247" s="315">
        <v>-1857261</v>
      </c>
      <c r="CY247" s="315">
        <v>-1834682</v>
      </c>
      <c r="CZ247" s="315">
        <v>-19927</v>
      </c>
      <c r="DA247" s="315">
        <v>-2652</v>
      </c>
      <c r="DB247" s="315">
        <v>-415262</v>
      </c>
      <c r="DC247" s="315">
        <v>-239743</v>
      </c>
      <c r="DD247" s="315">
        <v>2435511</v>
      </c>
      <c r="DE247" s="315">
        <v>286366</v>
      </c>
      <c r="DF247" s="315">
        <v>2149145</v>
      </c>
      <c r="DG247" s="315">
        <v>2104486</v>
      </c>
      <c r="DH247" s="315">
        <v>44659</v>
      </c>
      <c r="DI247" s="315">
        <v>1625585</v>
      </c>
      <c r="DJ247" s="315">
        <v>74555</v>
      </c>
      <c r="DK247" s="315">
        <v>25395</v>
      </c>
      <c r="DL247" s="315">
        <v>1130</v>
      </c>
      <c r="DM247" s="315">
        <v>855253</v>
      </c>
      <c r="DN247" s="315">
        <v>560582</v>
      </c>
      <c r="DO247" s="315">
        <v>108609</v>
      </c>
      <c r="DP247" s="315"/>
      <c r="DQ247" s="315">
        <v>-1</v>
      </c>
      <c r="DR247" s="315">
        <v>62</v>
      </c>
      <c r="DS247" s="315">
        <v>-455720</v>
      </c>
      <c r="DT247" s="315">
        <v>-8653</v>
      </c>
      <c r="DU247" s="315">
        <v>-6678</v>
      </c>
      <c r="DV247" s="315">
        <v>-99</v>
      </c>
      <c r="DW247" s="315">
        <v>-387369</v>
      </c>
      <c r="DX247" s="315">
        <v>-3726</v>
      </c>
      <c r="DY247" s="315">
        <v>-283</v>
      </c>
      <c r="DZ247" s="315">
        <v>-383360</v>
      </c>
      <c r="EA247" s="315">
        <v>-52797</v>
      </c>
      <c r="EB247" s="315">
        <v>-102</v>
      </c>
      <c r="EC247" s="315"/>
      <c r="ED247" s="315">
        <v>0</v>
      </c>
      <c r="EE247" s="315">
        <v>-22</v>
      </c>
      <c r="EF247" s="315">
        <v>1169865</v>
      </c>
      <c r="EG247" s="315">
        <v>123853</v>
      </c>
      <c r="EH247" s="315">
        <v>1046012</v>
      </c>
      <c r="EI247" s="315">
        <v>1030646</v>
      </c>
      <c r="EJ247" s="315">
        <v>15366</v>
      </c>
      <c r="EK247" s="315">
        <v>65902</v>
      </c>
      <c r="EL247" s="315">
        <v>27657</v>
      </c>
      <c r="EM247" s="315">
        <v>38245</v>
      </c>
      <c r="EN247" s="315">
        <v>37490</v>
      </c>
      <c r="EO247" s="315">
        <v>755</v>
      </c>
      <c r="EP247" s="315">
        <v>18717</v>
      </c>
      <c r="EQ247" s="315">
        <v>4947</v>
      </c>
      <c r="ER247" s="315">
        <v>13770</v>
      </c>
      <c r="ES247" s="315">
        <v>13512</v>
      </c>
      <c r="ET247" s="315">
        <v>258</v>
      </c>
      <c r="EU247" s="315">
        <v>1031</v>
      </c>
      <c r="EV247" s="315">
        <v>169</v>
      </c>
      <c r="EW247" s="315">
        <v>862</v>
      </c>
      <c r="EX247" s="315">
        <v>845</v>
      </c>
      <c r="EY247" s="315">
        <v>17</v>
      </c>
      <c r="EZ247" s="315">
        <v>467884</v>
      </c>
      <c r="FA247" s="315">
        <v>-30431</v>
      </c>
      <c r="FB247" s="315">
        <v>498315</v>
      </c>
      <c r="FC247" s="315">
        <v>490282</v>
      </c>
      <c r="FD247" s="315">
        <v>8033</v>
      </c>
      <c r="FE247" s="315">
        <v>507785</v>
      </c>
      <c r="FF247" s="315">
        <v>149910</v>
      </c>
      <c r="FG247" s="315">
        <v>357875</v>
      </c>
      <c r="FH247" s="315">
        <v>351572</v>
      </c>
      <c r="FI247" s="315">
        <v>6303</v>
      </c>
      <c r="FJ247" s="315">
        <v>108507</v>
      </c>
      <c r="FK247" s="315">
        <v>-28438</v>
      </c>
      <c r="FL247" s="315">
        <v>136945</v>
      </c>
      <c r="FM247" s="315">
        <v>136945</v>
      </c>
      <c r="FN247" s="315"/>
      <c r="FO247" s="315"/>
      <c r="FP247" s="315">
        <v>-1</v>
      </c>
      <c r="FQ247" s="315">
        <v>40</v>
      </c>
      <c r="FR247" s="315">
        <v>586399</v>
      </c>
      <c r="FS247" s="315">
        <v>-56535</v>
      </c>
      <c r="FT247" s="315">
        <v>529864</v>
      </c>
      <c r="FU247" s="315">
        <v>150397</v>
      </c>
      <c r="FV247" s="315">
        <v>149856</v>
      </c>
      <c r="FW247" s="315">
        <v>541</v>
      </c>
      <c r="FX247" s="315">
        <v>130722</v>
      </c>
      <c r="FY247" s="315">
        <v>103038</v>
      </c>
      <c r="FZ247" s="315"/>
      <c r="GA247" s="315"/>
      <c r="GB247" s="315">
        <v>11403</v>
      </c>
      <c r="GC247" s="315">
        <v>34512</v>
      </c>
      <c r="GD247" s="315">
        <v>-27332</v>
      </c>
      <c r="GE247" s="315"/>
      <c r="GF247" s="315">
        <v>61844</v>
      </c>
      <c r="GG247" s="315">
        <v>99792</v>
      </c>
      <c r="GH247" s="315">
        <v>11007</v>
      </c>
      <c r="GI247" s="315">
        <v>468</v>
      </c>
      <c r="GJ247" s="315">
        <v>88317</v>
      </c>
      <c r="GL247"/>
      <c r="GM247"/>
      <c r="GN247"/>
      <c r="GO247"/>
    </row>
    <row r="248" spans="1:197">
      <c r="A248" s="96" t="s">
        <v>33</v>
      </c>
      <c r="B248" s="96">
        <v>1</v>
      </c>
      <c r="C248" s="97" t="s">
        <v>217</v>
      </c>
      <c r="D248" s="314">
        <v>15583600</v>
      </c>
      <c r="E248" s="314">
        <v>-5809455</v>
      </c>
      <c r="F248" s="314">
        <v>-13266</v>
      </c>
      <c r="G248" s="314">
        <v>9760879</v>
      </c>
      <c r="H248" s="314">
        <v>3579831</v>
      </c>
      <c r="I248" s="314">
        <v>6181048</v>
      </c>
      <c r="J248" s="314">
        <v>6047546</v>
      </c>
      <c r="K248" s="314">
        <v>133502</v>
      </c>
      <c r="L248" s="314">
        <v>10855245</v>
      </c>
      <c r="M248" s="314">
        <v>9498392</v>
      </c>
      <c r="N248" s="314">
        <v>89450</v>
      </c>
      <c r="O248" s="314">
        <v>0</v>
      </c>
      <c r="P248" s="314">
        <v>89450</v>
      </c>
      <c r="Q248" s="314">
        <v>41058</v>
      </c>
      <c r="R248" s="314">
        <v>1226345</v>
      </c>
      <c r="S248" s="314">
        <v>-242871</v>
      </c>
      <c r="T248" s="314">
        <v>-230289</v>
      </c>
      <c r="U248" s="314">
        <v>0</v>
      </c>
      <c r="V248" s="314">
        <v>-47020</v>
      </c>
      <c r="W248" s="314">
        <v>0</v>
      </c>
      <c r="X248" s="314">
        <v>-163370</v>
      </c>
      <c r="Y248" s="314">
        <v>-19899</v>
      </c>
      <c r="Z248" s="314">
        <v>-2881</v>
      </c>
      <c r="AA248" s="314">
        <v>-9701</v>
      </c>
      <c r="AB248" s="314">
        <v>0</v>
      </c>
      <c r="AC248" s="314">
        <v>-13266</v>
      </c>
      <c r="AD248" s="314">
        <v>10599108</v>
      </c>
      <c r="AE248" s="314">
        <v>7816138</v>
      </c>
      <c r="AF248" s="314">
        <v>2782970</v>
      </c>
      <c r="AG248" s="314">
        <v>2722070</v>
      </c>
      <c r="AH248" s="314">
        <v>60900</v>
      </c>
      <c r="AI248" s="314">
        <v>9489047</v>
      </c>
      <c r="AJ248" s="314">
        <v>1841240</v>
      </c>
      <c r="AK248" s="314">
        <v>3502500</v>
      </c>
      <c r="AL248" s="314">
        <v>4085201</v>
      </c>
      <c r="AM248" s="314">
        <v>532454</v>
      </c>
      <c r="AN248" s="314">
        <v>374302</v>
      </c>
      <c r="AO248" s="314">
        <v>71611</v>
      </c>
      <c r="AP248" s="314">
        <v>193916</v>
      </c>
      <c r="AQ248" s="314">
        <v>53706</v>
      </c>
      <c r="AR248" s="314">
        <v>-140839</v>
      </c>
      <c r="AS248" s="314">
        <v>38177</v>
      </c>
      <c r="AT248" s="314">
        <v>0</v>
      </c>
      <c r="AU248" s="314">
        <v>-13266</v>
      </c>
      <c r="AV248" s="314">
        <v>598643</v>
      </c>
      <c r="AW248" s="314">
        <v>57636</v>
      </c>
      <c r="AX248" s="314">
        <v>38575</v>
      </c>
      <c r="AY248" s="314">
        <v>1048</v>
      </c>
      <c r="AZ248" s="314">
        <v>1974</v>
      </c>
      <c r="BA248" s="314">
        <v>10260</v>
      </c>
      <c r="BB248" s="314">
        <v>25293</v>
      </c>
      <c r="BC248" s="314">
        <v>88466</v>
      </c>
      <c r="BD248" s="314">
        <v>413966</v>
      </c>
      <c r="BE248" s="314">
        <v>-4021510</v>
      </c>
      <c r="BF248" s="314">
        <v>-3971884</v>
      </c>
      <c r="BG248" s="314">
        <v>-3956222</v>
      </c>
      <c r="BH248" s="314">
        <v>-15662</v>
      </c>
      <c r="BI248" s="314">
        <v>0</v>
      </c>
      <c r="BJ248" s="314">
        <v>-3940714.9999999995</v>
      </c>
      <c r="BK248" s="314">
        <v>-31169.000000000466</v>
      </c>
      <c r="BL248" s="314">
        <v>-49626</v>
      </c>
      <c r="BM248" s="314">
        <v>0</v>
      </c>
      <c r="BN248" s="314">
        <v>-3422867</v>
      </c>
      <c r="BO248" s="314">
        <v>226237</v>
      </c>
      <c r="BP248" s="314">
        <v>156563</v>
      </c>
      <c r="BQ248" s="314">
        <v>30484</v>
      </c>
      <c r="BR248" s="314">
        <v>483</v>
      </c>
      <c r="BS248" s="314">
        <v>8110</v>
      </c>
      <c r="BT248" s="314">
        <v>163</v>
      </c>
      <c r="BU248" s="314">
        <v>610</v>
      </c>
      <c r="BV248" s="314">
        <v>5851</v>
      </c>
      <c r="BW248" s="314">
        <v>1486</v>
      </c>
      <c r="BX248" s="314">
        <v>-3917647</v>
      </c>
      <c r="BY248" s="314">
        <v>72804</v>
      </c>
      <c r="BZ248" s="314">
        <v>99</v>
      </c>
      <c r="CA248" s="314">
        <v>312281</v>
      </c>
      <c r="CB248" s="314">
        <v>-108581</v>
      </c>
      <c r="CC248" s="314">
        <v>-108581</v>
      </c>
      <c r="CD248" s="314">
        <v>0</v>
      </c>
      <c r="CE248" s="314">
        <v>203700</v>
      </c>
      <c r="CF248" s="314">
        <v>262990</v>
      </c>
      <c r="CG248" s="314">
        <v>32</v>
      </c>
      <c r="CH248" s="314">
        <v>-59322</v>
      </c>
      <c r="CI248" s="314">
        <v>1697591</v>
      </c>
      <c r="CJ248" s="314">
        <v>787908</v>
      </c>
      <c r="CK248" s="314">
        <v>909683</v>
      </c>
      <c r="CL248" s="314">
        <v>260174</v>
      </c>
      <c r="CM248" s="314">
        <v>204802</v>
      </c>
      <c r="CN248" s="314">
        <v>444707</v>
      </c>
      <c r="CO248" s="314">
        <v>0</v>
      </c>
      <c r="CP248" s="314">
        <v>0</v>
      </c>
      <c r="CQ248" s="314">
        <v>444707</v>
      </c>
      <c r="CR248" s="314">
        <v>-1304710</v>
      </c>
      <c r="CS248" s="314">
        <v>-115475</v>
      </c>
      <c r="CT248" s="314">
        <v>0</v>
      </c>
      <c r="CU248" s="314">
        <v>-56264</v>
      </c>
      <c r="CV248" s="314">
        <v>-1792</v>
      </c>
      <c r="CW248" s="314">
        <v>-57419</v>
      </c>
      <c r="CX248" s="314">
        <v>-1189235</v>
      </c>
      <c r="CY248" s="314">
        <v>-461</v>
      </c>
      <c r="CZ248" s="314">
        <v>-1185076</v>
      </c>
      <c r="DA248" s="314">
        <v>-3698</v>
      </c>
      <c r="DB248" s="314">
        <v>0</v>
      </c>
      <c r="DC248" s="314">
        <v>0</v>
      </c>
      <c r="DD248" s="314">
        <v>392881</v>
      </c>
      <c r="DE248" s="314">
        <v>-1987772</v>
      </c>
      <c r="DF248" s="314">
        <v>2380653</v>
      </c>
      <c r="DG248" s="314">
        <v>2325436</v>
      </c>
      <c r="DH248" s="314">
        <v>55217</v>
      </c>
      <c r="DI248" s="314">
        <v>1715099</v>
      </c>
      <c r="DJ248" s="314">
        <v>41321</v>
      </c>
      <c r="DK248" s="314">
        <v>24599</v>
      </c>
      <c r="DL248" s="314">
        <v>1023</v>
      </c>
      <c r="DM248" s="314">
        <v>845960</v>
      </c>
      <c r="DN248" s="314">
        <v>603823</v>
      </c>
      <c r="DO248" s="314">
        <v>112782</v>
      </c>
      <c r="DP248" s="314"/>
      <c r="DQ248" s="314">
        <v>85552</v>
      </c>
      <c r="DR248" s="314">
        <v>39</v>
      </c>
      <c r="DS248" s="314">
        <v>-94562</v>
      </c>
      <c r="DT248" s="314">
        <v>-635</v>
      </c>
      <c r="DU248" s="314">
        <v>-78</v>
      </c>
      <c r="DV248" s="314">
        <v>-16</v>
      </c>
      <c r="DW248" s="314">
        <v>-87170</v>
      </c>
      <c r="DX248" s="314">
        <v>-3470</v>
      </c>
      <c r="DY248" s="314">
        <v>-126</v>
      </c>
      <c r="DZ248" s="314">
        <v>-83574</v>
      </c>
      <c r="EA248" s="314">
        <v>0</v>
      </c>
      <c r="EB248" s="314">
        <v>-6430</v>
      </c>
      <c r="EC248" s="314"/>
      <c r="ED248" s="314">
        <v>0</v>
      </c>
      <c r="EE248" s="314">
        <v>-233</v>
      </c>
      <c r="EF248" s="314">
        <v>1620537</v>
      </c>
      <c r="EG248" s="314">
        <v>603112</v>
      </c>
      <c r="EH248" s="314">
        <v>1017425</v>
      </c>
      <c r="EI248" s="314">
        <v>1000040</v>
      </c>
      <c r="EJ248" s="314">
        <v>17385</v>
      </c>
      <c r="EK248" s="314">
        <v>40686</v>
      </c>
      <c r="EL248" s="314">
        <v>2926</v>
      </c>
      <c r="EM248" s="314">
        <v>37760</v>
      </c>
      <c r="EN248" s="314">
        <v>37016</v>
      </c>
      <c r="EO248" s="314">
        <v>744</v>
      </c>
      <c r="EP248" s="314">
        <v>24521</v>
      </c>
      <c r="EQ248" s="314">
        <v>10351</v>
      </c>
      <c r="ER248" s="314">
        <v>14170</v>
      </c>
      <c r="ES248" s="314">
        <v>13892</v>
      </c>
      <c r="ET248" s="314">
        <v>278</v>
      </c>
      <c r="EU248" s="314">
        <v>1007</v>
      </c>
      <c r="EV248" s="314">
        <v>51</v>
      </c>
      <c r="EW248" s="314">
        <v>956</v>
      </c>
      <c r="EX248" s="314">
        <v>939</v>
      </c>
      <c r="EY248" s="314">
        <v>17</v>
      </c>
      <c r="EZ248" s="314">
        <v>758790</v>
      </c>
      <c r="FA248" s="314">
        <v>221234</v>
      </c>
      <c r="FB248" s="314">
        <v>537556</v>
      </c>
      <c r="FC248" s="314">
        <v>527769</v>
      </c>
      <c r="FD248" s="314">
        <v>9787</v>
      </c>
      <c r="FE248" s="314">
        <v>603823</v>
      </c>
      <c r="FF248" s="314">
        <v>295380</v>
      </c>
      <c r="FG248" s="314">
        <v>308443</v>
      </c>
      <c r="FH248" s="314">
        <v>301884</v>
      </c>
      <c r="FI248" s="314">
        <v>6559</v>
      </c>
      <c r="FJ248" s="314">
        <v>106352</v>
      </c>
      <c r="FK248" s="314">
        <v>-12188</v>
      </c>
      <c r="FL248" s="314">
        <v>118540</v>
      </c>
      <c r="FM248" s="314">
        <v>118540</v>
      </c>
      <c r="FN248" s="314"/>
      <c r="FO248" s="314"/>
      <c r="FP248" s="314">
        <v>85552</v>
      </c>
      <c r="FQ248" s="314">
        <v>-194</v>
      </c>
      <c r="FR248" s="314">
        <v>404741</v>
      </c>
      <c r="FS248" s="314">
        <v>-37221</v>
      </c>
      <c r="FT248" s="314">
        <v>367520</v>
      </c>
      <c r="FU248" s="314">
        <v>39389</v>
      </c>
      <c r="FV248" s="314">
        <v>6011</v>
      </c>
      <c r="FW248" s="314">
        <v>33378</v>
      </c>
      <c r="FX248" s="314">
        <v>116326</v>
      </c>
      <c r="FY248" s="314">
        <v>106465</v>
      </c>
      <c r="FZ248" s="314"/>
      <c r="GA248" s="314"/>
      <c r="GB248" s="314">
        <v>21</v>
      </c>
      <c r="GC248" s="314">
        <v>20254</v>
      </c>
      <c r="GD248" s="314">
        <v>-27377</v>
      </c>
      <c r="GE248" s="314">
        <v>0</v>
      </c>
      <c r="GF248" s="314">
        <v>47631</v>
      </c>
      <c r="GG248" s="314">
        <v>85065</v>
      </c>
      <c r="GH248" s="314">
        <v>7819</v>
      </c>
      <c r="GI248" s="314">
        <v>469</v>
      </c>
      <c r="GJ248" s="314">
        <v>76777</v>
      </c>
      <c r="GL248"/>
      <c r="GM248"/>
      <c r="GN248"/>
      <c r="GO248"/>
    </row>
    <row r="249" spans="1:197">
      <c r="A249" s="98" t="s">
        <v>33</v>
      </c>
      <c r="B249" s="98">
        <v>2</v>
      </c>
      <c r="C249" s="98" t="s">
        <v>218</v>
      </c>
      <c r="D249" s="315">
        <v>23479998</v>
      </c>
      <c r="E249" s="315">
        <v>-2818678</v>
      </c>
      <c r="F249" s="315">
        <v>-13266</v>
      </c>
      <c r="G249" s="315">
        <v>20648054</v>
      </c>
      <c r="H249" s="315">
        <v>14467002</v>
      </c>
      <c r="I249" s="315">
        <v>6181052</v>
      </c>
      <c r="J249" s="315">
        <v>6047546</v>
      </c>
      <c r="K249" s="315">
        <v>133506</v>
      </c>
      <c r="L249" s="315">
        <v>5488021</v>
      </c>
      <c r="M249" s="315">
        <v>4443812</v>
      </c>
      <c r="N249" s="315">
        <v>97265</v>
      </c>
      <c r="O249" s="315">
        <v>0</v>
      </c>
      <c r="P249" s="315">
        <v>97265</v>
      </c>
      <c r="Q249" s="315">
        <v>57716</v>
      </c>
      <c r="R249" s="315">
        <v>889228</v>
      </c>
      <c r="S249" s="315">
        <v>-184706</v>
      </c>
      <c r="T249" s="315">
        <v>-174270</v>
      </c>
      <c r="U249" s="315">
        <v>-51215</v>
      </c>
      <c r="V249" s="315">
        <v>-1605</v>
      </c>
      <c r="W249" s="315">
        <v>0</v>
      </c>
      <c r="X249" s="315">
        <v>-94530</v>
      </c>
      <c r="Y249" s="315">
        <v>-26920</v>
      </c>
      <c r="Z249" s="315">
        <v>-4045</v>
      </c>
      <c r="AA249" s="315">
        <v>-6391</v>
      </c>
      <c r="AB249" s="315">
        <v>0</v>
      </c>
      <c r="AC249" s="315">
        <v>-13266</v>
      </c>
      <c r="AD249" s="315">
        <v>5290049</v>
      </c>
      <c r="AE249" s="315">
        <v>2507198</v>
      </c>
      <c r="AF249" s="315">
        <v>2782851</v>
      </c>
      <c r="AG249" s="315">
        <v>2722069</v>
      </c>
      <c r="AH249" s="315">
        <v>60782</v>
      </c>
      <c r="AI249" s="315">
        <v>4439626</v>
      </c>
      <c r="AJ249" s="315">
        <v>1811602</v>
      </c>
      <c r="AK249" s="315">
        <v>2351130</v>
      </c>
      <c r="AL249" s="315">
        <v>187765</v>
      </c>
      <c r="AM249" s="315">
        <v>231141</v>
      </c>
      <c r="AN249" s="315">
        <v>56191</v>
      </c>
      <c r="AO249" s="315">
        <v>47058</v>
      </c>
      <c r="AP249" s="315">
        <v>73900</v>
      </c>
      <c r="AQ249" s="315">
        <v>478733</v>
      </c>
      <c r="AR249" s="315">
        <v>-77005</v>
      </c>
      <c r="AS249" s="315">
        <v>53671</v>
      </c>
      <c r="AT249" s="315">
        <v>0</v>
      </c>
      <c r="AU249" s="315">
        <v>-13266</v>
      </c>
      <c r="AV249" s="315">
        <v>391035</v>
      </c>
      <c r="AW249" s="315">
        <v>36690</v>
      </c>
      <c r="AX249" s="315">
        <v>109258</v>
      </c>
      <c r="AY249" s="315">
        <v>51457</v>
      </c>
      <c r="AZ249" s="315">
        <v>18373</v>
      </c>
      <c r="BA249" s="315">
        <v>13128</v>
      </c>
      <c r="BB249" s="315">
        <v>26300</v>
      </c>
      <c r="BC249" s="315">
        <v>106173</v>
      </c>
      <c r="BD249" s="315">
        <v>138914</v>
      </c>
      <c r="BE249" s="315">
        <v>-1018309</v>
      </c>
      <c r="BF249" s="315">
        <v>-1017279</v>
      </c>
      <c r="BG249" s="315">
        <v>-1002246</v>
      </c>
      <c r="BH249" s="315">
        <v>-15033</v>
      </c>
      <c r="BI249" s="315">
        <v>0</v>
      </c>
      <c r="BJ249" s="315">
        <v>-984546</v>
      </c>
      <c r="BK249" s="315">
        <v>-32733</v>
      </c>
      <c r="BL249" s="315">
        <v>-1030</v>
      </c>
      <c r="BM249" s="315">
        <v>0</v>
      </c>
      <c r="BN249" s="315">
        <v>-627274</v>
      </c>
      <c r="BO249" s="315">
        <v>96853</v>
      </c>
      <c r="BP249" s="315">
        <v>20274</v>
      </c>
      <c r="BQ249" s="315">
        <v>20035</v>
      </c>
      <c r="BR249" s="315">
        <v>1177</v>
      </c>
      <c r="BS249" s="315">
        <v>36142</v>
      </c>
      <c r="BT249" s="315">
        <v>1550</v>
      </c>
      <c r="BU249" s="315">
        <v>463</v>
      </c>
      <c r="BV249" s="315">
        <v>695</v>
      </c>
      <c r="BW249" s="315">
        <v>33434</v>
      </c>
      <c r="BX249" s="315">
        <v>-892988</v>
      </c>
      <c r="BY249" s="315">
        <v>91140</v>
      </c>
      <c r="BZ249" s="315">
        <v>93</v>
      </c>
      <c r="CA249" s="315">
        <v>146709</v>
      </c>
      <c r="CB249" s="315">
        <v>-56655</v>
      </c>
      <c r="CC249" s="315">
        <v>-56655</v>
      </c>
      <c r="CD249" s="315">
        <v>0</v>
      </c>
      <c r="CE249" s="315">
        <v>90054</v>
      </c>
      <c r="CF249" s="315">
        <v>129769</v>
      </c>
      <c r="CG249" s="315">
        <v>10</v>
      </c>
      <c r="CH249" s="315">
        <v>-39725</v>
      </c>
      <c r="CI249" s="315">
        <v>15011695</v>
      </c>
      <c r="CJ249" s="315">
        <v>886769</v>
      </c>
      <c r="CK249" s="315">
        <v>14124926</v>
      </c>
      <c r="CL249" s="315">
        <v>8250079</v>
      </c>
      <c r="CM249" s="315">
        <v>5405386</v>
      </c>
      <c r="CN249" s="315">
        <v>469461</v>
      </c>
      <c r="CO249" s="315">
        <v>0</v>
      </c>
      <c r="CP249" s="315">
        <v>0</v>
      </c>
      <c r="CQ249" s="315">
        <v>469461</v>
      </c>
      <c r="CR249" s="315">
        <v>-1409827</v>
      </c>
      <c r="CS249" s="315">
        <v>-123264</v>
      </c>
      <c r="CT249" s="315">
        <v>-2293</v>
      </c>
      <c r="CU249" s="315">
        <v>-32422</v>
      </c>
      <c r="CV249" s="315">
        <v>-218</v>
      </c>
      <c r="CW249" s="315">
        <v>-88331</v>
      </c>
      <c r="CX249" s="315">
        <v>-1286563</v>
      </c>
      <c r="CY249" s="315">
        <v>-39</v>
      </c>
      <c r="CZ249" s="315">
        <v>-1281101</v>
      </c>
      <c r="DA249" s="315">
        <v>-5423</v>
      </c>
      <c r="DB249" s="315">
        <v>0</v>
      </c>
      <c r="DC249" s="315">
        <v>0</v>
      </c>
      <c r="DD249" s="315">
        <v>13601868</v>
      </c>
      <c r="DE249" s="315">
        <v>11221049</v>
      </c>
      <c r="DF249" s="315">
        <v>2380819</v>
      </c>
      <c r="DG249" s="315">
        <v>2325436</v>
      </c>
      <c r="DH249" s="315">
        <v>55383</v>
      </c>
      <c r="DI249" s="315">
        <v>1573125</v>
      </c>
      <c r="DJ249" s="315">
        <v>96445</v>
      </c>
      <c r="DK249" s="315">
        <v>21723</v>
      </c>
      <c r="DL249" s="315">
        <v>2957</v>
      </c>
      <c r="DM249" s="315">
        <v>803949</v>
      </c>
      <c r="DN249" s="315">
        <v>516877</v>
      </c>
      <c r="DO249" s="315">
        <v>131080</v>
      </c>
      <c r="DP249" s="315"/>
      <c r="DQ249" s="315">
        <v>0</v>
      </c>
      <c r="DR249" s="315">
        <v>94</v>
      </c>
      <c r="DS249" s="315">
        <v>-103783</v>
      </c>
      <c r="DT249" s="315">
        <v>-4271</v>
      </c>
      <c r="DU249" s="315">
        <v>-181</v>
      </c>
      <c r="DV249" s="315">
        <v>-14</v>
      </c>
      <c r="DW249" s="315">
        <v>-99070</v>
      </c>
      <c r="DX249" s="315">
        <v>-3156</v>
      </c>
      <c r="DY249" s="315">
        <v>-458</v>
      </c>
      <c r="DZ249" s="315">
        <v>-95456</v>
      </c>
      <c r="EA249" s="315">
        <v>-229</v>
      </c>
      <c r="EB249" s="315">
        <v>-18</v>
      </c>
      <c r="EC249" s="315"/>
      <c r="ED249" s="315">
        <v>0</v>
      </c>
      <c r="EE249" s="315">
        <v>0</v>
      </c>
      <c r="EF249" s="315">
        <v>1469342</v>
      </c>
      <c r="EG249" s="315">
        <v>451960</v>
      </c>
      <c r="EH249" s="315">
        <v>1017382</v>
      </c>
      <c r="EI249" s="315">
        <v>1000041</v>
      </c>
      <c r="EJ249" s="315">
        <v>17341</v>
      </c>
      <c r="EK249" s="315">
        <v>92174</v>
      </c>
      <c r="EL249" s="315">
        <v>54418</v>
      </c>
      <c r="EM249" s="315">
        <v>37756</v>
      </c>
      <c r="EN249" s="315">
        <v>37017</v>
      </c>
      <c r="EO249" s="315">
        <v>739</v>
      </c>
      <c r="EP249" s="315">
        <v>21542</v>
      </c>
      <c r="EQ249" s="315">
        <v>7372</v>
      </c>
      <c r="ER249" s="315">
        <v>14170</v>
      </c>
      <c r="ES249" s="315">
        <v>13892</v>
      </c>
      <c r="ET249" s="315">
        <v>278</v>
      </c>
      <c r="EU249" s="315">
        <v>2943</v>
      </c>
      <c r="EV249" s="315">
        <v>1986</v>
      </c>
      <c r="EW249" s="315">
        <v>957</v>
      </c>
      <c r="EX249" s="315">
        <v>940</v>
      </c>
      <c r="EY249" s="315">
        <v>17</v>
      </c>
      <c r="EZ249" s="315">
        <v>704879</v>
      </c>
      <c r="FA249" s="315">
        <v>167326</v>
      </c>
      <c r="FB249" s="315">
        <v>537553</v>
      </c>
      <c r="FC249" s="315">
        <v>527768</v>
      </c>
      <c r="FD249" s="315">
        <v>9785</v>
      </c>
      <c r="FE249" s="315">
        <v>516648</v>
      </c>
      <c r="FF249" s="315">
        <v>208241</v>
      </c>
      <c r="FG249" s="315">
        <v>308407</v>
      </c>
      <c r="FH249" s="315">
        <v>301885</v>
      </c>
      <c r="FI249" s="315">
        <v>6522</v>
      </c>
      <c r="FJ249" s="315">
        <v>131062</v>
      </c>
      <c r="FK249" s="315">
        <v>12523</v>
      </c>
      <c r="FL249" s="315">
        <v>118539</v>
      </c>
      <c r="FM249" s="315">
        <v>118539</v>
      </c>
      <c r="FN249" s="315"/>
      <c r="FO249" s="315"/>
      <c r="FP249" s="315">
        <v>0</v>
      </c>
      <c r="FQ249" s="315">
        <v>94</v>
      </c>
      <c r="FR249" s="315">
        <v>869413</v>
      </c>
      <c r="FS249" s="315">
        <v>-45398</v>
      </c>
      <c r="FT249" s="315">
        <v>824015</v>
      </c>
      <c r="FU249" s="315">
        <v>377621</v>
      </c>
      <c r="FV249" s="315">
        <v>375816</v>
      </c>
      <c r="FW249" s="315">
        <v>1805</v>
      </c>
      <c r="FX249" s="315">
        <v>133642</v>
      </c>
      <c r="FY249" s="315">
        <v>123667</v>
      </c>
      <c r="FZ249" s="315"/>
      <c r="GA249" s="315"/>
      <c r="GB249" s="315">
        <v>43</v>
      </c>
      <c r="GC249" s="315">
        <v>74571</v>
      </c>
      <c r="GD249" s="315">
        <v>-26700</v>
      </c>
      <c r="GE249" s="315">
        <v>0</v>
      </c>
      <c r="GF249" s="315">
        <v>101271</v>
      </c>
      <c r="GG249" s="315">
        <v>114471</v>
      </c>
      <c r="GH249" s="315">
        <v>17140</v>
      </c>
      <c r="GI249" s="315">
        <v>619</v>
      </c>
      <c r="GJ249" s="315">
        <v>96712</v>
      </c>
      <c r="GL249"/>
      <c r="GM249"/>
      <c r="GN249"/>
      <c r="GO249"/>
    </row>
    <row r="250" spans="1:197">
      <c r="A250" s="98" t="s">
        <v>33</v>
      </c>
      <c r="B250" s="98">
        <v>3</v>
      </c>
      <c r="C250" s="98" t="s">
        <v>219</v>
      </c>
      <c r="D250" s="315">
        <v>12175319</v>
      </c>
      <c r="E250" s="315">
        <v>-2685537</v>
      </c>
      <c r="F250" s="315">
        <v>-12737</v>
      </c>
      <c r="G250" s="315">
        <v>9477045</v>
      </c>
      <c r="H250" s="315">
        <v>3295883</v>
      </c>
      <c r="I250" s="315">
        <v>6181162</v>
      </c>
      <c r="J250" s="315">
        <v>6047544</v>
      </c>
      <c r="K250" s="315">
        <v>133618</v>
      </c>
      <c r="L250" s="315">
        <v>5019071</v>
      </c>
      <c r="M250" s="315">
        <v>4533174</v>
      </c>
      <c r="N250" s="315">
        <v>113419</v>
      </c>
      <c r="O250" s="315">
        <v>0</v>
      </c>
      <c r="P250" s="315">
        <v>113419</v>
      </c>
      <c r="Q250" s="315">
        <v>49552</v>
      </c>
      <c r="R250" s="315">
        <v>322926</v>
      </c>
      <c r="S250" s="315">
        <v>-174783</v>
      </c>
      <c r="T250" s="315">
        <v>-159745</v>
      </c>
      <c r="U250" s="315">
        <v>-63084</v>
      </c>
      <c r="V250" s="315">
        <v>-409</v>
      </c>
      <c r="W250" s="315">
        <v>0</v>
      </c>
      <c r="X250" s="315">
        <v>-69328</v>
      </c>
      <c r="Y250" s="315">
        <v>-26924</v>
      </c>
      <c r="Z250" s="315">
        <v>-9371</v>
      </c>
      <c r="AA250" s="315">
        <v>-5667</v>
      </c>
      <c r="AB250" s="315">
        <v>0</v>
      </c>
      <c r="AC250" s="315">
        <v>-12737</v>
      </c>
      <c r="AD250" s="315">
        <v>4831551</v>
      </c>
      <c r="AE250" s="315">
        <v>2048553</v>
      </c>
      <c r="AF250" s="315">
        <v>2782998</v>
      </c>
      <c r="AG250" s="315">
        <v>2722070</v>
      </c>
      <c r="AH250" s="315">
        <v>60928</v>
      </c>
      <c r="AI250" s="315">
        <v>4528533</v>
      </c>
      <c r="AJ250" s="315">
        <v>1766677</v>
      </c>
      <c r="AK250" s="315">
        <v>2686243</v>
      </c>
      <c r="AL250" s="315">
        <v>9012</v>
      </c>
      <c r="AM250" s="315">
        <v>189486</v>
      </c>
      <c r="AN250" s="315">
        <v>41578</v>
      </c>
      <c r="AO250" s="315">
        <v>61899</v>
      </c>
      <c r="AP250" s="315">
        <v>18601</v>
      </c>
      <c r="AQ250" s="315">
        <v>10336</v>
      </c>
      <c r="AR250" s="315">
        <v>-46326</v>
      </c>
      <c r="AS250" s="315">
        <v>40181</v>
      </c>
      <c r="AT250" s="315">
        <v>0</v>
      </c>
      <c r="AU250" s="315">
        <v>-12737</v>
      </c>
      <c r="AV250" s="315">
        <v>624531</v>
      </c>
      <c r="AW250" s="315">
        <v>20396</v>
      </c>
      <c r="AX250" s="315">
        <v>48166</v>
      </c>
      <c r="AY250" s="315">
        <v>11075</v>
      </c>
      <c r="AZ250" s="315">
        <v>2100</v>
      </c>
      <c r="BA250" s="315">
        <v>6906</v>
      </c>
      <c r="BB250" s="315">
        <v>28085</v>
      </c>
      <c r="BC250" s="315">
        <v>439845</v>
      </c>
      <c r="BD250" s="315">
        <v>116124</v>
      </c>
      <c r="BE250" s="315">
        <v>-684683</v>
      </c>
      <c r="BF250" s="315">
        <v>-683949</v>
      </c>
      <c r="BG250" s="315">
        <v>-630846</v>
      </c>
      <c r="BH250" s="315">
        <v>-53103</v>
      </c>
      <c r="BI250" s="315">
        <v>0</v>
      </c>
      <c r="BJ250" s="315">
        <v>-616005</v>
      </c>
      <c r="BK250" s="315">
        <v>-67944</v>
      </c>
      <c r="BL250" s="315">
        <v>-734</v>
      </c>
      <c r="BM250" s="315">
        <v>0</v>
      </c>
      <c r="BN250" s="315">
        <v>-60152</v>
      </c>
      <c r="BO250" s="315">
        <v>74812</v>
      </c>
      <c r="BP250" s="315">
        <v>14180</v>
      </c>
      <c r="BQ250" s="315">
        <v>26319</v>
      </c>
      <c r="BR250" s="315">
        <v>325</v>
      </c>
      <c r="BS250" s="315">
        <v>20038</v>
      </c>
      <c r="BT250" s="315">
        <v>921</v>
      </c>
      <c r="BU250" s="315">
        <v>604</v>
      </c>
      <c r="BV250" s="315">
        <v>2011</v>
      </c>
      <c r="BW250" s="315">
        <v>16502</v>
      </c>
      <c r="BX250" s="315">
        <v>-582680</v>
      </c>
      <c r="BY250" s="315">
        <v>386742</v>
      </c>
      <c r="BZ250" s="315">
        <v>112</v>
      </c>
      <c r="CA250" s="315">
        <v>85950</v>
      </c>
      <c r="CB250" s="315">
        <v>-142405</v>
      </c>
      <c r="CC250" s="315">
        <v>-142405</v>
      </c>
      <c r="CD250" s="315">
        <v>0</v>
      </c>
      <c r="CE250" s="315">
        <v>-56455</v>
      </c>
      <c r="CF250" s="315">
        <v>70027</v>
      </c>
      <c r="CG250" s="315">
        <v>20</v>
      </c>
      <c r="CH250" s="315">
        <v>-126502</v>
      </c>
      <c r="CI250" s="315">
        <v>4540728</v>
      </c>
      <c r="CJ250" s="315">
        <v>1057551</v>
      </c>
      <c r="CK250" s="315">
        <v>3483177</v>
      </c>
      <c r="CL250" s="315">
        <v>2978208</v>
      </c>
      <c r="CM250" s="315">
        <v>64807</v>
      </c>
      <c r="CN250" s="315">
        <v>440162</v>
      </c>
      <c r="CO250" s="315">
        <v>1124</v>
      </c>
      <c r="CP250" s="315">
        <v>190</v>
      </c>
      <c r="CQ250" s="315">
        <v>438848</v>
      </c>
      <c r="CR250" s="315">
        <v>-1537822</v>
      </c>
      <c r="CS250" s="315">
        <v>-164234</v>
      </c>
      <c r="CT250" s="315">
        <v>-8948</v>
      </c>
      <c r="CU250" s="315">
        <v>-39273</v>
      </c>
      <c r="CV250" s="315">
        <v>-189</v>
      </c>
      <c r="CW250" s="315">
        <v>-115824</v>
      </c>
      <c r="CX250" s="315">
        <v>-1220858</v>
      </c>
      <c r="CY250" s="315">
        <v>-495558</v>
      </c>
      <c r="CZ250" s="315">
        <v>-718608</v>
      </c>
      <c r="DA250" s="315">
        <v>-6692</v>
      </c>
      <c r="DB250" s="315">
        <v>-2304</v>
      </c>
      <c r="DC250" s="315">
        <v>-150426</v>
      </c>
      <c r="DD250" s="315">
        <v>3002906</v>
      </c>
      <c r="DE250" s="315">
        <v>622168</v>
      </c>
      <c r="DF250" s="315">
        <v>2380738</v>
      </c>
      <c r="DG250" s="315">
        <v>2325436</v>
      </c>
      <c r="DH250" s="315">
        <v>55302</v>
      </c>
      <c r="DI250" s="315">
        <v>1410655</v>
      </c>
      <c r="DJ250" s="315">
        <v>84529</v>
      </c>
      <c r="DK250" s="315">
        <v>23639</v>
      </c>
      <c r="DL250" s="315">
        <v>1741</v>
      </c>
      <c r="DM250" s="315">
        <v>819116</v>
      </c>
      <c r="DN250" s="315">
        <v>353760</v>
      </c>
      <c r="DO250" s="315">
        <v>126130</v>
      </c>
      <c r="DP250" s="315"/>
      <c r="DQ250" s="315">
        <v>1696</v>
      </c>
      <c r="DR250" s="315">
        <v>44</v>
      </c>
      <c r="DS250" s="315">
        <v>-102162</v>
      </c>
      <c r="DT250" s="315">
        <v>-698</v>
      </c>
      <c r="DU250" s="315">
        <v>-237</v>
      </c>
      <c r="DV250" s="315">
        <v>-12</v>
      </c>
      <c r="DW250" s="315">
        <v>-93062</v>
      </c>
      <c r="DX250" s="315">
        <v>-1507</v>
      </c>
      <c r="DY250" s="315">
        <v>-203</v>
      </c>
      <c r="DZ250" s="315">
        <v>-91352</v>
      </c>
      <c r="EA250" s="315">
        <v>-7875</v>
      </c>
      <c r="EB250" s="315">
        <v>-11</v>
      </c>
      <c r="EC250" s="315"/>
      <c r="ED250" s="315">
        <v>0</v>
      </c>
      <c r="EE250" s="315">
        <v>-267</v>
      </c>
      <c r="EF250" s="315">
        <v>1308493</v>
      </c>
      <c r="EG250" s="315">
        <v>291067</v>
      </c>
      <c r="EH250" s="315">
        <v>1017426</v>
      </c>
      <c r="EI250" s="315">
        <v>1000038</v>
      </c>
      <c r="EJ250" s="315">
        <v>17388</v>
      </c>
      <c r="EK250" s="315">
        <v>83831</v>
      </c>
      <c r="EL250" s="315">
        <v>46072</v>
      </c>
      <c r="EM250" s="315">
        <v>37759</v>
      </c>
      <c r="EN250" s="315">
        <v>37016</v>
      </c>
      <c r="EO250" s="315">
        <v>743</v>
      </c>
      <c r="EP250" s="315">
        <v>23402</v>
      </c>
      <c r="EQ250" s="315">
        <v>9234</v>
      </c>
      <c r="ER250" s="315">
        <v>14168</v>
      </c>
      <c r="ES250" s="315">
        <v>13890</v>
      </c>
      <c r="ET250" s="315">
        <v>278</v>
      </c>
      <c r="EU250" s="315">
        <v>1729</v>
      </c>
      <c r="EV250" s="315">
        <v>773</v>
      </c>
      <c r="EW250" s="315">
        <v>956</v>
      </c>
      <c r="EX250" s="315">
        <v>939</v>
      </c>
      <c r="EY250" s="315">
        <v>17</v>
      </c>
      <c r="EZ250" s="315">
        <v>726054</v>
      </c>
      <c r="FA250" s="315">
        <v>188498</v>
      </c>
      <c r="FB250" s="315">
        <v>537556</v>
      </c>
      <c r="FC250" s="315">
        <v>527768</v>
      </c>
      <c r="FD250" s="315">
        <v>9788</v>
      </c>
      <c r="FE250" s="315">
        <v>345885</v>
      </c>
      <c r="FF250" s="315">
        <v>37439</v>
      </c>
      <c r="FG250" s="315">
        <v>308446</v>
      </c>
      <c r="FH250" s="315">
        <v>301884</v>
      </c>
      <c r="FI250" s="315">
        <v>6562</v>
      </c>
      <c r="FJ250" s="315">
        <v>126119</v>
      </c>
      <c r="FK250" s="315">
        <v>7578</v>
      </c>
      <c r="FL250" s="315">
        <v>118541</v>
      </c>
      <c r="FM250" s="315">
        <v>118541</v>
      </c>
      <c r="FN250" s="315"/>
      <c r="FO250" s="315"/>
      <c r="FP250" s="315">
        <v>1696</v>
      </c>
      <c r="FQ250" s="315">
        <v>-223</v>
      </c>
      <c r="FR250" s="315">
        <v>494384</v>
      </c>
      <c r="FS250" s="315">
        <v>-43682</v>
      </c>
      <c r="FT250" s="315">
        <v>450702</v>
      </c>
      <c r="FU250" s="315">
        <v>5819</v>
      </c>
      <c r="FV250" s="315">
        <v>5374</v>
      </c>
      <c r="FW250" s="315">
        <v>445</v>
      </c>
      <c r="FX250" s="315">
        <v>144319</v>
      </c>
      <c r="FY250" s="315">
        <v>106721</v>
      </c>
      <c r="FZ250" s="315"/>
      <c r="GA250" s="315"/>
      <c r="GB250" s="315">
        <v>17724</v>
      </c>
      <c r="GC250" s="315">
        <v>62744</v>
      </c>
      <c r="GD250" s="315">
        <v>13271</v>
      </c>
      <c r="GE250" s="315">
        <v>0</v>
      </c>
      <c r="GF250" s="315">
        <v>49473</v>
      </c>
      <c r="GG250" s="315">
        <v>113375</v>
      </c>
      <c r="GH250" s="315">
        <v>15624</v>
      </c>
      <c r="GI250" s="315">
        <v>6625</v>
      </c>
      <c r="GJ250" s="315">
        <v>91126</v>
      </c>
      <c r="GL250"/>
      <c r="GM250"/>
      <c r="GN250"/>
      <c r="GO250"/>
    </row>
    <row r="251" spans="1:197">
      <c r="A251" s="98" t="s">
        <v>33</v>
      </c>
      <c r="B251" s="98">
        <v>4</v>
      </c>
      <c r="C251" s="98" t="s">
        <v>220</v>
      </c>
      <c r="D251" s="315">
        <v>28049977</v>
      </c>
      <c r="E251" s="315">
        <v>-4251407</v>
      </c>
      <c r="F251" s="315">
        <v>-101634</v>
      </c>
      <c r="G251" s="315">
        <v>23696936</v>
      </c>
      <c r="H251" s="315">
        <v>17515757</v>
      </c>
      <c r="I251" s="315">
        <v>6181179</v>
      </c>
      <c r="J251" s="315">
        <v>6047546</v>
      </c>
      <c r="K251" s="315">
        <v>133633</v>
      </c>
      <c r="L251" s="315">
        <v>9240541</v>
      </c>
      <c r="M251" s="315">
        <v>7707116</v>
      </c>
      <c r="N251" s="315">
        <v>156051</v>
      </c>
      <c r="O251" s="315">
        <v>0</v>
      </c>
      <c r="P251" s="315">
        <v>156051</v>
      </c>
      <c r="Q251" s="315">
        <v>77234</v>
      </c>
      <c r="R251" s="315">
        <v>1300140</v>
      </c>
      <c r="S251" s="315">
        <v>-1653597</v>
      </c>
      <c r="T251" s="315">
        <v>-1615815</v>
      </c>
      <c r="U251" s="315">
        <v>-64850</v>
      </c>
      <c r="V251" s="315">
        <v>-105</v>
      </c>
      <c r="W251" s="315">
        <v>-1492246</v>
      </c>
      <c r="X251" s="315">
        <v>0</v>
      </c>
      <c r="Y251" s="315">
        <v>-58614</v>
      </c>
      <c r="Z251" s="315">
        <v>-4016</v>
      </c>
      <c r="AA251" s="315">
        <v>-32849</v>
      </c>
      <c r="AB251" s="315">
        <v>-917</v>
      </c>
      <c r="AC251" s="315">
        <v>-101634</v>
      </c>
      <c r="AD251" s="315">
        <v>7485310</v>
      </c>
      <c r="AE251" s="315">
        <v>4702306</v>
      </c>
      <c r="AF251" s="315">
        <v>2783004</v>
      </c>
      <c r="AG251" s="315">
        <v>2722070</v>
      </c>
      <c r="AH251" s="315">
        <v>60934</v>
      </c>
      <c r="AI251" s="315">
        <v>7703559</v>
      </c>
      <c r="AJ251" s="315">
        <v>1419966</v>
      </c>
      <c r="AK251" s="315">
        <v>2862951</v>
      </c>
      <c r="AL251" s="315">
        <v>3355018</v>
      </c>
      <c r="AM251" s="315">
        <v>323221</v>
      </c>
      <c r="AN251" s="315">
        <v>343729</v>
      </c>
      <c r="AO251" s="315">
        <v>99683</v>
      </c>
      <c r="AP251" s="315">
        <v>7517</v>
      </c>
      <c r="AQ251" s="315">
        <v>495781</v>
      </c>
      <c r="AR251" s="315">
        <v>-1459764</v>
      </c>
      <c r="AS251" s="315">
        <v>73218</v>
      </c>
      <c r="AT251" s="315">
        <v>0</v>
      </c>
      <c r="AU251" s="315">
        <v>-101634</v>
      </c>
      <c r="AV251" s="315">
        <v>5883441</v>
      </c>
      <c r="AW251" s="315">
        <v>5333458</v>
      </c>
      <c r="AX251" s="315">
        <v>93483</v>
      </c>
      <c r="AY251" s="315">
        <v>31411</v>
      </c>
      <c r="AZ251" s="315">
        <v>29400</v>
      </c>
      <c r="BA251" s="315">
        <v>10760</v>
      </c>
      <c r="BB251" s="315">
        <v>21912</v>
      </c>
      <c r="BC251" s="315">
        <v>132687</v>
      </c>
      <c r="BD251" s="315">
        <v>323813</v>
      </c>
      <c r="BE251" s="315">
        <v>-162842</v>
      </c>
      <c r="BF251" s="315">
        <v>-157963</v>
      </c>
      <c r="BG251" s="315">
        <v>-107037</v>
      </c>
      <c r="BH251" s="315">
        <v>-50926</v>
      </c>
      <c r="BI251" s="315">
        <v>0</v>
      </c>
      <c r="BJ251" s="315">
        <v>-72923</v>
      </c>
      <c r="BK251" s="315">
        <v>-85040</v>
      </c>
      <c r="BL251" s="315">
        <v>-4879</v>
      </c>
      <c r="BM251" s="315">
        <v>0</v>
      </c>
      <c r="BN251" s="315">
        <v>5720599</v>
      </c>
      <c r="BO251" s="315">
        <v>137454</v>
      </c>
      <c r="BP251" s="315">
        <v>143363</v>
      </c>
      <c r="BQ251" s="315">
        <v>42437</v>
      </c>
      <c r="BR251" s="315">
        <v>-14</v>
      </c>
      <c r="BS251" s="315">
        <v>5328898</v>
      </c>
      <c r="BT251" s="315">
        <v>2142028</v>
      </c>
      <c r="BU251" s="315">
        <v>2672652</v>
      </c>
      <c r="BV251" s="315">
        <v>503597</v>
      </c>
      <c r="BW251" s="315">
        <v>10621</v>
      </c>
      <c r="BX251" s="315">
        <v>-13554</v>
      </c>
      <c r="BY251" s="315">
        <v>81761</v>
      </c>
      <c r="BZ251" s="315">
        <v>254</v>
      </c>
      <c r="CA251" s="315">
        <v>156007</v>
      </c>
      <c r="CB251" s="315">
        <v>-88741</v>
      </c>
      <c r="CC251" s="315">
        <v>-88741</v>
      </c>
      <c r="CD251" s="315">
        <v>0</v>
      </c>
      <c r="CE251" s="315">
        <v>67266</v>
      </c>
      <c r="CF251" s="315">
        <v>107271</v>
      </c>
      <c r="CG251" s="315">
        <v>15954</v>
      </c>
      <c r="CH251" s="315">
        <v>-55959</v>
      </c>
      <c r="CI251" s="315">
        <v>10114597</v>
      </c>
      <c r="CJ251" s="315">
        <v>1067441</v>
      </c>
      <c r="CK251" s="315">
        <v>9047156</v>
      </c>
      <c r="CL251" s="315">
        <v>3583258</v>
      </c>
      <c r="CM251" s="315">
        <v>4933148</v>
      </c>
      <c r="CN251" s="315">
        <v>530750</v>
      </c>
      <c r="CO251" s="315">
        <v>18369</v>
      </c>
      <c r="CP251" s="315">
        <v>0</v>
      </c>
      <c r="CQ251" s="315">
        <v>512381</v>
      </c>
      <c r="CR251" s="315">
        <v>-2136976</v>
      </c>
      <c r="CS251" s="315">
        <v>-726739</v>
      </c>
      <c r="CT251" s="315">
        <v>-619820</v>
      </c>
      <c r="CU251" s="315">
        <v>-19362</v>
      </c>
      <c r="CV251" s="315">
        <v>-235</v>
      </c>
      <c r="CW251" s="315">
        <v>-87322</v>
      </c>
      <c r="CX251" s="315">
        <v>-1101800</v>
      </c>
      <c r="CY251" s="315">
        <v>-589209</v>
      </c>
      <c r="CZ251" s="315">
        <v>-508855</v>
      </c>
      <c r="DA251" s="315">
        <v>-3736</v>
      </c>
      <c r="DB251" s="315">
        <v>-308437</v>
      </c>
      <c r="DC251" s="315">
        <v>0</v>
      </c>
      <c r="DD251" s="315">
        <v>7977621</v>
      </c>
      <c r="DE251" s="315">
        <v>5596872</v>
      </c>
      <c r="DF251" s="315">
        <v>2380749</v>
      </c>
      <c r="DG251" s="315">
        <v>2325436</v>
      </c>
      <c r="DH251" s="315">
        <v>55313</v>
      </c>
      <c r="DI251" s="315">
        <v>1917780</v>
      </c>
      <c r="DJ251" s="315">
        <v>39893</v>
      </c>
      <c r="DK251" s="315">
        <v>19627</v>
      </c>
      <c r="DL251" s="315">
        <v>1041</v>
      </c>
      <c r="DM251" s="315">
        <v>1038249</v>
      </c>
      <c r="DN251" s="315">
        <v>632776</v>
      </c>
      <c r="DO251" s="315">
        <v>121912</v>
      </c>
      <c r="DP251" s="315"/>
      <c r="DQ251" s="315">
        <v>64243</v>
      </c>
      <c r="DR251" s="315">
        <v>39</v>
      </c>
      <c r="DS251" s="315">
        <v>-146751</v>
      </c>
      <c r="DT251" s="315">
        <v>-27518</v>
      </c>
      <c r="DU251" s="315">
        <v>-9365</v>
      </c>
      <c r="DV251" s="315">
        <v>-4</v>
      </c>
      <c r="DW251" s="315">
        <v>-86786</v>
      </c>
      <c r="DX251" s="315">
        <v>-2366</v>
      </c>
      <c r="DY251" s="315">
        <v>-165</v>
      </c>
      <c r="DZ251" s="315">
        <v>-84255</v>
      </c>
      <c r="EA251" s="315">
        <v>-23026</v>
      </c>
      <c r="EB251" s="315">
        <v>-14</v>
      </c>
      <c r="EC251" s="315"/>
      <c r="ED251" s="315">
        <v>0</v>
      </c>
      <c r="EE251" s="315">
        <v>-38</v>
      </c>
      <c r="EF251" s="315">
        <v>1771029</v>
      </c>
      <c r="EG251" s="315">
        <v>753603</v>
      </c>
      <c r="EH251" s="315">
        <v>1017426</v>
      </c>
      <c r="EI251" s="315">
        <v>1000040</v>
      </c>
      <c r="EJ251" s="315">
        <v>17386</v>
      </c>
      <c r="EK251" s="315">
        <v>12375</v>
      </c>
      <c r="EL251" s="315">
        <v>-25386</v>
      </c>
      <c r="EM251" s="315">
        <v>37761</v>
      </c>
      <c r="EN251" s="315">
        <v>37017</v>
      </c>
      <c r="EO251" s="315">
        <v>744</v>
      </c>
      <c r="EP251" s="315">
        <v>10262</v>
      </c>
      <c r="EQ251" s="315">
        <v>-3908</v>
      </c>
      <c r="ER251" s="315">
        <v>14170</v>
      </c>
      <c r="ES251" s="315">
        <v>13892</v>
      </c>
      <c r="ET251" s="315">
        <v>278</v>
      </c>
      <c r="EU251" s="315">
        <v>1037</v>
      </c>
      <c r="EV251" s="315">
        <v>83</v>
      </c>
      <c r="EW251" s="315">
        <v>954</v>
      </c>
      <c r="EX251" s="315">
        <v>939</v>
      </c>
      <c r="EY251" s="315">
        <v>15</v>
      </c>
      <c r="EZ251" s="315">
        <v>951463</v>
      </c>
      <c r="FA251" s="315">
        <v>413905</v>
      </c>
      <c r="FB251" s="315">
        <v>537558</v>
      </c>
      <c r="FC251" s="315">
        <v>527769</v>
      </c>
      <c r="FD251" s="315">
        <v>9789</v>
      </c>
      <c r="FE251" s="315">
        <v>609750</v>
      </c>
      <c r="FF251" s="315">
        <v>301306</v>
      </c>
      <c r="FG251" s="315">
        <v>308444</v>
      </c>
      <c r="FH251" s="315">
        <v>301884</v>
      </c>
      <c r="FI251" s="315">
        <v>6560</v>
      </c>
      <c r="FJ251" s="315">
        <v>121898</v>
      </c>
      <c r="FK251" s="315">
        <v>3359</v>
      </c>
      <c r="FL251" s="315">
        <v>118539</v>
      </c>
      <c r="FM251" s="315">
        <v>118539</v>
      </c>
      <c r="FN251" s="315"/>
      <c r="FO251" s="315"/>
      <c r="FP251" s="315">
        <v>64243</v>
      </c>
      <c r="FQ251" s="315">
        <v>1</v>
      </c>
      <c r="FR251" s="315">
        <v>737611</v>
      </c>
      <c r="FS251" s="315">
        <v>-62500</v>
      </c>
      <c r="FT251" s="315">
        <v>675111</v>
      </c>
      <c r="FU251" s="315">
        <v>-5476</v>
      </c>
      <c r="FV251" s="315">
        <v>-6039</v>
      </c>
      <c r="FW251" s="315">
        <v>563</v>
      </c>
      <c r="FX251" s="315">
        <v>153795</v>
      </c>
      <c r="FY251" s="315">
        <v>117911</v>
      </c>
      <c r="FZ251" s="315"/>
      <c r="GA251" s="315"/>
      <c r="GB251" s="315">
        <v>9</v>
      </c>
      <c r="GC251" s="315">
        <v>297947</v>
      </c>
      <c r="GD251" s="315">
        <v>250135</v>
      </c>
      <c r="GE251" s="315">
        <v>0</v>
      </c>
      <c r="GF251" s="315">
        <v>47812</v>
      </c>
      <c r="GG251" s="315">
        <v>110925</v>
      </c>
      <c r="GH251" s="315">
        <v>2343</v>
      </c>
      <c r="GI251" s="315">
        <v>283</v>
      </c>
      <c r="GJ251" s="315">
        <v>108299</v>
      </c>
      <c r="GL251"/>
      <c r="GM251"/>
      <c r="GN251"/>
      <c r="GO251"/>
    </row>
    <row r="252" spans="1:197">
      <c r="A252" s="98" t="s">
        <v>33</v>
      </c>
      <c r="B252" s="98">
        <v>5</v>
      </c>
      <c r="C252" s="98" t="s">
        <v>221</v>
      </c>
      <c r="D252" s="315">
        <v>12219121</v>
      </c>
      <c r="E252" s="315">
        <v>-4946531</v>
      </c>
      <c r="F252" s="315">
        <v>-13266</v>
      </c>
      <c r="G252" s="315">
        <v>7259324</v>
      </c>
      <c r="H252" s="315">
        <v>1077829</v>
      </c>
      <c r="I252" s="315">
        <v>6181495</v>
      </c>
      <c r="J252" s="315">
        <v>6047546</v>
      </c>
      <c r="K252" s="315">
        <v>133949</v>
      </c>
      <c r="L252" s="315">
        <v>4500300</v>
      </c>
      <c r="M252" s="315">
        <v>3869368</v>
      </c>
      <c r="N252" s="315">
        <v>194577</v>
      </c>
      <c r="O252" s="315">
        <v>100708</v>
      </c>
      <c r="P252" s="315">
        <v>93869</v>
      </c>
      <c r="Q252" s="315">
        <v>64673</v>
      </c>
      <c r="R252" s="315">
        <v>371682</v>
      </c>
      <c r="S252" s="315">
        <v>-2505890</v>
      </c>
      <c r="T252" s="315">
        <v>-2490138</v>
      </c>
      <c r="U252" s="315">
        <v>-65462</v>
      </c>
      <c r="V252" s="315">
        <v>-42</v>
      </c>
      <c r="W252" s="315">
        <v>-2381361</v>
      </c>
      <c r="X252" s="315">
        <v>0</v>
      </c>
      <c r="Y252" s="315">
        <v>-43273</v>
      </c>
      <c r="Z252" s="315">
        <v>-11324</v>
      </c>
      <c r="AA252" s="315">
        <v>-4428</v>
      </c>
      <c r="AB252" s="315">
        <v>0</v>
      </c>
      <c r="AC252" s="315">
        <v>-13266</v>
      </c>
      <c r="AD252" s="315">
        <v>1981144</v>
      </c>
      <c r="AE252" s="315">
        <v>-801855</v>
      </c>
      <c r="AF252" s="315">
        <v>2782999</v>
      </c>
      <c r="AG252" s="315">
        <v>2722069</v>
      </c>
      <c r="AH252" s="315">
        <v>60930</v>
      </c>
      <c r="AI252" s="315">
        <v>3865882</v>
      </c>
      <c r="AJ252" s="315">
        <v>1377418</v>
      </c>
      <c r="AK252" s="315">
        <v>2396453</v>
      </c>
      <c r="AL252" s="315">
        <v>15097</v>
      </c>
      <c r="AM252" s="315">
        <v>205617</v>
      </c>
      <c r="AN252" s="315">
        <v>53042</v>
      </c>
      <c r="AO252" s="315">
        <v>63337</v>
      </c>
      <c r="AP252" s="315">
        <v>20582</v>
      </c>
      <c r="AQ252" s="315">
        <v>28162</v>
      </c>
      <c r="AR252" s="315">
        <v>-2295561</v>
      </c>
      <c r="AS252" s="315">
        <v>53349</v>
      </c>
      <c r="AT252" s="315">
        <v>0</v>
      </c>
      <c r="AU252" s="315">
        <v>-13266</v>
      </c>
      <c r="AV252" s="315">
        <v>320430</v>
      </c>
      <c r="AW252" s="315">
        <v>26365</v>
      </c>
      <c r="AX252" s="315">
        <v>71528</v>
      </c>
      <c r="AY252" s="315">
        <v>13189</v>
      </c>
      <c r="AZ252" s="315">
        <v>11843</v>
      </c>
      <c r="BA252" s="315">
        <v>16021</v>
      </c>
      <c r="BB252" s="315">
        <v>30475</v>
      </c>
      <c r="BC252" s="315">
        <v>96127</v>
      </c>
      <c r="BD252" s="315">
        <v>126410</v>
      </c>
      <c r="BE252" s="315">
        <v>-116366</v>
      </c>
      <c r="BF252" s="315">
        <v>-101196</v>
      </c>
      <c r="BG252" s="315">
        <v>-76721</v>
      </c>
      <c r="BH252" s="315">
        <v>-24475</v>
      </c>
      <c r="BI252" s="315">
        <v>0</v>
      </c>
      <c r="BJ252" s="315">
        <v>-56750</v>
      </c>
      <c r="BK252" s="315">
        <v>-44446</v>
      </c>
      <c r="BL252" s="315">
        <v>-15170</v>
      </c>
      <c r="BM252" s="315">
        <v>0</v>
      </c>
      <c r="BN252" s="315">
        <v>204064</v>
      </c>
      <c r="BO252" s="315">
        <v>82502</v>
      </c>
      <c r="BP252" s="315">
        <v>16497</v>
      </c>
      <c r="BQ252" s="315">
        <v>26911</v>
      </c>
      <c r="BR252" s="315">
        <v>0</v>
      </c>
      <c r="BS252" s="315">
        <v>11514</v>
      </c>
      <c r="BT252" s="315">
        <v>3015</v>
      </c>
      <c r="BU252" s="315">
        <v>3856</v>
      </c>
      <c r="BV252" s="315">
        <v>3065</v>
      </c>
      <c r="BW252" s="315">
        <v>1578</v>
      </c>
      <c r="BX252" s="315">
        <v>-5193</v>
      </c>
      <c r="BY252" s="315">
        <v>71652</v>
      </c>
      <c r="BZ252" s="315">
        <v>181</v>
      </c>
      <c r="CA252" s="315">
        <v>113177</v>
      </c>
      <c r="CB252" s="315">
        <v>-54268</v>
      </c>
      <c r="CC252" s="315">
        <v>-54268</v>
      </c>
      <c r="CD252" s="315">
        <v>0</v>
      </c>
      <c r="CE252" s="315">
        <v>58909</v>
      </c>
      <c r="CF252" s="315">
        <v>96183</v>
      </c>
      <c r="CG252" s="315">
        <v>34</v>
      </c>
      <c r="CH252" s="315">
        <v>-37308</v>
      </c>
      <c r="CI252" s="315">
        <v>4903141</v>
      </c>
      <c r="CJ252" s="315">
        <v>1032996</v>
      </c>
      <c r="CK252" s="315">
        <v>3870145</v>
      </c>
      <c r="CL252" s="315">
        <v>3223993</v>
      </c>
      <c r="CM252" s="315">
        <v>89376</v>
      </c>
      <c r="CN252" s="315">
        <v>556776</v>
      </c>
      <c r="CO252" s="315">
        <v>2862</v>
      </c>
      <c r="CP252" s="315">
        <v>0</v>
      </c>
      <c r="CQ252" s="315">
        <v>553914</v>
      </c>
      <c r="CR252" s="315">
        <v>-2119946</v>
      </c>
      <c r="CS252" s="315">
        <v>-629620</v>
      </c>
      <c r="CT252" s="315">
        <v>-536163</v>
      </c>
      <c r="CU252" s="315">
        <v>-31225</v>
      </c>
      <c r="CV252" s="315">
        <v>-491</v>
      </c>
      <c r="CW252" s="315">
        <v>-61741</v>
      </c>
      <c r="CX252" s="315">
        <v>-1489507</v>
      </c>
      <c r="CY252" s="315">
        <v>-1070396</v>
      </c>
      <c r="CZ252" s="315">
        <v>-415544</v>
      </c>
      <c r="DA252" s="315">
        <v>-3567</v>
      </c>
      <c r="DB252" s="315">
        <v>-819</v>
      </c>
      <c r="DC252" s="315">
        <v>0</v>
      </c>
      <c r="DD252" s="315">
        <v>2783195</v>
      </c>
      <c r="DE252" s="315">
        <v>402131</v>
      </c>
      <c r="DF252" s="315">
        <v>2381064</v>
      </c>
      <c r="DG252" s="315">
        <v>2325435</v>
      </c>
      <c r="DH252" s="315">
        <v>55629</v>
      </c>
      <c r="DI252" s="315">
        <v>1537235</v>
      </c>
      <c r="DJ252" s="315">
        <v>67003</v>
      </c>
      <c r="DK252" s="315">
        <v>20911</v>
      </c>
      <c r="DL252" s="315">
        <v>2380</v>
      </c>
      <c r="DM252" s="315">
        <v>832999</v>
      </c>
      <c r="DN252" s="315">
        <v>504266</v>
      </c>
      <c r="DO252" s="315">
        <v>108435</v>
      </c>
      <c r="DP252" s="315"/>
      <c r="DQ252" s="315">
        <v>1176</v>
      </c>
      <c r="DR252" s="315">
        <v>65</v>
      </c>
      <c r="DS252" s="315">
        <v>-84945</v>
      </c>
      <c r="DT252" s="315">
        <v>-719</v>
      </c>
      <c r="DU252" s="315">
        <v>-121</v>
      </c>
      <c r="DV252" s="315">
        <v>-24</v>
      </c>
      <c r="DW252" s="315">
        <v>-78719</v>
      </c>
      <c r="DX252" s="315">
        <v>-7487</v>
      </c>
      <c r="DY252" s="315">
        <v>-329</v>
      </c>
      <c r="DZ252" s="315">
        <v>-70903</v>
      </c>
      <c r="EA252" s="315">
        <v>-5250</v>
      </c>
      <c r="EB252" s="315">
        <v>-10</v>
      </c>
      <c r="EC252" s="315"/>
      <c r="ED252" s="315">
        <v>-92</v>
      </c>
      <c r="EE252" s="315">
        <v>-10</v>
      </c>
      <c r="EF252" s="315">
        <v>1452290</v>
      </c>
      <c r="EG252" s="315">
        <v>434858</v>
      </c>
      <c r="EH252" s="315">
        <v>1017432</v>
      </c>
      <c r="EI252" s="315">
        <v>1000042</v>
      </c>
      <c r="EJ252" s="315">
        <v>17390</v>
      </c>
      <c r="EK252" s="315">
        <v>66284</v>
      </c>
      <c r="EL252" s="315">
        <v>28524</v>
      </c>
      <c r="EM252" s="315">
        <v>37760</v>
      </c>
      <c r="EN252" s="315">
        <v>37016</v>
      </c>
      <c r="EO252" s="315">
        <v>744</v>
      </c>
      <c r="EP252" s="315">
        <v>20790</v>
      </c>
      <c r="EQ252" s="315">
        <v>6620</v>
      </c>
      <c r="ER252" s="315">
        <v>14170</v>
      </c>
      <c r="ES252" s="315">
        <v>13892</v>
      </c>
      <c r="ET252" s="315">
        <v>278</v>
      </c>
      <c r="EU252" s="315">
        <v>2356</v>
      </c>
      <c r="EV252" s="315">
        <v>1399</v>
      </c>
      <c r="EW252" s="315">
        <v>957</v>
      </c>
      <c r="EX252" s="315">
        <v>940</v>
      </c>
      <c r="EY252" s="315">
        <v>17</v>
      </c>
      <c r="EZ252" s="315">
        <v>754280</v>
      </c>
      <c r="FA252" s="315">
        <v>216722</v>
      </c>
      <c r="FB252" s="315">
        <v>537558</v>
      </c>
      <c r="FC252" s="315">
        <v>527769</v>
      </c>
      <c r="FD252" s="315">
        <v>9789</v>
      </c>
      <c r="FE252" s="315">
        <v>499016</v>
      </c>
      <c r="FF252" s="315">
        <v>190569</v>
      </c>
      <c r="FG252" s="315">
        <v>308447</v>
      </c>
      <c r="FH252" s="315">
        <v>301885</v>
      </c>
      <c r="FI252" s="315">
        <v>6562</v>
      </c>
      <c r="FJ252" s="315">
        <v>108425</v>
      </c>
      <c r="FK252" s="315">
        <v>-10115</v>
      </c>
      <c r="FL252" s="315">
        <v>118540</v>
      </c>
      <c r="FM252" s="315">
        <v>118540</v>
      </c>
      <c r="FN252" s="315"/>
      <c r="FO252" s="315"/>
      <c r="FP252" s="315">
        <v>1084</v>
      </c>
      <c r="FQ252" s="315">
        <v>55</v>
      </c>
      <c r="FR252" s="315">
        <v>844838</v>
      </c>
      <c r="FS252" s="315">
        <v>-65116</v>
      </c>
      <c r="FT252" s="315">
        <v>779722</v>
      </c>
      <c r="FU252" s="315">
        <v>354174</v>
      </c>
      <c r="FV252" s="315">
        <v>335955</v>
      </c>
      <c r="FW252" s="315">
        <v>18219</v>
      </c>
      <c r="FX252" s="315">
        <v>121098</v>
      </c>
      <c r="FY252" s="315">
        <v>114689</v>
      </c>
      <c r="FZ252" s="315"/>
      <c r="GA252" s="315"/>
      <c r="GB252" s="315">
        <v>65</v>
      </c>
      <c r="GC252" s="315">
        <v>85727</v>
      </c>
      <c r="GD252" s="315">
        <v>10359</v>
      </c>
      <c r="GE252" s="315">
        <v>0</v>
      </c>
      <c r="GF252" s="315">
        <v>75368</v>
      </c>
      <c r="GG252" s="315">
        <v>103969</v>
      </c>
      <c r="GH252" s="315">
        <v>12295</v>
      </c>
      <c r="GI252" s="315">
        <v>498</v>
      </c>
      <c r="GJ252" s="315">
        <v>91176</v>
      </c>
      <c r="GL252"/>
      <c r="GM252"/>
      <c r="GN252"/>
      <c r="GO252"/>
    </row>
    <row r="253" spans="1:197">
      <c r="A253" s="98" t="s">
        <v>33</v>
      </c>
      <c r="B253" s="98">
        <v>6</v>
      </c>
      <c r="C253" s="98" t="s">
        <v>222</v>
      </c>
      <c r="D253" s="315">
        <v>13598844</v>
      </c>
      <c r="E253" s="315">
        <v>-5917415</v>
      </c>
      <c r="F253" s="315">
        <v>-12615</v>
      </c>
      <c r="G253" s="315">
        <v>7668814</v>
      </c>
      <c r="H253" s="315">
        <v>1487356</v>
      </c>
      <c r="I253" s="315">
        <v>6181458</v>
      </c>
      <c r="J253" s="315">
        <v>6047545</v>
      </c>
      <c r="K253" s="315">
        <v>133913</v>
      </c>
      <c r="L253" s="315">
        <v>5266115</v>
      </c>
      <c r="M253" s="315">
        <v>4130661</v>
      </c>
      <c r="N253" s="315">
        <v>541630</v>
      </c>
      <c r="O253" s="315">
        <v>447262</v>
      </c>
      <c r="P253" s="315">
        <v>94368</v>
      </c>
      <c r="Q253" s="315">
        <v>103311</v>
      </c>
      <c r="R253" s="315">
        <v>490513</v>
      </c>
      <c r="S253" s="315">
        <v>-2753205</v>
      </c>
      <c r="T253" s="315">
        <v>-2719374</v>
      </c>
      <c r="U253" s="315">
        <v>-79634</v>
      </c>
      <c r="V253" s="315">
        <v>-17</v>
      </c>
      <c r="W253" s="315">
        <v>-2599175</v>
      </c>
      <c r="X253" s="315">
        <v>0</v>
      </c>
      <c r="Y253" s="315">
        <v>-40548</v>
      </c>
      <c r="Z253" s="315">
        <v>-24592</v>
      </c>
      <c r="AA253" s="315">
        <v>-5895</v>
      </c>
      <c r="AB253" s="315">
        <v>-3344</v>
      </c>
      <c r="AC253" s="315">
        <v>-12615</v>
      </c>
      <c r="AD253" s="315">
        <v>2500295</v>
      </c>
      <c r="AE253" s="315">
        <v>-282697</v>
      </c>
      <c r="AF253" s="315">
        <v>2782992</v>
      </c>
      <c r="AG253" s="315">
        <v>2722071</v>
      </c>
      <c r="AH253" s="315">
        <v>60921</v>
      </c>
      <c r="AI253" s="315">
        <v>4125959</v>
      </c>
      <c r="AJ253" s="315">
        <v>1673790</v>
      </c>
      <c r="AK253" s="315">
        <v>2362301</v>
      </c>
      <c r="AL253" s="315">
        <v>13752</v>
      </c>
      <c r="AM253" s="315">
        <v>350805</v>
      </c>
      <c r="AN253" s="315">
        <v>45411</v>
      </c>
      <c r="AO253" s="315">
        <v>51481</v>
      </c>
      <c r="AP253" s="315">
        <v>20440</v>
      </c>
      <c r="AQ253" s="315">
        <v>17839</v>
      </c>
      <c r="AR253" s="315">
        <v>-2177744</v>
      </c>
      <c r="AS253" s="315">
        <v>78719</v>
      </c>
      <c r="AT253" s="315">
        <v>0</v>
      </c>
      <c r="AU253" s="315">
        <v>-12615</v>
      </c>
      <c r="AV253" s="315">
        <v>708183</v>
      </c>
      <c r="AW253" s="315">
        <v>206444</v>
      </c>
      <c r="AX253" s="315">
        <v>86563</v>
      </c>
      <c r="AY253" s="315">
        <v>19864</v>
      </c>
      <c r="AZ253" s="315">
        <v>5293</v>
      </c>
      <c r="BA253" s="315">
        <v>8986</v>
      </c>
      <c r="BB253" s="315">
        <v>52420</v>
      </c>
      <c r="BC253" s="315">
        <v>232970</v>
      </c>
      <c r="BD253" s="315">
        <v>182206</v>
      </c>
      <c r="BE253" s="315">
        <v>-136084</v>
      </c>
      <c r="BF253" s="315">
        <v>-134772</v>
      </c>
      <c r="BG253" s="315">
        <v>-76401</v>
      </c>
      <c r="BH253" s="315">
        <v>-58371</v>
      </c>
      <c r="BI253" s="315">
        <v>0</v>
      </c>
      <c r="BJ253" s="315">
        <v>-45449.000000000007</v>
      </c>
      <c r="BK253" s="315">
        <v>-89323</v>
      </c>
      <c r="BL253" s="315">
        <v>-1312</v>
      </c>
      <c r="BM253" s="315">
        <v>0</v>
      </c>
      <c r="BN253" s="315">
        <v>572099</v>
      </c>
      <c r="BO253" s="315">
        <v>145052</v>
      </c>
      <c r="BP253" s="315">
        <v>14546</v>
      </c>
      <c r="BQ253" s="315">
        <v>21909</v>
      </c>
      <c r="BR253" s="315">
        <v>0</v>
      </c>
      <c r="BS253" s="315">
        <v>205528</v>
      </c>
      <c r="BT253" s="315">
        <v>30895</v>
      </c>
      <c r="BU253" s="315">
        <v>152624</v>
      </c>
      <c r="BV253" s="315">
        <v>1283</v>
      </c>
      <c r="BW253" s="315">
        <v>20726</v>
      </c>
      <c r="BX253" s="315">
        <v>10162</v>
      </c>
      <c r="BY253" s="315">
        <v>174599</v>
      </c>
      <c r="BZ253" s="315">
        <v>303</v>
      </c>
      <c r="CA253" s="315">
        <v>275417</v>
      </c>
      <c r="CB253" s="315">
        <v>-34655</v>
      </c>
      <c r="CC253" s="315">
        <v>-34655</v>
      </c>
      <c r="CD253" s="315">
        <v>0</v>
      </c>
      <c r="CE253" s="315">
        <v>240762</v>
      </c>
      <c r="CF253" s="315">
        <v>261116</v>
      </c>
      <c r="CG253" s="315">
        <v>190</v>
      </c>
      <c r="CH253" s="315">
        <v>-20544</v>
      </c>
      <c r="CI253" s="315">
        <v>5121962</v>
      </c>
      <c r="CJ253" s="315">
        <v>1049950</v>
      </c>
      <c r="CK253" s="315">
        <v>4072012</v>
      </c>
      <c r="CL253" s="315">
        <v>3519302</v>
      </c>
      <c r="CM253" s="315">
        <v>57888</v>
      </c>
      <c r="CN253" s="315">
        <v>494822</v>
      </c>
      <c r="CO253" s="315">
        <v>0</v>
      </c>
      <c r="CP253" s="315">
        <v>0</v>
      </c>
      <c r="CQ253" s="315">
        <v>494822</v>
      </c>
      <c r="CR253" s="315">
        <v>-2849849</v>
      </c>
      <c r="CS253" s="315">
        <v>-716949</v>
      </c>
      <c r="CT253" s="315">
        <v>-550005</v>
      </c>
      <c r="CU253" s="315">
        <v>-23059</v>
      </c>
      <c r="CV253" s="315">
        <v>-940</v>
      </c>
      <c r="CW253" s="315">
        <v>-142945</v>
      </c>
      <c r="CX253" s="315">
        <v>-1935166</v>
      </c>
      <c r="CY253" s="315">
        <v>-1458850</v>
      </c>
      <c r="CZ253" s="315">
        <v>-473931</v>
      </c>
      <c r="DA253" s="315">
        <v>-2385</v>
      </c>
      <c r="DB253" s="315">
        <v>-4907</v>
      </c>
      <c r="DC253" s="315">
        <v>-192827</v>
      </c>
      <c r="DD253" s="315">
        <v>2272113</v>
      </c>
      <c r="DE253" s="315">
        <v>-108928</v>
      </c>
      <c r="DF253" s="315">
        <v>2381041</v>
      </c>
      <c r="DG253" s="315">
        <v>2325437</v>
      </c>
      <c r="DH253" s="315">
        <v>55604</v>
      </c>
      <c r="DI253" s="315">
        <v>1612640</v>
      </c>
      <c r="DJ253" s="315">
        <v>72035</v>
      </c>
      <c r="DK253" s="315">
        <v>25610</v>
      </c>
      <c r="DL253" s="315">
        <v>1386</v>
      </c>
      <c r="DM253" s="315">
        <v>864375</v>
      </c>
      <c r="DN253" s="315">
        <v>542129</v>
      </c>
      <c r="DO253" s="315">
        <v>105897</v>
      </c>
      <c r="DP253" s="315"/>
      <c r="DQ253" s="315">
        <v>1122</v>
      </c>
      <c r="DR253" s="315">
        <v>86</v>
      </c>
      <c r="DS253" s="315">
        <v>-88228</v>
      </c>
      <c r="DT253" s="315">
        <v>-2594</v>
      </c>
      <c r="DU253" s="315">
        <v>-250</v>
      </c>
      <c r="DV253" s="315">
        <v>-8</v>
      </c>
      <c r="DW253" s="315">
        <v>-81814</v>
      </c>
      <c r="DX253" s="315">
        <v>-14572</v>
      </c>
      <c r="DY253" s="315">
        <v>-375</v>
      </c>
      <c r="DZ253" s="315">
        <v>-66867</v>
      </c>
      <c r="EA253" s="315">
        <v>-3472</v>
      </c>
      <c r="EB253" s="315">
        <v>-10</v>
      </c>
      <c r="EC253" s="315"/>
      <c r="ED253" s="315">
        <v>0</v>
      </c>
      <c r="EE253" s="315">
        <v>-80</v>
      </c>
      <c r="EF253" s="315">
        <v>1524412</v>
      </c>
      <c r="EG253" s="315">
        <v>506987</v>
      </c>
      <c r="EH253" s="315">
        <v>1017425</v>
      </c>
      <c r="EI253" s="315">
        <v>1000037</v>
      </c>
      <c r="EJ253" s="315">
        <v>17388</v>
      </c>
      <c r="EK253" s="315">
        <v>69441</v>
      </c>
      <c r="EL253" s="315">
        <v>31680</v>
      </c>
      <c r="EM253" s="315">
        <v>37761</v>
      </c>
      <c r="EN253" s="315">
        <v>37016</v>
      </c>
      <c r="EO253" s="315">
        <v>745</v>
      </c>
      <c r="EP253" s="315">
        <v>25360</v>
      </c>
      <c r="EQ253" s="315">
        <v>11190</v>
      </c>
      <c r="ER253" s="315">
        <v>14170</v>
      </c>
      <c r="ES253" s="315">
        <v>13892</v>
      </c>
      <c r="ET253" s="315">
        <v>278</v>
      </c>
      <c r="EU253" s="315">
        <v>1378</v>
      </c>
      <c r="EV253" s="315">
        <v>423</v>
      </c>
      <c r="EW253" s="315">
        <v>955</v>
      </c>
      <c r="EX253" s="315">
        <v>938</v>
      </c>
      <c r="EY253" s="315">
        <v>17</v>
      </c>
      <c r="EZ253" s="315">
        <v>782561</v>
      </c>
      <c r="FA253" s="315">
        <v>245004</v>
      </c>
      <c r="FB253" s="315">
        <v>537557</v>
      </c>
      <c r="FC253" s="315">
        <v>527768</v>
      </c>
      <c r="FD253" s="315">
        <v>9789</v>
      </c>
      <c r="FE253" s="315">
        <v>538657</v>
      </c>
      <c r="FF253" s="315">
        <v>230214</v>
      </c>
      <c r="FG253" s="315">
        <v>308443</v>
      </c>
      <c r="FH253" s="315">
        <v>301884</v>
      </c>
      <c r="FI253" s="315">
        <v>6559</v>
      </c>
      <c r="FJ253" s="315">
        <v>105887</v>
      </c>
      <c r="FK253" s="315">
        <v>-12652</v>
      </c>
      <c r="FL253" s="315">
        <v>118539</v>
      </c>
      <c r="FM253" s="315">
        <v>118539</v>
      </c>
      <c r="FN253" s="315"/>
      <c r="FO253" s="315"/>
      <c r="FP253" s="315">
        <v>1122</v>
      </c>
      <c r="FQ253" s="315">
        <v>6</v>
      </c>
      <c r="FR253" s="315">
        <v>614527</v>
      </c>
      <c r="FS253" s="315">
        <v>-55394</v>
      </c>
      <c r="FT253" s="315">
        <v>559133</v>
      </c>
      <c r="FU253" s="315">
        <v>123744</v>
      </c>
      <c r="FV253" s="315">
        <v>123209</v>
      </c>
      <c r="FW253" s="315">
        <v>535</v>
      </c>
      <c r="FX253" s="315">
        <v>130348</v>
      </c>
      <c r="FY253" s="315">
        <v>109540</v>
      </c>
      <c r="FZ253" s="315"/>
      <c r="GA253" s="315"/>
      <c r="GB253" s="315">
        <v>20246</v>
      </c>
      <c r="GC253" s="315">
        <v>54466</v>
      </c>
      <c r="GD253" s="315">
        <v>-12590</v>
      </c>
      <c r="GE253" s="315">
        <v>0</v>
      </c>
      <c r="GF253" s="315">
        <v>67056</v>
      </c>
      <c r="GG253" s="315">
        <v>120789</v>
      </c>
      <c r="GH253" s="315">
        <v>13452</v>
      </c>
      <c r="GI253" s="315">
        <v>546</v>
      </c>
      <c r="GJ253" s="315">
        <v>106791</v>
      </c>
      <c r="GL253"/>
      <c r="GM253"/>
      <c r="GN253"/>
      <c r="GO253"/>
    </row>
    <row r="254" spans="1:197">
      <c r="A254" s="98" t="s">
        <v>33</v>
      </c>
      <c r="B254" s="98">
        <v>7</v>
      </c>
      <c r="C254" s="98" t="s">
        <v>223</v>
      </c>
      <c r="D254" s="315">
        <v>29621126</v>
      </c>
      <c r="E254" s="315">
        <v>-4020590</v>
      </c>
      <c r="F254" s="315">
        <v>-13266</v>
      </c>
      <c r="G254" s="315">
        <v>25587270</v>
      </c>
      <c r="H254" s="315">
        <v>20313436</v>
      </c>
      <c r="I254" s="315">
        <v>5273834</v>
      </c>
      <c r="J254" s="315">
        <v>5102898</v>
      </c>
      <c r="K254" s="315">
        <v>170936</v>
      </c>
      <c r="L254" s="315">
        <v>15182847</v>
      </c>
      <c r="M254" s="315">
        <v>9132258</v>
      </c>
      <c r="N254" s="315">
        <v>4550617</v>
      </c>
      <c r="O254" s="315">
        <v>4451869</v>
      </c>
      <c r="P254" s="315">
        <v>98748</v>
      </c>
      <c r="Q254" s="315">
        <v>73174</v>
      </c>
      <c r="R254" s="315">
        <v>1426798</v>
      </c>
      <c r="S254" s="315">
        <v>-1441890</v>
      </c>
      <c r="T254" s="315">
        <v>-1432100</v>
      </c>
      <c r="U254" s="315">
        <v>-72496</v>
      </c>
      <c r="V254" s="315">
        <v>-10</v>
      </c>
      <c r="W254" s="315">
        <v>-1329184</v>
      </c>
      <c r="X254" s="315">
        <v>0</v>
      </c>
      <c r="Y254" s="315">
        <v>-30410</v>
      </c>
      <c r="Z254" s="315">
        <v>-4209</v>
      </c>
      <c r="AA254" s="315">
        <v>-5581</v>
      </c>
      <c r="AB254" s="315">
        <v>0</v>
      </c>
      <c r="AC254" s="315">
        <v>-13266</v>
      </c>
      <c r="AD254" s="315">
        <v>13727691</v>
      </c>
      <c r="AE254" s="315">
        <v>10729731</v>
      </c>
      <c r="AF254" s="315">
        <v>2997960</v>
      </c>
      <c r="AG254" s="315">
        <v>2916717</v>
      </c>
      <c r="AH254" s="315">
        <v>81243</v>
      </c>
      <c r="AI254" s="315">
        <v>9128789</v>
      </c>
      <c r="AJ254" s="315">
        <v>2342390</v>
      </c>
      <c r="AK254" s="315">
        <v>3058243</v>
      </c>
      <c r="AL254" s="315">
        <v>3643439</v>
      </c>
      <c r="AM254" s="315">
        <v>424167</v>
      </c>
      <c r="AN254" s="315">
        <v>355213</v>
      </c>
      <c r="AO254" s="315">
        <v>74876</v>
      </c>
      <c r="AP254" s="315">
        <v>24560</v>
      </c>
      <c r="AQ254" s="315">
        <v>545870</v>
      </c>
      <c r="AR254" s="315">
        <v>3118517</v>
      </c>
      <c r="AS254" s="315">
        <v>68965</v>
      </c>
      <c r="AT254" s="315">
        <v>0</v>
      </c>
      <c r="AU254" s="315">
        <v>-13266</v>
      </c>
      <c r="AV254" s="315">
        <v>696516</v>
      </c>
      <c r="AW254" s="315">
        <v>12147</v>
      </c>
      <c r="AX254" s="315">
        <v>216315</v>
      </c>
      <c r="AY254" s="315">
        <v>81619</v>
      </c>
      <c r="AZ254" s="315">
        <v>27562</v>
      </c>
      <c r="BA254" s="315">
        <v>71259</v>
      </c>
      <c r="BB254" s="315">
        <v>35875</v>
      </c>
      <c r="BC254" s="315">
        <v>111252</v>
      </c>
      <c r="BD254" s="315">
        <v>356802</v>
      </c>
      <c r="BE254" s="315">
        <v>-72481</v>
      </c>
      <c r="BF254" s="315">
        <v>-71358</v>
      </c>
      <c r="BG254" s="315">
        <v>-57435</v>
      </c>
      <c r="BH254" s="315">
        <v>-13923</v>
      </c>
      <c r="BI254" s="315">
        <v>0</v>
      </c>
      <c r="BJ254" s="315">
        <v>-34938</v>
      </c>
      <c r="BK254" s="315">
        <v>-36420</v>
      </c>
      <c r="BL254" s="315">
        <v>-1123</v>
      </c>
      <c r="BM254" s="315">
        <v>0</v>
      </c>
      <c r="BN254" s="315">
        <v>624035</v>
      </c>
      <c r="BO254" s="315">
        <v>176644</v>
      </c>
      <c r="BP254" s="315">
        <v>147303</v>
      </c>
      <c r="BQ254" s="315">
        <v>31856</v>
      </c>
      <c r="BR254" s="315">
        <v>0</v>
      </c>
      <c r="BS254" s="315">
        <v>11840</v>
      </c>
      <c r="BT254" s="315">
        <v>661</v>
      </c>
      <c r="BU254" s="315">
        <v>379</v>
      </c>
      <c r="BV254" s="315">
        <v>1055</v>
      </c>
      <c r="BW254" s="315">
        <v>9745</v>
      </c>
      <c r="BX254" s="315">
        <v>158880</v>
      </c>
      <c r="BY254" s="315">
        <v>97329</v>
      </c>
      <c r="BZ254" s="315">
        <v>183</v>
      </c>
      <c r="CA254" s="315">
        <v>191695</v>
      </c>
      <c r="CB254" s="315">
        <v>-22702</v>
      </c>
      <c r="CC254" s="315">
        <v>-22702</v>
      </c>
      <c r="CD254" s="315">
        <v>0</v>
      </c>
      <c r="CE254" s="315">
        <v>168993</v>
      </c>
      <c r="CF254" s="315">
        <v>143057</v>
      </c>
      <c r="CG254" s="315">
        <v>8</v>
      </c>
      <c r="CH254" s="315">
        <v>25928</v>
      </c>
      <c r="CI254" s="315">
        <v>10889506</v>
      </c>
      <c r="CJ254" s="315">
        <v>1060876</v>
      </c>
      <c r="CK254" s="315">
        <v>9828630</v>
      </c>
      <c r="CL254" s="315">
        <v>3856804</v>
      </c>
      <c r="CM254" s="315">
        <v>5495491</v>
      </c>
      <c r="CN254" s="315">
        <v>476335</v>
      </c>
      <c r="CO254" s="315">
        <v>0</v>
      </c>
      <c r="CP254" s="315">
        <v>0</v>
      </c>
      <c r="CQ254" s="315">
        <v>476335</v>
      </c>
      <c r="CR254" s="315">
        <v>-2349360</v>
      </c>
      <c r="CS254" s="315">
        <v>-872051</v>
      </c>
      <c r="CT254" s="315">
        <v>-768789</v>
      </c>
      <c r="CU254" s="315">
        <v>-19873</v>
      </c>
      <c r="CV254" s="315">
        <v>-170</v>
      </c>
      <c r="CW254" s="315">
        <v>-83219</v>
      </c>
      <c r="CX254" s="315">
        <v>-1253553</v>
      </c>
      <c r="CY254" s="315">
        <v>-1002037</v>
      </c>
      <c r="CZ254" s="315">
        <v>-249002</v>
      </c>
      <c r="DA254" s="315">
        <v>-2514</v>
      </c>
      <c r="DB254" s="315">
        <v>-223756</v>
      </c>
      <c r="DC254" s="315">
        <v>0</v>
      </c>
      <c r="DD254" s="315">
        <v>8540146</v>
      </c>
      <c r="DE254" s="315">
        <v>6975638</v>
      </c>
      <c r="DF254" s="315">
        <v>1564508</v>
      </c>
      <c r="DG254" s="315">
        <v>1508891</v>
      </c>
      <c r="DH254" s="315">
        <v>55617</v>
      </c>
      <c r="DI254" s="315">
        <v>1721139</v>
      </c>
      <c r="DJ254" s="315">
        <v>38790</v>
      </c>
      <c r="DK254" s="315">
        <v>25913</v>
      </c>
      <c r="DL254" s="315">
        <v>1242</v>
      </c>
      <c r="DM254" s="315">
        <v>901571</v>
      </c>
      <c r="DN254" s="315">
        <v>579642</v>
      </c>
      <c r="DO254" s="315">
        <v>109365</v>
      </c>
      <c r="DP254" s="315"/>
      <c r="DQ254" s="315">
        <v>64563</v>
      </c>
      <c r="DR254" s="315">
        <v>53</v>
      </c>
      <c r="DS254" s="315">
        <v>-90952</v>
      </c>
      <c r="DT254" s="315">
        <v>-6667</v>
      </c>
      <c r="DU254" s="315">
        <v>-2456</v>
      </c>
      <c r="DV254" s="315">
        <v>-21</v>
      </c>
      <c r="DW254" s="315">
        <v>-66814</v>
      </c>
      <c r="DX254" s="315">
        <v>-14076</v>
      </c>
      <c r="DY254" s="315">
        <v>-164</v>
      </c>
      <c r="DZ254" s="315">
        <v>-52574</v>
      </c>
      <c r="EA254" s="315">
        <v>-14112</v>
      </c>
      <c r="EB254" s="315">
        <v>-438</v>
      </c>
      <c r="EC254" s="315"/>
      <c r="ED254" s="315">
        <v>0</v>
      </c>
      <c r="EE254" s="315">
        <v>-444</v>
      </c>
      <c r="EF254" s="315">
        <v>1630187</v>
      </c>
      <c r="EG254" s="315">
        <v>918821</v>
      </c>
      <c r="EH254" s="315">
        <v>711366</v>
      </c>
      <c r="EI254" s="315">
        <v>677290</v>
      </c>
      <c r="EJ254" s="315">
        <v>34076</v>
      </c>
      <c r="EK254" s="315">
        <v>32123</v>
      </c>
      <c r="EL254" s="315">
        <v>-13774</v>
      </c>
      <c r="EM254" s="315">
        <v>45897</v>
      </c>
      <c r="EN254" s="315">
        <v>44648</v>
      </c>
      <c r="EO254" s="315">
        <v>1249</v>
      </c>
      <c r="EP254" s="315">
        <v>23457</v>
      </c>
      <c r="EQ254" s="315">
        <v>7195</v>
      </c>
      <c r="ER254" s="315">
        <v>16262</v>
      </c>
      <c r="ES254" s="315">
        <v>15840</v>
      </c>
      <c r="ET254" s="315">
        <v>422</v>
      </c>
      <c r="EU254" s="315">
        <v>1221</v>
      </c>
      <c r="EV254" s="315">
        <v>-948</v>
      </c>
      <c r="EW254" s="315">
        <v>2169</v>
      </c>
      <c r="EX254" s="315">
        <v>2096</v>
      </c>
      <c r="EY254" s="315">
        <v>73</v>
      </c>
      <c r="EZ254" s="315">
        <v>834757</v>
      </c>
      <c r="FA254" s="315">
        <v>416861</v>
      </c>
      <c r="FB254" s="315">
        <v>417896</v>
      </c>
      <c r="FC254" s="315">
        <v>394451</v>
      </c>
      <c r="FD254" s="315">
        <v>23445</v>
      </c>
      <c r="FE254" s="315">
        <v>565530</v>
      </c>
      <c r="FF254" s="315">
        <v>444714</v>
      </c>
      <c r="FG254" s="315">
        <v>120816</v>
      </c>
      <c r="FH254" s="315">
        <v>111929</v>
      </c>
      <c r="FI254" s="315">
        <v>8887</v>
      </c>
      <c r="FJ254" s="315">
        <v>108927</v>
      </c>
      <c r="FK254" s="315">
        <v>601</v>
      </c>
      <c r="FL254" s="315">
        <v>108326</v>
      </c>
      <c r="FM254" s="315">
        <v>108326</v>
      </c>
      <c r="FN254" s="315"/>
      <c r="FO254" s="315"/>
      <c r="FP254" s="315">
        <v>64563</v>
      </c>
      <c r="FQ254" s="315">
        <v>-391</v>
      </c>
      <c r="FR254" s="315">
        <v>939423</v>
      </c>
      <c r="FS254" s="315">
        <v>-43205</v>
      </c>
      <c r="FT254" s="315">
        <v>896218</v>
      </c>
      <c r="FU254" s="315">
        <v>5227</v>
      </c>
      <c r="FV254" s="315">
        <v>4557</v>
      </c>
      <c r="FW254" s="315">
        <v>670</v>
      </c>
      <c r="FX254" s="315">
        <v>143285</v>
      </c>
      <c r="FY254" s="315">
        <v>117783</v>
      </c>
      <c r="FZ254" s="315"/>
      <c r="GA254" s="315"/>
      <c r="GB254" s="315">
        <v>194</v>
      </c>
      <c r="GC254" s="315">
        <v>477235</v>
      </c>
      <c r="GD254" s="315">
        <v>-24329</v>
      </c>
      <c r="GE254" s="315">
        <v>440065</v>
      </c>
      <c r="GF254" s="315">
        <v>61499</v>
      </c>
      <c r="GG254" s="315">
        <v>152494</v>
      </c>
      <c r="GH254" s="315">
        <v>32490</v>
      </c>
      <c r="GI254" s="315">
        <v>836</v>
      </c>
      <c r="GJ254" s="315">
        <v>119168</v>
      </c>
      <c r="GL254"/>
      <c r="GM254"/>
      <c r="GN254"/>
      <c r="GO254"/>
    </row>
    <row r="255" spans="1:197">
      <c r="A255" s="98" t="s">
        <v>33</v>
      </c>
      <c r="B255" s="98">
        <v>8</v>
      </c>
      <c r="C255" s="98" t="s">
        <v>224</v>
      </c>
      <c r="D255" s="315">
        <v>18077678</v>
      </c>
      <c r="E255" s="315">
        <v>-2718853</v>
      </c>
      <c r="F255" s="315">
        <v>-13266</v>
      </c>
      <c r="G255" s="315">
        <v>15345559</v>
      </c>
      <c r="H255" s="315">
        <v>9256006</v>
      </c>
      <c r="I255" s="315">
        <v>6089553</v>
      </c>
      <c r="J255" s="315">
        <v>5955648</v>
      </c>
      <c r="K255" s="315">
        <v>133905</v>
      </c>
      <c r="L255" s="315">
        <v>4846928</v>
      </c>
      <c r="M255" s="315">
        <v>4152942</v>
      </c>
      <c r="N255" s="315">
        <v>168748</v>
      </c>
      <c r="O255" s="315">
        <v>69646</v>
      </c>
      <c r="P255" s="315">
        <v>99102</v>
      </c>
      <c r="Q255" s="315">
        <v>59350</v>
      </c>
      <c r="R255" s="315">
        <v>465888</v>
      </c>
      <c r="S255" s="315">
        <v>-393991</v>
      </c>
      <c r="T255" s="315">
        <v>-388104</v>
      </c>
      <c r="U255" s="315">
        <v>-74644</v>
      </c>
      <c r="V255" s="315">
        <v>-4</v>
      </c>
      <c r="W255" s="315">
        <v>-287426</v>
      </c>
      <c r="X255" s="315">
        <v>0</v>
      </c>
      <c r="Y255" s="315">
        <v>-26030</v>
      </c>
      <c r="Z255" s="315">
        <v>-2556</v>
      </c>
      <c r="AA255" s="315">
        <v>-3331</v>
      </c>
      <c r="AB255" s="315">
        <v>0</v>
      </c>
      <c r="AC255" s="315">
        <v>-13266</v>
      </c>
      <c r="AD255" s="315">
        <v>4439671</v>
      </c>
      <c r="AE255" s="315">
        <v>1656682</v>
      </c>
      <c r="AF255" s="315">
        <v>2782989</v>
      </c>
      <c r="AG255" s="315">
        <v>2722070</v>
      </c>
      <c r="AH255" s="315">
        <v>60919</v>
      </c>
      <c r="AI255" s="315">
        <v>4150136</v>
      </c>
      <c r="AJ255" s="315">
        <v>1438747</v>
      </c>
      <c r="AK255" s="315">
        <v>2621696</v>
      </c>
      <c r="AL255" s="315">
        <v>6171</v>
      </c>
      <c r="AM255" s="315">
        <v>306670</v>
      </c>
      <c r="AN255" s="315">
        <v>47751</v>
      </c>
      <c r="AO255" s="315">
        <v>63991</v>
      </c>
      <c r="AP255" s="315">
        <v>27792</v>
      </c>
      <c r="AQ255" s="315">
        <v>19159</v>
      </c>
      <c r="AR255" s="315">
        <v>-219356</v>
      </c>
      <c r="AS255" s="315">
        <v>56794</v>
      </c>
      <c r="AT255" s="315">
        <v>0</v>
      </c>
      <c r="AU255" s="315">
        <v>-13266</v>
      </c>
      <c r="AV255" s="315">
        <v>4864935</v>
      </c>
      <c r="AW255" s="315">
        <v>7999</v>
      </c>
      <c r="AX255" s="315">
        <v>4546661</v>
      </c>
      <c r="AY255" s="315">
        <v>1754675</v>
      </c>
      <c r="AZ255" s="315">
        <v>601896</v>
      </c>
      <c r="BA255" s="315">
        <v>2149209</v>
      </c>
      <c r="BB255" s="315">
        <v>40881</v>
      </c>
      <c r="BC255" s="315">
        <v>140127</v>
      </c>
      <c r="BD255" s="315">
        <v>170148</v>
      </c>
      <c r="BE255" s="315">
        <v>-91996</v>
      </c>
      <c r="BF255" s="315">
        <v>-91758</v>
      </c>
      <c r="BG255" s="315">
        <v>-28209</v>
      </c>
      <c r="BH255" s="315">
        <v>-63549</v>
      </c>
      <c r="BI255" s="315">
        <v>0</v>
      </c>
      <c r="BJ255" s="315">
        <v>-6919</v>
      </c>
      <c r="BK255" s="315">
        <v>-84839</v>
      </c>
      <c r="BL255" s="315">
        <v>-238</v>
      </c>
      <c r="BM255" s="315">
        <v>0</v>
      </c>
      <c r="BN255" s="315">
        <v>4772939</v>
      </c>
      <c r="BO255" s="315">
        <v>125531</v>
      </c>
      <c r="BP255" s="315">
        <v>16799</v>
      </c>
      <c r="BQ255" s="315">
        <v>27223</v>
      </c>
      <c r="BR255" s="315">
        <v>232</v>
      </c>
      <c r="BS255" s="315">
        <v>7931</v>
      </c>
      <c r="BT255" s="315">
        <v>71</v>
      </c>
      <c r="BU255" s="315">
        <v>262</v>
      </c>
      <c r="BV255" s="315">
        <v>560</v>
      </c>
      <c r="BW255" s="315">
        <v>7038</v>
      </c>
      <c r="BX255" s="315">
        <v>4518452</v>
      </c>
      <c r="BY255" s="315">
        <v>76578</v>
      </c>
      <c r="BZ255" s="315">
        <v>193</v>
      </c>
      <c r="CA255" s="315">
        <v>348975</v>
      </c>
      <c r="CB255" s="315">
        <v>-27116</v>
      </c>
      <c r="CC255" s="315">
        <v>-27116</v>
      </c>
      <c r="CD255" s="315">
        <v>0</v>
      </c>
      <c r="CE255" s="315">
        <v>321859</v>
      </c>
      <c r="CF255" s="315">
        <v>253040</v>
      </c>
      <c r="CG255" s="315">
        <v>3</v>
      </c>
      <c r="CH255" s="315">
        <v>68816</v>
      </c>
      <c r="CI255" s="315">
        <v>5627104</v>
      </c>
      <c r="CJ255" s="315">
        <v>1158207</v>
      </c>
      <c r="CK255" s="315">
        <v>4468897</v>
      </c>
      <c r="CL255" s="315">
        <v>3918446</v>
      </c>
      <c r="CM255" s="315">
        <v>126338</v>
      </c>
      <c r="CN255" s="315">
        <v>424113</v>
      </c>
      <c r="CO255" s="315">
        <v>0</v>
      </c>
      <c r="CP255" s="315">
        <v>0</v>
      </c>
      <c r="CQ255" s="315">
        <v>424113</v>
      </c>
      <c r="CR255" s="315">
        <v>-2116865</v>
      </c>
      <c r="CS255" s="315">
        <v>-489756</v>
      </c>
      <c r="CT255" s="315">
        <v>-440871</v>
      </c>
      <c r="CU255" s="315">
        <v>-6750</v>
      </c>
      <c r="CV255" s="315">
        <v>-297</v>
      </c>
      <c r="CW255" s="315">
        <v>-41838</v>
      </c>
      <c r="CX255" s="315">
        <v>-1627109</v>
      </c>
      <c r="CY255" s="315">
        <v>-1540164</v>
      </c>
      <c r="CZ255" s="315">
        <v>-65618</v>
      </c>
      <c r="DA255" s="315">
        <v>-21327</v>
      </c>
      <c r="DB255" s="315">
        <v>0</v>
      </c>
      <c r="DC255" s="315">
        <v>0</v>
      </c>
      <c r="DD255" s="315">
        <v>3510239</v>
      </c>
      <c r="DE255" s="315">
        <v>1129204</v>
      </c>
      <c r="DF255" s="315">
        <v>2381035</v>
      </c>
      <c r="DG255" s="315">
        <v>2325435</v>
      </c>
      <c r="DH255" s="315">
        <v>55600</v>
      </c>
      <c r="DI255" s="315">
        <v>1862414</v>
      </c>
      <c r="DJ255" s="315">
        <v>86214</v>
      </c>
      <c r="DK255" s="315">
        <v>30839</v>
      </c>
      <c r="DL255" s="315">
        <v>2926</v>
      </c>
      <c r="DM255" s="315">
        <v>976499</v>
      </c>
      <c r="DN255" s="315">
        <v>645076</v>
      </c>
      <c r="DO255" s="315">
        <v>120787</v>
      </c>
      <c r="DP255" s="315"/>
      <c r="DQ255" s="315">
        <v>0</v>
      </c>
      <c r="DR255" s="315">
        <v>73</v>
      </c>
      <c r="DS255" s="315">
        <v>-39169</v>
      </c>
      <c r="DT255" s="315">
        <v>-1649</v>
      </c>
      <c r="DU255" s="315">
        <v>-320</v>
      </c>
      <c r="DV255" s="315">
        <v>-3</v>
      </c>
      <c r="DW255" s="315">
        <v>-37073</v>
      </c>
      <c r="DX255" s="315">
        <v>-13374</v>
      </c>
      <c r="DY255" s="315">
        <v>-437</v>
      </c>
      <c r="DZ255" s="315">
        <v>-23262</v>
      </c>
      <c r="EA255" s="315">
        <v>0</v>
      </c>
      <c r="EB255" s="315">
        <v>-1</v>
      </c>
      <c r="EC255" s="315"/>
      <c r="ED255" s="315">
        <v>0</v>
      </c>
      <c r="EE255" s="315">
        <v>-123</v>
      </c>
      <c r="EF255" s="315">
        <v>1823245</v>
      </c>
      <c r="EG255" s="315">
        <v>897716</v>
      </c>
      <c r="EH255" s="315">
        <v>925529</v>
      </c>
      <c r="EI255" s="315">
        <v>908143</v>
      </c>
      <c r="EJ255" s="315">
        <v>17386</v>
      </c>
      <c r="EK255" s="315">
        <v>84565</v>
      </c>
      <c r="EL255" s="315">
        <v>46807</v>
      </c>
      <c r="EM255" s="315">
        <v>37758</v>
      </c>
      <c r="EN255" s="315">
        <v>37015</v>
      </c>
      <c r="EO255" s="315">
        <v>743</v>
      </c>
      <c r="EP255" s="315">
        <v>30519</v>
      </c>
      <c r="EQ255" s="315">
        <v>16345</v>
      </c>
      <c r="ER255" s="315">
        <v>14174</v>
      </c>
      <c r="ES255" s="315">
        <v>13897</v>
      </c>
      <c r="ET255" s="315">
        <v>277</v>
      </c>
      <c r="EU255" s="315">
        <v>2923</v>
      </c>
      <c r="EV255" s="315">
        <v>1961</v>
      </c>
      <c r="EW255" s="315">
        <v>962</v>
      </c>
      <c r="EX255" s="315">
        <v>944</v>
      </c>
      <c r="EY255" s="315">
        <v>18</v>
      </c>
      <c r="EZ255" s="315">
        <v>939426</v>
      </c>
      <c r="FA255" s="315">
        <v>441558</v>
      </c>
      <c r="FB255" s="315">
        <v>497868</v>
      </c>
      <c r="FC255" s="315">
        <v>488080</v>
      </c>
      <c r="FD255" s="315">
        <v>9788</v>
      </c>
      <c r="FE255" s="315">
        <v>645076</v>
      </c>
      <c r="FF255" s="315">
        <v>388849</v>
      </c>
      <c r="FG255" s="315">
        <v>256227</v>
      </c>
      <c r="FH255" s="315">
        <v>249667</v>
      </c>
      <c r="FI255" s="315">
        <v>6560</v>
      </c>
      <c r="FJ255" s="315">
        <v>120786</v>
      </c>
      <c r="FK255" s="315">
        <v>2246</v>
      </c>
      <c r="FL255" s="315">
        <v>118540</v>
      </c>
      <c r="FM255" s="315">
        <v>118540</v>
      </c>
      <c r="FN255" s="315"/>
      <c r="FO255" s="315"/>
      <c r="FP255" s="315">
        <v>0</v>
      </c>
      <c r="FQ255" s="315">
        <v>-50</v>
      </c>
      <c r="FR255" s="315">
        <v>527322</v>
      </c>
      <c r="FS255" s="315">
        <v>-49716</v>
      </c>
      <c r="FT255" s="315">
        <v>477606</v>
      </c>
      <c r="FU255" s="315">
        <v>5401</v>
      </c>
      <c r="FV255" s="315">
        <v>5116</v>
      </c>
      <c r="FW255" s="315">
        <v>285</v>
      </c>
      <c r="FX255" s="315">
        <v>165802</v>
      </c>
      <c r="FY255" s="315">
        <v>25295</v>
      </c>
      <c r="FZ255" s="315"/>
      <c r="GA255" s="315"/>
      <c r="GB255" s="315">
        <v>52</v>
      </c>
      <c r="GC255" s="315">
        <v>32864.999999999993</v>
      </c>
      <c r="GD255" s="315">
        <v>-27031</v>
      </c>
      <c r="GE255" s="315">
        <v>9878</v>
      </c>
      <c r="GF255" s="315">
        <v>50017.999999999993</v>
      </c>
      <c r="GG255" s="315">
        <v>248191</v>
      </c>
      <c r="GH255" s="315">
        <v>113082</v>
      </c>
      <c r="GI255" s="315">
        <v>617</v>
      </c>
      <c r="GJ255" s="315">
        <v>134492</v>
      </c>
      <c r="GL255"/>
      <c r="GM255"/>
      <c r="GN255"/>
      <c r="GO255"/>
    </row>
    <row r="256" spans="1:197">
      <c r="A256" s="98" t="s">
        <v>33</v>
      </c>
      <c r="B256" s="98">
        <v>9</v>
      </c>
      <c r="C256" s="98" t="s">
        <v>225</v>
      </c>
      <c r="D256" s="315">
        <v>11612710</v>
      </c>
      <c r="E256" s="315">
        <v>-2560237</v>
      </c>
      <c r="F256" s="315">
        <v>-13267</v>
      </c>
      <c r="G256" s="315">
        <v>9039206</v>
      </c>
      <c r="H256" s="315">
        <v>2857751</v>
      </c>
      <c r="I256" s="315">
        <v>6181455</v>
      </c>
      <c r="J256" s="315">
        <v>6047548</v>
      </c>
      <c r="K256" s="315">
        <v>133907</v>
      </c>
      <c r="L256" s="315">
        <v>3936817</v>
      </c>
      <c r="M256" s="315">
        <v>3499044</v>
      </c>
      <c r="N256" s="315">
        <v>125276</v>
      </c>
      <c r="O256" s="315">
        <v>15258</v>
      </c>
      <c r="P256" s="315">
        <v>110018</v>
      </c>
      <c r="Q256" s="315">
        <v>74175</v>
      </c>
      <c r="R256" s="315">
        <v>238322</v>
      </c>
      <c r="S256" s="315">
        <v>-598855</v>
      </c>
      <c r="T256" s="315">
        <v>-578787</v>
      </c>
      <c r="U256" s="315">
        <v>-76862</v>
      </c>
      <c r="V256" s="315">
        <v>-3</v>
      </c>
      <c r="W256" s="315">
        <v>-476182</v>
      </c>
      <c r="X256" s="315">
        <v>0</v>
      </c>
      <c r="Y256" s="315">
        <v>-25740</v>
      </c>
      <c r="Z256" s="315">
        <v>-7998</v>
      </c>
      <c r="AA256" s="315">
        <v>-11181</v>
      </c>
      <c r="AB256" s="315">
        <v>-889</v>
      </c>
      <c r="AC256" s="315">
        <v>-13267</v>
      </c>
      <c r="AD256" s="315">
        <v>3324695</v>
      </c>
      <c r="AE256" s="315">
        <v>541704</v>
      </c>
      <c r="AF256" s="315">
        <v>2782991</v>
      </c>
      <c r="AG256" s="315">
        <v>2722070</v>
      </c>
      <c r="AH256" s="315">
        <v>60921</v>
      </c>
      <c r="AI256" s="315">
        <v>3488971</v>
      </c>
      <c r="AJ256" s="315">
        <v>1368870</v>
      </c>
      <c r="AK256" s="315">
        <v>2076619</v>
      </c>
      <c r="AL256" s="315">
        <v>8587</v>
      </c>
      <c r="AM256" s="315">
        <v>144517</v>
      </c>
      <c r="AN256" s="315">
        <v>39123</v>
      </c>
      <c r="AO256" s="315">
        <v>22217</v>
      </c>
      <c r="AP256" s="315">
        <v>16330</v>
      </c>
      <c r="AQ256" s="315">
        <v>14138</v>
      </c>
      <c r="AR256" s="315">
        <v>-453511</v>
      </c>
      <c r="AS256" s="315">
        <v>66177</v>
      </c>
      <c r="AT256" s="315">
        <v>0</v>
      </c>
      <c r="AU256" s="315">
        <v>-13267</v>
      </c>
      <c r="AV256" s="315">
        <v>296632</v>
      </c>
      <c r="AW256" s="315">
        <v>5353</v>
      </c>
      <c r="AX256" s="315">
        <v>138507</v>
      </c>
      <c r="AY256" s="315">
        <v>11303</v>
      </c>
      <c r="AZ256" s="315">
        <v>82545</v>
      </c>
      <c r="BA256" s="315">
        <v>5137</v>
      </c>
      <c r="BB256" s="315">
        <v>39522</v>
      </c>
      <c r="BC256" s="315">
        <v>67679</v>
      </c>
      <c r="BD256" s="315">
        <v>85093</v>
      </c>
      <c r="BE256" s="315">
        <v>-124791</v>
      </c>
      <c r="BF256" s="315">
        <v>-124273</v>
      </c>
      <c r="BG256" s="315">
        <v>-106296</v>
      </c>
      <c r="BH256" s="315">
        <v>-17977</v>
      </c>
      <c r="BI256" s="315">
        <v>0</v>
      </c>
      <c r="BJ256" s="315">
        <v>-97279</v>
      </c>
      <c r="BK256" s="315">
        <v>-26994</v>
      </c>
      <c r="BL256" s="315">
        <v>-518</v>
      </c>
      <c r="BM256" s="315">
        <v>0</v>
      </c>
      <c r="BN256" s="315">
        <v>171841</v>
      </c>
      <c r="BO256" s="315">
        <v>61528</v>
      </c>
      <c r="BP256" s="315">
        <v>13551</v>
      </c>
      <c r="BQ256" s="315">
        <v>9458</v>
      </c>
      <c r="BR256" s="315">
        <v>0</v>
      </c>
      <c r="BS256" s="315">
        <v>5237</v>
      </c>
      <c r="BT256" s="315">
        <v>45</v>
      </c>
      <c r="BU256" s="315">
        <v>2</v>
      </c>
      <c r="BV256" s="315">
        <v>60</v>
      </c>
      <c r="BW256" s="315">
        <v>5130</v>
      </c>
      <c r="BX256" s="315">
        <v>32211</v>
      </c>
      <c r="BY256" s="315">
        <v>49702</v>
      </c>
      <c r="BZ256" s="315">
        <v>154</v>
      </c>
      <c r="CA256" s="315">
        <v>124542</v>
      </c>
      <c r="CB256" s="315">
        <v>-30077</v>
      </c>
      <c r="CC256" s="315">
        <v>-30077</v>
      </c>
      <c r="CD256" s="315">
        <v>0</v>
      </c>
      <c r="CE256" s="315">
        <v>94465</v>
      </c>
      <c r="CF256" s="315">
        <v>115050</v>
      </c>
      <c r="CG256" s="315">
        <v>-1</v>
      </c>
      <c r="CH256" s="315">
        <v>-20584</v>
      </c>
      <c r="CI256" s="315">
        <v>4637638</v>
      </c>
      <c r="CJ256" s="315">
        <v>1037880</v>
      </c>
      <c r="CK256" s="315">
        <v>3599758</v>
      </c>
      <c r="CL256" s="315">
        <v>3080909</v>
      </c>
      <c r="CM256" s="315">
        <v>55279</v>
      </c>
      <c r="CN256" s="315">
        <v>463570</v>
      </c>
      <c r="CO256" s="315">
        <v>0</v>
      </c>
      <c r="CP256" s="315">
        <v>0</v>
      </c>
      <c r="CQ256" s="315">
        <v>463570</v>
      </c>
      <c r="CR256" s="315">
        <v>-1711200</v>
      </c>
      <c r="CS256" s="315">
        <v>-297766</v>
      </c>
      <c r="CT256" s="315">
        <v>-222480</v>
      </c>
      <c r="CU256" s="315">
        <v>-7187</v>
      </c>
      <c r="CV256" s="315">
        <v>589</v>
      </c>
      <c r="CW256" s="315">
        <v>-68688</v>
      </c>
      <c r="CX256" s="315">
        <v>-1254003</v>
      </c>
      <c r="CY256" s="315">
        <v>-1163785</v>
      </c>
      <c r="CZ256" s="315">
        <v>-40901</v>
      </c>
      <c r="DA256" s="315">
        <v>-49317</v>
      </c>
      <c r="DB256" s="315">
        <v>0</v>
      </c>
      <c r="DC256" s="315">
        <v>-159431</v>
      </c>
      <c r="DD256" s="315">
        <v>2926438</v>
      </c>
      <c r="DE256" s="315">
        <v>545404</v>
      </c>
      <c r="DF256" s="315">
        <v>2381034</v>
      </c>
      <c r="DG256" s="315">
        <v>2325436</v>
      </c>
      <c r="DH256" s="315">
        <v>55598</v>
      </c>
      <c r="DI256" s="315">
        <v>1713719</v>
      </c>
      <c r="DJ256" s="315">
        <v>84698</v>
      </c>
      <c r="DK256" s="315">
        <v>30700</v>
      </c>
      <c r="DL256" s="315">
        <v>1256</v>
      </c>
      <c r="DM256" s="315">
        <v>889937</v>
      </c>
      <c r="DN256" s="315">
        <v>581468</v>
      </c>
      <c r="DO256" s="315">
        <v>125587</v>
      </c>
      <c r="DP256" s="315"/>
      <c r="DQ256" s="315">
        <v>13</v>
      </c>
      <c r="DR256" s="315">
        <v>60</v>
      </c>
      <c r="DS256" s="315">
        <v>-47375</v>
      </c>
      <c r="DT256" s="315">
        <v>-2457</v>
      </c>
      <c r="DU256" s="315">
        <v>-187</v>
      </c>
      <c r="DV256" s="315">
        <v>-23</v>
      </c>
      <c r="DW256" s="315">
        <v>-42124</v>
      </c>
      <c r="DX256" s="315">
        <v>-11823</v>
      </c>
      <c r="DY256" s="315">
        <v>-300</v>
      </c>
      <c r="DZ256" s="315">
        <v>-30001</v>
      </c>
      <c r="EA256" s="315">
        <v>-2537</v>
      </c>
      <c r="EB256" s="315">
        <v>-45</v>
      </c>
      <c r="EC256" s="315"/>
      <c r="ED256" s="315">
        <v>0</v>
      </c>
      <c r="EE256" s="315">
        <v>-2</v>
      </c>
      <c r="EF256" s="315">
        <v>1666344</v>
      </c>
      <c r="EG256" s="315">
        <v>648914</v>
      </c>
      <c r="EH256" s="315">
        <v>1017430</v>
      </c>
      <c r="EI256" s="315">
        <v>1000042</v>
      </c>
      <c r="EJ256" s="315">
        <v>17388</v>
      </c>
      <c r="EK256" s="315">
        <v>82241</v>
      </c>
      <c r="EL256" s="315">
        <v>44479</v>
      </c>
      <c r="EM256" s="315">
        <v>37762</v>
      </c>
      <c r="EN256" s="315">
        <v>37017</v>
      </c>
      <c r="EO256" s="315">
        <v>745</v>
      </c>
      <c r="EP256" s="315">
        <v>30513</v>
      </c>
      <c r="EQ256" s="315">
        <v>16343</v>
      </c>
      <c r="ER256" s="315">
        <v>14170</v>
      </c>
      <c r="ES256" s="315">
        <v>13892</v>
      </c>
      <c r="ET256" s="315">
        <v>278</v>
      </c>
      <c r="EU256" s="315">
        <v>1233</v>
      </c>
      <c r="EV256" s="315">
        <v>277</v>
      </c>
      <c r="EW256" s="315">
        <v>956</v>
      </c>
      <c r="EX256" s="315">
        <v>940</v>
      </c>
      <c r="EY256" s="315">
        <v>16</v>
      </c>
      <c r="EZ256" s="315">
        <v>847813</v>
      </c>
      <c r="FA256" s="315">
        <v>310254</v>
      </c>
      <c r="FB256" s="315">
        <v>537559</v>
      </c>
      <c r="FC256" s="315">
        <v>527769</v>
      </c>
      <c r="FD256" s="315">
        <v>9790</v>
      </c>
      <c r="FE256" s="315">
        <v>578931</v>
      </c>
      <c r="FF256" s="315">
        <v>270488</v>
      </c>
      <c r="FG256" s="315">
        <v>308443</v>
      </c>
      <c r="FH256" s="315">
        <v>301884</v>
      </c>
      <c r="FI256" s="315">
        <v>6559</v>
      </c>
      <c r="FJ256" s="315">
        <v>125542</v>
      </c>
      <c r="FK256" s="315">
        <v>7002</v>
      </c>
      <c r="FL256" s="315">
        <v>118540</v>
      </c>
      <c r="FM256" s="315">
        <v>118540</v>
      </c>
      <c r="FN256" s="315"/>
      <c r="FO256" s="315"/>
      <c r="FP256" s="315">
        <v>13</v>
      </c>
      <c r="FQ256" s="315">
        <v>58</v>
      </c>
      <c r="FR256" s="315">
        <v>903362</v>
      </c>
      <c r="FS256" s="315">
        <v>-47939</v>
      </c>
      <c r="FT256" s="315">
        <v>855423</v>
      </c>
      <c r="FU256" s="315">
        <v>374687</v>
      </c>
      <c r="FV256" s="315">
        <v>333774</v>
      </c>
      <c r="FW256" s="315">
        <v>40913</v>
      </c>
      <c r="FX256" s="315">
        <v>171036</v>
      </c>
      <c r="FY256" s="315">
        <v>204098</v>
      </c>
      <c r="FZ256" s="315"/>
      <c r="GA256" s="315"/>
      <c r="GB256" s="315">
        <v>13799</v>
      </c>
      <c r="GC256" s="315">
        <v>25125</v>
      </c>
      <c r="GD256" s="315">
        <v>-22742</v>
      </c>
      <c r="GE256" s="315">
        <v>4</v>
      </c>
      <c r="GF256" s="315">
        <v>47863</v>
      </c>
      <c r="GG256" s="315">
        <v>66678</v>
      </c>
      <c r="GH256" s="315">
        <v>5825</v>
      </c>
      <c r="GI256" s="315">
        <v>360</v>
      </c>
      <c r="GJ256" s="315">
        <v>60493</v>
      </c>
      <c r="GL256"/>
      <c r="GM256"/>
      <c r="GN256"/>
      <c r="GO256"/>
    </row>
    <row r="257" spans="1:197">
      <c r="A257" s="98" t="s">
        <v>33</v>
      </c>
      <c r="B257" s="98">
        <v>10</v>
      </c>
      <c r="C257" s="98" t="s">
        <v>226</v>
      </c>
      <c r="D257" s="315">
        <v>30839149</v>
      </c>
      <c r="E257" s="315">
        <v>-2937042</v>
      </c>
      <c r="F257" s="315">
        <v>-13266</v>
      </c>
      <c r="G257" s="315">
        <v>27888841</v>
      </c>
      <c r="H257" s="315">
        <v>21699845</v>
      </c>
      <c r="I257" s="315">
        <v>6188996</v>
      </c>
      <c r="J257" s="315">
        <v>6055091</v>
      </c>
      <c r="K257" s="315">
        <v>133905</v>
      </c>
      <c r="L257" s="315">
        <v>8427075</v>
      </c>
      <c r="M257" s="315">
        <v>6989430</v>
      </c>
      <c r="N257" s="315">
        <v>144991</v>
      </c>
      <c r="O257" s="315">
        <v>29706</v>
      </c>
      <c r="P257" s="315">
        <v>115285</v>
      </c>
      <c r="Q257" s="315">
        <v>47685</v>
      </c>
      <c r="R257" s="315">
        <v>1244969</v>
      </c>
      <c r="S257" s="315">
        <v>-589723</v>
      </c>
      <c r="T257" s="315">
        <v>-580052</v>
      </c>
      <c r="U257" s="315">
        <v>-76425</v>
      </c>
      <c r="V257" s="315">
        <v>-2</v>
      </c>
      <c r="W257" s="315">
        <v>-473570</v>
      </c>
      <c r="X257" s="315">
        <v>0</v>
      </c>
      <c r="Y257" s="315">
        <v>-30055</v>
      </c>
      <c r="Z257" s="315">
        <v>-3704</v>
      </c>
      <c r="AA257" s="315">
        <v>-5919</v>
      </c>
      <c r="AB257" s="315">
        <v>-48</v>
      </c>
      <c r="AC257" s="315">
        <v>-13266</v>
      </c>
      <c r="AD257" s="315">
        <v>7824086</v>
      </c>
      <c r="AE257" s="315">
        <v>5033553</v>
      </c>
      <c r="AF257" s="315">
        <v>2790533</v>
      </c>
      <c r="AG257" s="315">
        <v>2729615</v>
      </c>
      <c r="AH257" s="315">
        <v>60918</v>
      </c>
      <c r="AI257" s="315">
        <v>6984400</v>
      </c>
      <c r="AJ257" s="315">
        <v>1439266</v>
      </c>
      <c r="AK257" s="315">
        <v>2192720</v>
      </c>
      <c r="AL257" s="315">
        <v>3317025</v>
      </c>
      <c r="AM257" s="315">
        <v>276930</v>
      </c>
      <c r="AN257" s="315">
        <v>358339</v>
      </c>
      <c r="AO257" s="315">
        <v>46491</v>
      </c>
      <c r="AP257" s="315">
        <v>4773</v>
      </c>
      <c r="AQ257" s="315">
        <v>557499</v>
      </c>
      <c r="AR257" s="315">
        <v>-435061</v>
      </c>
      <c r="AS257" s="315">
        <v>43981</v>
      </c>
      <c r="AT257" s="315">
        <v>0</v>
      </c>
      <c r="AU257" s="315">
        <v>-13266</v>
      </c>
      <c r="AV257" s="315">
        <v>9342488</v>
      </c>
      <c r="AW257" s="315">
        <v>8867808</v>
      </c>
      <c r="AX257" s="315">
        <v>72274</v>
      </c>
      <c r="AY257" s="315">
        <v>11706</v>
      </c>
      <c r="AZ257" s="315">
        <v>3157</v>
      </c>
      <c r="BA257" s="315">
        <v>5149</v>
      </c>
      <c r="BB257" s="315">
        <v>52262</v>
      </c>
      <c r="BC257" s="315">
        <v>115982</v>
      </c>
      <c r="BD257" s="315">
        <v>286424</v>
      </c>
      <c r="BE257" s="315">
        <v>-291222</v>
      </c>
      <c r="BF257" s="315">
        <v>-290245</v>
      </c>
      <c r="BG257" s="315">
        <v>-275727</v>
      </c>
      <c r="BH257" s="315">
        <v>-14518</v>
      </c>
      <c r="BI257" s="315">
        <v>-252164</v>
      </c>
      <c r="BJ257" s="315">
        <v>-5429</v>
      </c>
      <c r="BK257" s="315">
        <v>-32652</v>
      </c>
      <c r="BL257" s="315">
        <v>-977</v>
      </c>
      <c r="BM257" s="315">
        <v>0</v>
      </c>
      <c r="BN257" s="315">
        <v>9051266</v>
      </c>
      <c r="BO257" s="315">
        <v>117475</v>
      </c>
      <c r="BP257" s="315">
        <v>148710</v>
      </c>
      <c r="BQ257" s="315">
        <v>19793</v>
      </c>
      <c r="BR257" s="315">
        <v>17</v>
      </c>
      <c r="BS257" s="315">
        <v>8867127</v>
      </c>
      <c r="BT257" s="315">
        <v>2929179</v>
      </c>
      <c r="BU257" s="315">
        <v>5211647</v>
      </c>
      <c r="BV257" s="315">
        <v>717046</v>
      </c>
      <c r="BW257" s="315">
        <v>9255</v>
      </c>
      <c r="BX257" s="315">
        <v>-203453</v>
      </c>
      <c r="BY257" s="315">
        <v>101464</v>
      </c>
      <c r="BZ257" s="315">
        <v>133</v>
      </c>
      <c r="CA257" s="315">
        <v>251664</v>
      </c>
      <c r="CB257" s="315">
        <v>-30130</v>
      </c>
      <c r="CC257" s="315">
        <v>-30130</v>
      </c>
      <c r="CD257" s="315">
        <v>0</v>
      </c>
      <c r="CE257" s="315">
        <v>221534</v>
      </c>
      <c r="CF257" s="315">
        <v>125966</v>
      </c>
      <c r="CG257" s="315">
        <v>22001</v>
      </c>
      <c r="CH257" s="315">
        <v>73567</v>
      </c>
      <c r="CI257" s="315">
        <v>10556574</v>
      </c>
      <c r="CJ257" s="315">
        <v>1155287</v>
      </c>
      <c r="CK257" s="315">
        <v>9401287</v>
      </c>
      <c r="CL257" s="315">
        <v>3367112</v>
      </c>
      <c r="CM257" s="315">
        <v>5580556</v>
      </c>
      <c r="CN257" s="315">
        <v>453619</v>
      </c>
      <c r="CO257" s="315">
        <v>0</v>
      </c>
      <c r="CP257" s="315">
        <v>0</v>
      </c>
      <c r="CQ257" s="315">
        <v>453619</v>
      </c>
      <c r="CR257" s="315">
        <v>-1905730</v>
      </c>
      <c r="CS257" s="315">
        <v>-274189</v>
      </c>
      <c r="CT257" s="315">
        <v>-175279</v>
      </c>
      <c r="CU257" s="315">
        <v>-13144</v>
      </c>
      <c r="CV257" s="315">
        <v>-233</v>
      </c>
      <c r="CW257" s="315">
        <v>-85533</v>
      </c>
      <c r="CX257" s="315">
        <v>-1377456</v>
      </c>
      <c r="CY257" s="315">
        <v>-1355611</v>
      </c>
      <c r="CZ257" s="315">
        <v>-19330</v>
      </c>
      <c r="DA257" s="315">
        <v>-2515</v>
      </c>
      <c r="DB257" s="315">
        <v>-254085</v>
      </c>
      <c r="DC257" s="315">
        <v>0</v>
      </c>
      <c r="DD257" s="315">
        <v>8650844</v>
      </c>
      <c r="DE257" s="315">
        <v>6269807</v>
      </c>
      <c r="DF257" s="315">
        <v>2381037</v>
      </c>
      <c r="DG257" s="315">
        <v>2325437</v>
      </c>
      <c r="DH257" s="315">
        <v>55600</v>
      </c>
      <c r="DI257" s="315">
        <v>1797096</v>
      </c>
      <c r="DJ257" s="315">
        <v>62790</v>
      </c>
      <c r="DK257" s="315">
        <v>36568</v>
      </c>
      <c r="DL257" s="315">
        <v>1035</v>
      </c>
      <c r="DM257" s="315">
        <v>890639</v>
      </c>
      <c r="DN257" s="315">
        <v>601638</v>
      </c>
      <c r="DO257" s="315">
        <v>118818</v>
      </c>
      <c r="DP257" s="315"/>
      <c r="DQ257" s="315">
        <v>85576</v>
      </c>
      <c r="DR257" s="315">
        <v>32</v>
      </c>
      <c r="DS257" s="315">
        <v>-67306</v>
      </c>
      <c r="DT257" s="315">
        <v>-8406</v>
      </c>
      <c r="DU257" s="315">
        <v>-2940</v>
      </c>
      <c r="DV257" s="315">
        <v>-29</v>
      </c>
      <c r="DW257" s="315">
        <v>-47160</v>
      </c>
      <c r="DX257" s="315">
        <v>-7632</v>
      </c>
      <c r="DY257" s="315">
        <v>-256</v>
      </c>
      <c r="DZ257" s="315">
        <v>-39272</v>
      </c>
      <c r="EA257" s="315">
        <v>-8527</v>
      </c>
      <c r="EB257" s="315">
        <v>-88</v>
      </c>
      <c r="EC257" s="315"/>
      <c r="ED257" s="315">
        <v>0</v>
      </c>
      <c r="EE257" s="315">
        <v>-156</v>
      </c>
      <c r="EF257" s="315">
        <v>1729790</v>
      </c>
      <c r="EG257" s="315">
        <v>712364</v>
      </c>
      <c r="EH257" s="315">
        <v>1017426</v>
      </c>
      <c r="EI257" s="315">
        <v>1000039</v>
      </c>
      <c r="EJ257" s="315">
        <v>17387</v>
      </c>
      <c r="EK257" s="315">
        <v>54384</v>
      </c>
      <c r="EL257" s="315">
        <v>16625</v>
      </c>
      <c r="EM257" s="315">
        <v>37759</v>
      </c>
      <c r="EN257" s="315">
        <v>37016</v>
      </c>
      <c r="EO257" s="315">
        <v>743</v>
      </c>
      <c r="EP257" s="315">
        <v>33628</v>
      </c>
      <c r="EQ257" s="315">
        <v>19457</v>
      </c>
      <c r="ER257" s="315">
        <v>14171</v>
      </c>
      <c r="ES257" s="315">
        <v>13892</v>
      </c>
      <c r="ET257" s="315">
        <v>279</v>
      </c>
      <c r="EU257" s="315">
        <v>1006</v>
      </c>
      <c r="EV257" s="315">
        <v>50</v>
      </c>
      <c r="EW257" s="315">
        <v>956</v>
      </c>
      <c r="EX257" s="315">
        <v>939</v>
      </c>
      <c r="EY257" s="315">
        <v>17</v>
      </c>
      <c r="EZ257" s="315">
        <v>843479</v>
      </c>
      <c r="FA257" s="315">
        <v>305924</v>
      </c>
      <c r="FB257" s="315">
        <v>537555</v>
      </c>
      <c r="FC257" s="315">
        <v>527768</v>
      </c>
      <c r="FD257" s="315">
        <v>9787</v>
      </c>
      <c r="FE257" s="315">
        <v>593111</v>
      </c>
      <c r="FF257" s="315">
        <v>284666</v>
      </c>
      <c r="FG257" s="315">
        <v>308445</v>
      </c>
      <c r="FH257" s="315">
        <v>301884</v>
      </c>
      <c r="FI257" s="315">
        <v>6561</v>
      </c>
      <c r="FJ257" s="315">
        <v>118730</v>
      </c>
      <c r="FK257" s="315">
        <v>190</v>
      </c>
      <c r="FL257" s="315">
        <v>118540</v>
      </c>
      <c r="FM257" s="315">
        <v>118540</v>
      </c>
      <c r="FN257" s="315"/>
      <c r="FO257" s="315"/>
      <c r="FP257" s="315">
        <v>85576</v>
      </c>
      <c r="FQ257" s="315">
        <v>-124</v>
      </c>
      <c r="FR257" s="315">
        <v>464252</v>
      </c>
      <c r="FS257" s="315">
        <v>-52931</v>
      </c>
      <c r="FT257" s="315">
        <v>411321</v>
      </c>
      <c r="FU257" s="315">
        <v>2695</v>
      </c>
      <c r="FV257" s="315">
        <v>1641</v>
      </c>
      <c r="FW257" s="315">
        <v>1054</v>
      </c>
      <c r="FX257" s="315">
        <v>165983</v>
      </c>
      <c r="FY257" s="315">
        <v>98859</v>
      </c>
      <c r="FZ257" s="315"/>
      <c r="GA257" s="315"/>
      <c r="GB257" s="315">
        <v>29</v>
      </c>
      <c r="GC257" s="315">
        <v>33212</v>
      </c>
      <c r="GD257" s="315">
        <v>-25599</v>
      </c>
      <c r="GE257" s="315">
        <v>3345</v>
      </c>
      <c r="GF257" s="315">
        <v>55466</v>
      </c>
      <c r="GG257" s="315">
        <v>110543</v>
      </c>
      <c r="GH257" s="315">
        <v>7931</v>
      </c>
      <c r="GI257" s="315">
        <v>365</v>
      </c>
      <c r="GJ257" s="315">
        <v>102247</v>
      </c>
      <c r="GL257"/>
      <c r="GM257"/>
      <c r="GN257"/>
      <c r="GO257"/>
    </row>
    <row r="258" spans="1:197">
      <c r="A258" s="98" t="s">
        <v>33</v>
      </c>
      <c r="B258" s="98">
        <v>11</v>
      </c>
      <c r="C258" s="98" t="s">
        <v>227</v>
      </c>
      <c r="D258" s="315">
        <v>14803091</v>
      </c>
      <c r="E258" s="315">
        <v>-2675078</v>
      </c>
      <c r="F258" s="315">
        <v>-13266</v>
      </c>
      <c r="G258" s="315">
        <v>12114747</v>
      </c>
      <c r="H258" s="315">
        <v>5955824</v>
      </c>
      <c r="I258" s="315">
        <v>6158923</v>
      </c>
      <c r="J258" s="315">
        <v>6047545</v>
      </c>
      <c r="K258" s="315">
        <v>111378</v>
      </c>
      <c r="L258" s="315">
        <v>6537941</v>
      </c>
      <c r="M258" s="315">
        <v>3689960</v>
      </c>
      <c r="N258" s="315">
        <v>2517733</v>
      </c>
      <c r="O258" s="315">
        <v>2402682</v>
      </c>
      <c r="P258" s="315">
        <v>115051</v>
      </c>
      <c r="Q258" s="315">
        <v>54805</v>
      </c>
      <c r="R258" s="315">
        <v>275443</v>
      </c>
      <c r="S258" s="315">
        <v>-566751</v>
      </c>
      <c r="T258" s="315">
        <v>-557015</v>
      </c>
      <c r="U258" s="315">
        <v>-80763</v>
      </c>
      <c r="V258" s="315">
        <v>-3</v>
      </c>
      <c r="W258" s="315">
        <v>-447218</v>
      </c>
      <c r="X258" s="315">
        <v>0</v>
      </c>
      <c r="Y258" s="315">
        <v>-29031</v>
      </c>
      <c r="Z258" s="315">
        <v>-4416</v>
      </c>
      <c r="AA258" s="315">
        <v>-5320</v>
      </c>
      <c r="AB258" s="315">
        <v>0</v>
      </c>
      <c r="AC258" s="315">
        <v>-13266</v>
      </c>
      <c r="AD258" s="315">
        <v>5957924</v>
      </c>
      <c r="AE258" s="315">
        <v>3178243</v>
      </c>
      <c r="AF258" s="315">
        <v>2779681</v>
      </c>
      <c r="AG258" s="315">
        <v>2722070</v>
      </c>
      <c r="AH258" s="315">
        <v>57611</v>
      </c>
      <c r="AI258" s="315">
        <v>3686499</v>
      </c>
      <c r="AJ258" s="315">
        <v>1456006</v>
      </c>
      <c r="AK258" s="315">
        <v>2147655</v>
      </c>
      <c r="AL258" s="315">
        <v>11966</v>
      </c>
      <c r="AM258" s="315">
        <v>136560</v>
      </c>
      <c r="AN258" s="315">
        <v>47080</v>
      </c>
      <c r="AO258" s="315">
        <v>32267</v>
      </c>
      <c r="AP258" s="315">
        <v>40929</v>
      </c>
      <c r="AQ258" s="315">
        <v>16748</v>
      </c>
      <c r="AR258" s="315">
        <v>1960718</v>
      </c>
      <c r="AS258" s="315">
        <v>50389</v>
      </c>
      <c r="AT258" s="315">
        <v>0</v>
      </c>
      <c r="AU258" s="315">
        <v>-13266</v>
      </c>
      <c r="AV258" s="315">
        <v>371236</v>
      </c>
      <c r="AW258" s="315">
        <v>56549</v>
      </c>
      <c r="AX258" s="315">
        <v>84487</v>
      </c>
      <c r="AY258" s="315">
        <v>13746</v>
      </c>
      <c r="AZ258" s="315">
        <v>7063</v>
      </c>
      <c r="BA258" s="315">
        <v>9865</v>
      </c>
      <c r="BB258" s="315">
        <v>53813</v>
      </c>
      <c r="BC258" s="315">
        <v>140857</v>
      </c>
      <c r="BD258" s="315">
        <v>89343</v>
      </c>
      <c r="BE258" s="315">
        <v>-519781</v>
      </c>
      <c r="BF258" s="315">
        <v>-517483</v>
      </c>
      <c r="BG258" s="315">
        <v>-501397</v>
      </c>
      <c r="BH258" s="315">
        <v>-16086</v>
      </c>
      <c r="BI258" s="315">
        <v>-469480</v>
      </c>
      <c r="BJ258" s="315">
        <v>-22099</v>
      </c>
      <c r="BK258" s="315">
        <v>-25904</v>
      </c>
      <c r="BL258" s="315">
        <v>-2298</v>
      </c>
      <c r="BM258" s="315">
        <v>0</v>
      </c>
      <c r="BN258" s="315">
        <v>-148545</v>
      </c>
      <c r="BO258" s="315">
        <v>58003</v>
      </c>
      <c r="BP258" s="315">
        <v>16527</v>
      </c>
      <c r="BQ258" s="315">
        <v>13728</v>
      </c>
      <c r="BR258" s="315">
        <v>654</v>
      </c>
      <c r="BS258" s="315">
        <v>54675</v>
      </c>
      <c r="BT258" s="315">
        <v>5321</v>
      </c>
      <c r="BU258" s="315">
        <v>2136</v>
      </c>
      <c r="BV258" s="315">
        <v>819</v>
      </c>
      <c r="BW258" s="315">
        <v>46399</v>
      </c>
      <c r="BX258" s="315">
        <v>-416910</v>
      </c>
      <c r="BY258" s="315">
        <v>124771</v>
      </c>
      <c r="BZ258" s="315">
        <v>7</v>
      </c>
      <c r="CA258" s="315">
        <v>94693</v>
      </c>
      <c r="CB258" s="315">
        <v>-29322</v>
      </c>
      <c r="CC258" s="315">
        <v>-29322</v>
      </c>
      <c r="CD258" s="315">
        <v>0</v>
      </c>
      <c r="CE258" s="315">
        <v>65371</v>
      </c>
      <c r="CF258" s="315">
        <v>70216</v>
      </c>
      <c r="CG258" s="315">
        <v>32</v>
      </c>
      <c r="CH258" s="315">
        <v>-4877</v>
      </c>
      <c r="CI258" s="315">
        <v>5081771</v>
      </c>
      <c r="CJ258" s="315">
        <v>1099101</v>
      </c>
      <c r="CK258" s="315">
        <v>3982670</v>
      </c>
      <c r="CL258" s="315">
        <v>3394652</v>
      </c>
      <c r="CM258" s="315">
        <v>92381</v>
      </c>
      <c r="CN258" s="315">
        <v>495637</v>
      </c>
      <c r="CO258" s="315">
        <v>5500</v>
      </c>
      <c r="CP258" s="315">
        <v>0</v>
      </c>
      <c r="CQ258" s="315">
        <v>490137</v>
      </c>
      <c r="CR258" s="315">
        <v>-1457668</v>
      </c>
      <c r="CS258" s="315">
        <v>-265027</v>
      </c>
      <c r="CT258" s="315">
        <v>-158119</v>
      </c>
      <c r="CU258" s="315">
        <v>-5794</v>
      </c>
      <c r="CV258" s="315">
        <v>-1522</v>
      </c>
      <c r="CW258" s="315">
        <v>-99592</v>
      </c>
      <c r="CX258" s="315">
        <v>-1188158</v>
      </c>
      <c r="CY258" s="315">
        <v>-1170301</v>
      </c>
      <c r="CZ258" s="315">
        <v>-16927</v>
      </c>
      <c r="DA258" s="315">
        <v>-930</v>
      </c>
      <c r="DB258" s="315">
        <v>-4483</v>
      </c>
      <c r="DC258" s="315">
        <v>0</v>
      </c>
      <c r="DD258" s="315">
        <v>3624103</v>
      </c>
      <c r="DE258" s="315">
        <v>1257766</v>
      </c>
      <c r="DF258" s="315">
        <v>2366337</v>
      </c>
      <c r="DG258" s="315">
        <v>2325435</v>
      </c>
      <c r="DH258" s="315">
        <v>40902</v>
      </c>
      <c r="DI258" s="315">
        <v>1704369</v>
      </c>
      <c r="DJ258" s="315">
        <v>96979</v>
      </c>
      <c r="DK258" s="315">
        <v>33194</v>
      </c>
      <c r="DL258" s="315">
        <v>2377</v>
      </c>
      <c r="DM258" s="315">
        <v>877457</v>
      </c>
      <c r="DN258" s="315">
        <v>585978</v>
      </c>
      <c r="DO258" s="315">
        <v>108234</v>
      </c>
      <c r="DP258" s="315"/>
      <c r="DQ258" s="315">
        <v>88</v>
      </c>
      <c r="DR258" s="315">
        <v>62</v>
      </c>
      <c r="DS258" s="315">
        <v>-47134</v>
      </c>
      <c r="DT258" s="315">
        <v>-2811</v>
      </c>
      <c r="DU258" s="315">
        <v>-209</v>
      </c>
      <c r="DV258" s="315">
        <v>-19</v>
      </c>
      <c r="DW258" s="315">
        <v>-43740</v>
      </c>
      <c r="DX258" s="315">
        <v>-6198</v>
      </c>
      <c r="DY258" s="315">
        <v>-612</v>
      </c>
      <c r="DZ258" s="315">
        <v>-36930</v>
      </c>
      <c r="EA258" s="315">
        <v>0</v>
      </c>
      <c r="EB258" s="315">
        <v>-347</v>
      </c>
      <c r="EC258" s="315"/>
      <c r="ED258" s="315">
        <v>0</v>
      </c>
      <c r="EE258" s="315">
        <v>-8</v>
      </c>
      <c r="EF258" s="315">
        <v>1657235</v>
      </c>
      <c r="EG258" s="315">
        <v>644330</v>
      </c>
      <c r="EH258" s="315">
        <v>1012905</v>
      </c>
      <c r="EI258" s="315">
        <v>1000040</v>
      </c>
      <c r="EJ258" s="315">
        <v>12865</v>
      </c>
      <c r="EK258" s="315">
        <v>94168</v>
      </c>
      <c r="EL258" s="315">
        <v>56460</v>
      </c>
      <c r="EM258" s="315">
        <v>37708</v>
      </c>
      <c r="EN258" s="315">
        <v>37016</v>
      </c>
      <c r="EO258" s="315">
        <v>692</v>
      </c>
      <c r="EP258" s="315">
        <v>32985</v>
      </c>
      <c r="EQ258" s="315">
        <v>18836</v>
      </c>
      <c r="ER258" s="315">
        <v>14149</v>
      </c>
      <c r="ES258" s="315">
        <v>13892</v>
      </c>
      <c r="ET258" s="315">
        <v>257</v>
      </c>
      <c r="EU258" s="315">
        <v>2358</v>
      </c>
      <c r="EV258" s="315">
        <v>1403</v>
      </c>
      <c r="EW258" s="315">
        <v>955</v>
      </c>
      <c r="EX258" s="315">
        <v>939</v>
      </c>
      <c r="EY258" s="315">
        <v>16</v>
      </c>
      <c r="EZ258" s="315">
        <v>833717</v>
      </c>
      <c r="FA258" s="315">
        <v>296293</v>
      </c>
      <c r="FB258" s="315">
        <v>537424</v>
      </c>
      <c r="FC258" s="315">
        <v>527769</v>
      </c>
      <c r="FD258" s="315">
        <v>9655</v>
      </c>
      <c r="FE258" s="315">
        <v>585978</v>
      </c>
      <c r="FF258" s="315">
        <v>281848</v>
      </c>
      <c r="FG258" s="315">
        <v>304130</v>
      </c>
      <c r="FH258" s="315">
        <v>301885</v>
      </c>
      <c r="FI258" s="315">
        <v>2245</v>
      </c>
      <c r="FJ258" s="315">
        <v>107887</v>
      </c>
      <c r="FK258" s="315">
        <v>-10652</v>
      </c>
      <c r="FL258" s="315">
        <v>118539</v>
      </c>
      <c r="FM258" s="315">
        <v>118539</v>
      </c>
      <c r="FN258" s="315"/>
      <c r="FO258" s="315"/>
      <c r="FP258" s="315">
        <v>88</v>
      </c>
      <c r="FQ258" s="315">
        <v>54</v>
      </c>
      <c r="FR258" s="315">
        <v>1013081</v>
      </c>
      <c r="FS258" s="315">
        <v>-54422</v>
      </c>
      <c r="FT258" s="315">
        <v>958659</v>
      </c>
      <c r="FU258" s="315">
        <v>467308</v>
      </c>
      <c r="FV258" s="315">
        <v>466879</v>
      </c>
      <c r="FW258" s="315">
        <v>429</v>
      </c>
      <c r="FX258" s="315">
        <v>160491</v>
      </c>
      <c r="FY258" s="315">
        <v>115352</v>
      </c>
      <c r="FZ258" s="315"/>
      <c r="GA258" s="315"/>
      <c r="GB258" s="315">
        <v>40</v>
      </c>
      <c r="GC258" s="315">
        <v>35544</v>
      </c>
      <c r="GD258" s="315">
        <v>-27209</v>
      </c>
      <c r="GE258" s="315">
        <v>67</v>
      </c>
      <c r="GF258" s="315">
        <v>62686</v>
      </c>
      <c r="GG258" s="315">
        <v>179924</v>
      </c>
      <c r="GH258" s="315">
        <v>15151</v>
      </c>
      <c r="GI258" s="315">
        <v>601</v>
      </c>
      <c r="GJ258" s="315">
        <v>164172</v>
      </c>
      <c r="GL258"/>
      <c r="GM258"/>
      <c r="GN258"/>
      <c r="GO258"/>
    </row>
    <row r="259" spans="1:197">
      <c r="A259" s="98" t="s">
        <v>33</v>
      </c>
      <c r="B259" s="98">
        <v>12</v>
      </c>
      <c r="C259" s="98" t="s">
        <v>228</v>
      </c>
      <c r="D259" s="315">
        <v>17474556</v>
      </c>
      <c r="E259" s="315">
        <v>-3939323</v>
      </c>
      <c r="F259" s="315">
        <v>-13266</v>
      </c>
      <c r="G259" s="315">
        <v>13521967</v>
      </c>
      <c r="H259" s="315">
        <v>7340891</v>
      </c>
      <c r="I259" s="315">
        <v>6181076</v>
      </c>
      <c r="J259" s="315">
        <v>6047546</v>
      </c>
      <c r="K259" s="315">
        <v>133530</v>
      </c>
      <c r="L259" s="315">
        <v>4931240</v>
      </c>
      <c r="M259" s="315">
        <v>4481604</v>
      </c>
      <c r="N259" s="315">
        <v>121464</v>
      </c>
      <c r="O259" s="315">
        <v>28738</v>
      </c>
      <c r="P259" s="315">
        <v>92726</v>
      </c>
      <c r="Q259" s="315">
        <v>56659</v>
      </c>
      <c r="R259" s="315">
        <v>271513</v>
      </c>
      <c r="S259" s="315">
        <v>-533976</v>
      </c>
      <c r="T259" s="315">
        <v>-502336</v>
      </c>
      <c r="U259" s="315">
        <v>-78541</v>
      </c>
      <c r="V259" s="315">
        <v>-7</v>
      </c>
      <c r="W259" s="315">
        <v>-400663</v>
      </c>
      <c r="X259" s="315">
        <v>0</v>
      </c>
      <c r="Y259" s="315">
        <v>-23125</v>
      </c>
      <c r="Z259" s="315">
        <v>-6623</v>
      </c>
      <c r="AA259" s="315">
        <v>-25017</v>
      </c>
      <c r="AB259" s="315">
        <v>0</v>
      </c>
      <c r="AC259" s="315">
        <v>-13266</v>
      </c>
      <c r="AD259" s="315">
        <v>4383998</v>
      </c>
      <c r="AE259" s="315">
        <v>1601008</v>
      </c>
      <c r="AF259" s="315">
        <v>2782990</v>
      </c>
      <c r="AG259" s="315">
        <v>2722070</v>
      </c>
      <c r="AH259" s="315">
        <v>60920</v>
      </c>
      <c r="AI259" s="315">
        <v>4475311</v>
      </c>
      <c r="AJ259" s="315">
        <v>2158143</v>
      </c>
      <c r="AK259" s="315">
        <v>2248296</v>
      </c>
      <c r="AL259" s="315">
        <v>17072</v>
      </c>
      <c r="AM259" s="315">
        <v>159229</v>
      </c>
      <c r="AN259" s="315">
        <v>39834</v>
      </c>
      <c r="AO259" s="315">
        <v>42602</v>
      </c>
      <c r="AP259" s="315">
        <v>-1257</v>
      </c>
      <c r="AQ259" s="315">
        <v>12381</v>
      </c>
      <c r="AR259" s="315">
        <v>-380872</v>
      </c>
      <c r="AS259" s="315">
        <v>50036</v>
      </c>
      <c r="AT259" s="315">
        <v>0</v>
      </c>
      <c r="AU259" s="315">
        <v>-13266</v>
      </c>
      <c r="AV259" s="315">
        <v>4476659</v>
      </c>
      <c r="AW259" s="315">
        <v>3892425</v>
      </c>
      <c r="AX259" s="315">
        <v>65555</v>
      </c>
      <c r="AY259" s="315">
        <v>14739</v>
      </c>
      <c r="AZ259" s="315">
        <v>8600</v>
      </c>
      <c r="BA259" s="315">
        <v>5732</v>
      </c>
      <c r="BB259" s="315">
        <v>36484</v>
      </c>
      <c r="BC259" s="315">
        <v>423117</v>
      </c>
      <c r="BD259" s="315">
        <v>95562</v>
      </c>
      <c r="BE259" s="315">
        <v>-685792</v>
      </c>
      <c r="BF259" s="315">
        <v>-684941</v>
      </c>
      <c r="BG259" s="315">
        <v>-671532</v>
      </c>
      <c r="BH259" s="315">
        <v>-13409</v>
      </c>
      <c r="BI259" s="315">
        <v>-657122.00000000012</v>
      </c>
      <c r="BJ259" s="315">
        <v>-5885</v>
      </c>
      <c r="BK259" s="315">
        <v>-21933.999999999884</v>
      </c>
      <c r="BL259" s="315">
        <v>-851</v>
      </c>
      <c r="BM259" s="315">
        <v>0</v>
      </c>
      <c r="BN259" s="315">
        <v>3790867</v>
      </c>
      <c r="BO259" s="315">
        <v>62953</v>
      </c>
      <c r="BP259" s="315">
        <v>13987</v>
      </c>
      <c r="BQ259" s="315">
        <v>18133</v>
      </c>
      <c r="BR259" s="315">
        <v>43</v>
      </c>
      <c r="BS259" s="315">
        <v>3891869</v>
      </c>
      <c r="BT259" s="315">
        <v>1215138</v>
      </c>
      <c r="BU259" s="315">
        <v>2062267</v>
      </c>
      <c r="BV259" s="315">
        <v>599346</v>
      </c>
      <c r="BW259" s="315">
        <v>15118</v>
      </c>
      <c r="BX259" s="315">
        <v>-605977</v>
      </c>
      <c r="BY259" s="315">
        <v>409708</v>
      </c>
      <c r="BZ259" s="315">
        <v>151</v>
      </c>
      <c r="CA259" s="315">
        <v>192424</v>
      </c>
      <c r="CB259" s="315">
        <v>-29545</v>
      </c>
      <c r="CC259" s="315">
        <v>-29545</v>
      </c>
      <c r="CD259" s="315">
        <v>0</v>
      </c>
      <c r="CE259" s="315">
        <v>162879</v>
      </c>
      <c r="CF259" s="315">
        <v>157629</v>
      </c>
      <c r="CG259" s="315">
        <v>10939</v>
      </c>
      <c r="CH259" s="315">
        <v>-5689</v>
      </c>
      <c r="CI259" s="315">
        <v>5578106</v>
      </c>
      <c r="CJ259" s="315">
        <v>1064798</v>
      </c>
      <c r="CK259" s="315">
        <v>4513308</v>
      </c>
      <c r="CL259" s="315">
        <v>3511743</v>
      </c>
      <c r="CM259" s="315">
        <v>62597</v>
      </c>
      <c r="CN259" s="315">
        <v>938968</v>
      </c>
      <c r="CO259" s="315">
        <v>0</v>
      </c>
      <c r="CP259" s="315">
        <v>0</v>
      </c>
      <c r="CQ259" s="315">
        <v>938968</v>
      </c>
      <c r="CR259" s="315">
        <v>-2555574</v>
      </c>
      <c r="CS259" s="315">
        <v>-163962</v>
      </c>
      <c r="CT259" s="315">
        <v>-68705</v>
      </c>
      <c r="CU259" s="315">
        <v>-5347</v>
      </c>
      <c r="CV259" s="315">
        <v>-1159</v>
      </c>
      <c r="CW259" s="315">
        <v>-88751</v>
      </c>
      <c r="CX259" s="315">
        <v>-1447804</v>
      </c>
      <c r="CY259" s="315">
        <v>-1441244</v>
      </c>
      <c r="CZ259" s="315">
        <v>-5507</v>
      </c>
      <c r="DA259" s="315">
        <v>-1053</v>
      </c>
      <c r="DB259" s="315">
        <v>-634396</v>
      </c>
      <c r="DC259" s="315">
        <v>-309412</v>
      </c>
      <c r="DD259" s="315">
        <v>3022532</v>
      </c>
      <c r="DE259" s="315">
        <v>641849</v>
      </c>
      <c r="DF259" s="315">
        <v>2380683</v>
      </c>
      <c r="DG259" s="315">
        <v>2325436</v>
      </c>
      <c r="DH259" s="315">
        <v>55247</v>
      </c>
      <c r="DI259" s="315">
        <v>1581371</v>
      </c>
      <c r="DJ259" s="315">
        <v>68365</v>
      </c>
      <c r="DK259" s="315">
        <v>25290</v>
      </c>
      <c r="DL259" s="315">
        <v>1156</v>
      </c>
      <c r="DM259" s="315">
        <v>867780</v>
      </c>
      <c r="DN259" s="315">
        <v>510380</v>
      </c>
      <c r="DO259" s="315">
        <v>103449</v>
      </c>
      <c r="DP259" s="315"/>
      <c r="DQ259" s="315">
        <v>4885</v>
      </c>
      <c r="DR259" s="315">
        <v>66</v>
      </c>
      <c r="DS259" s="315">
        <v>-87597</v>
      </c>
      <c r="DT259" s="315">
        <v>-6853</v>
      </c>
      <c r="DU259" s="315">
        <v>-5739</v>
      </c>
      <c r="DV259" s="315">
        <v>-16</v>
      </c>
      <c r="DW259" s="315">
        <v>-62483</v>
      </c>
      <c r="DX259" s="315">
        <v>-4883</v>
      </c>
      <c r="DY259" s="315">
        <v>-236</v>
      </c>
      <c r="DZ259" s="315">
        <v>-57364</v>
      </c>
      <c r="EA259" s="315">
        <v>-12388</v>
      </c>
      <c r="EB259" s="315">
        <v>-105</v>
      </c>
      <c r="EC259" s="315"/>
      <c r="ED259" s="315">
        <v>0</v>
      </c>
      <c r="EE259" s="315">
        <v>-13</v>
      </c>
      <c r="EF259" s="315">
        <v>1493774</v>
      </c>
      <c r="EG259" s="315">
        <v>476371</v>
      </c>
      <c r="EH259" s="315">
        <v>1017403</v>
      </c>
      <c r="EI259" s="315">
        <v>1000040</v>
      </c>
      <c r="EJ259" s="315">
        <v>17363</v>
      </c>
      <c r="EK259" s="315">
        <v>61512</v>
      </c>
      <c r="EL259" s="315">
        <v>23750</v>
      </c>
      <c r="EM259" s="315">
        <v>37762</v>
      </c>
      <c r="EN259" s="315">
        <v>37017</v>
      </c>
      <c r="EO259" s="315">
        <v>745</v>
      </c>
      <c r="EP259" s="315">
        <v>19551</v>
      </c>
      <c r="EQ259" s="315">
        <v>5385</v>
      </c>
      <c r="ER259" s="315">
        <v>14166</v>
      </c>
      <c r="ES259" s="315">
        <v>13890</v>
      </c>
      <c r="ET259" s="315">
        <v>276</v>
      </c>
      <c r="EU259" s="315">
        <v>1140</v>
      </c>
      <c r="EV259" s="315">
        <v>182</v>
      </c>
      <c r="EW259" s="315">
        <v>958</v>
      </c>
      <c r="EX259" s="315">
        <v>940</v>
      </c>
      <c r="EY259" s="315">
        <v>18</v>
      </c>
      <c r="EZ259" s="315">
        <v>805297</v>
      </c>
      <c r="FA259" s="315">
        <v>267740</v>
      </c>
      <c r="FB259" s="315">
        <v>537557</v>
      </c>
      <c r="FC259" s="315">
        <v>527769</v>
      </c>
      <c r="FD259" s="315">
        <v>9788</v>
      </c>
      <c r="FE259" s="315">
        <v>497992</v>
      </c>
      <c r="FF259" s="315">
        <v>189572</v>
      </c>
      <c r="FG259" s="315">
        <v>308420</v>
      </c>
      <c r="FH259" s="315">
        <v>301884</v>
      </c>
      <c r="FI259" s="315">
        <v>6536</v>
      </c>
      <c r="FJ259" s="315">
        <v>103344</v>
      </c>
      <c r="FK259" s="315">
        <v>-15196</v>
      </c>
      <c r="FL259" s="315">
        <v>118540</v>
      </c>
      <c r="FM259" s="315">
        <v>118540</v>
      </c>
      <c r="FN259" s="315"/>
      <c r="FO259" s="315"/>
      <c r="FP259" s="315">
        <v>4885</v>
      </c>
      <c r="FQ259" s="315">
        <v>53</v>
      </c>
      <c r="FR259" s="315">
        <v>714756</v>
      </c>
      <c r="FS259" s="315">
        <v>-46839</v>
      </c>
      <c r="FT259" s="315">
        <v>667917</v>
      </c>
      <c r="FU259" s="315">
        <v>212152</v>
      </c>
      <c r="FV259" s="315">
        <v>211502</v>
      </c>
      <c r="FW259" s="315">
        <v>650</v>
      </c>
      <c r="FX259" s="315">
        <v>150543</v>
      </c>
      <c r="FY259" s="315">
        <v>114244</v>
      </c>
      <c r="FZ259" s="315"/>
      <c r="GA259" s="315"/>
      <c r="GB259" s="315">
        <v>31</v>
      </c>
      <c r="GC259" s="315">
        <v>25959</v>
      </c>
      <c r="GD259" s="315">
        <v>-27325</v>
      </c>
      <c r="GE259" s="315">
        <v>69</v>
      </c>
      <c r="GF259" s="315">
        <v>53215</v>
      </c>
      <c r="GG259" s="315">
        <v>164988</v>
      </c>
      <c r="GH259" s="315">
        <v>12795</v>
      </c>
      <c r="GI259" s="315">
        <v>512</v>
      </c>
      <c r="GJ259" s="315">
        <v>151681</v>
      </c>
      <c r="GL259"/>
      <c r="GM259"/>
      <c r="GN259"/>
      <c r="GO259"/>
    </row>
    <row r="260" spans="1:197">
      <c r="A260" s="96" t="s">
        <v>34</v>
      </c>
      <c r="B260" s="96">
        <v>1</v>
      </c>
      <c r="C260" s="97" t="s">
        <v>217</v>
      </c>
      <c r="D260" s="314">
        <v>14896314</v>
      </c>
      <c r="E260" s="314">
        <v>-6045186</v>
      </c>
      <c r="F260" s="314">
        <v>-104333</v>
      </c>
      <c r="G260" s="314">
        <v>8746795</v>
      </c>
      <c r="H260" s="314">
        <v>2342372</v>
      </c>
      <c r="I260" s="314">
        <v>6404423</v>
      </c>
      <c r="J260" s="314">
        <v>6270498</v>
      </c>
      <c r="K260" s="314">
        <v>133925</v>
      </c>
      <c r="L260" s="314">
        <v>10498626</v>
      </c>
      <c r="M260" s="314">
        <v>9194615</v>
      </c>
      <c r="N260" s="314">
        <v>100525</v>
      </c>
      <c r="O260" s="314">
        <v>0</v>
      </c>
      <c r="P260" s="314">
        <v>100525</v>
      </c>
      <c r="Q260" s="314">
        <v>71829</v>
      </c>
      <c r="R260" s="314">
        <v>1131657</v>
      </c>
      <c r="S260" s="314">
        <v>-260964</v>
      </c>
      <c r="T260" s="314">
        <v>-254341</v>
      </c>
      <c r="U260" s="314">
        <v>0</v>
      </c>
      <c r="V260" s="314">
        <v>-76227</v>
      </c>
      <c r="W260" s="314">
        <v>0</v>
      </c>
      <c r="X260" s="314">
        <v>-160007</v>
      </c>
      <c r="Y260" s="314">
        <v>-18107</v>
      </c>
      <c r="Z260" s="314">
        <v>-3443</v>
      </c>
      <c r="AA260" s="314">
        <v>-3024</v>
      </c>
      <c r="AB260" s="314">
        <v>-156</v>
      </c>
      <c r="AC260" s="314">
        <v>-104333</v>
      </c>
      <c r="AD260" s="314">
        <v>10133329</v>
      </c>
      <c r="AE260" s="314">
        <v>7281606</v>
      </c>
      <c r="AF260" s="314">
        <v>2851723</v>
      </c>
      <c r="AG260" s="314">
        <v>2787840</v>
      </c>
      <c r="AH260" s="314">
        <v>63883</v>
      </c>
      <c r="AI260" s="314">
        <v>9192833</v>
      </c>
      <c r="AJ260" s="314">
        <v>1894423</v>
      </c>
      <c r="AK260" s="314">
        <v>3329656</v>
      </c>
      <c r="AL260" s="314">
        <v>3891342</v>
      </c>
      <c r="AM260" s="314">
        <v>500420</v>
      </c>
      <c r="AN260" s="314">
        <v>358043</v>
      </c>
      <c r="AO260" s="314">
        <v>78668</v>
      </c>
      <c r="AP260" s="314">
        <v>142996</v>
      </c>
      <c r="AQ260" s="314">
        <v>50132</v>
      </c>
      <c r="AR260" s="314">
        <v>-153816</v>
      </c>
      <c r="AS260" s="314">
        <v>68386</v>
      </c>
      <c r="AT260" s="314">
        <v>0</v>
      </c>
      <c r="AU260" s="314">
        <v>-104333</v>
      </c>
      <c r="AV260" s="314">
        <v>576502</v>
      </c>
      <c r="AW260" s="314">
        <v>56995</v>
      </c>
      <c r="AX260" s="314">
        <v>52153</v>
      </c>
      <c r="AY260" s="314">
        <v>8281</v>
      </c>
      <c r="AZ260" s="314">
        <v>3420</v>
      </c>
      <c r="BA260" s="314">
        <v>15885</v>
      </c>
      <c r="BB260" s="314">
        <v>24567</v>
      </c>
      <c r="BC260" s="314">
        <v>70387</v>
      </c>
      <c r="BD260" s="314">
        <v>396967</v>
      </c>
      <c r="BE260" s="314">
        <v>-4328237</v>
      </c>
      <c r="BF260" s="314">
        <v>-4327073</v>
      </c>
      <c r="BG260" s="314">
        <v>-4162155</v>
      </c>
      <c r="BH260" s="314">
        <v>-164918</v>
      </c>
      <c r="BI260" s="314">
        <v>0</v>
      </c>
      <c r="BJ260" s="314">
        <v>-4154173.0000000005</v>
      </c>
      <c r="BK260" s="314">
        <v>-172899.99999999953</v>
      </c>
      <c r="BL260" s="314">
        <v>-1164</v>
      </c>
      <c r="BM260" s="314">
        <v>0</v>
      </c>
      <c r="BN260" s="314">
        <v>-3751735</v>
      </c>
      <c r="BO260" s="314">
        <v>212711</v>
      </c>
      <c r="BP260" s="314">
        <v>149737</v>
      </c>
      <c r="BQ260" s="314">
        <v>33493</v>
      </c>
      <c r="BR260" s="314">
        <v>432</v>
      </c>
      <c r="BS260" s="314">
        <v>56315</v>
      </c>
      <c r="BT260" s="314">
        <v>9645</v>
      </c>
      <c r="BU260" s="314">
        <v>932</v>
      </c>
      <c r="BV260" s="314">
        <v>9256</v>
      </c>
      <c r="BW260" s="314">
        <v>36482</v>
      </c>
      <c r="BX260" s="314">
        <v>-4110002</v>
      </c>
      <c r="BY260" s="314">
        <v>-94531</v>
      </c>
      <c r="BZ260" s="314">
        <v>110</v>
      </c>
      <c r="CA260" s="314">
        <v>276087</v>
      </c>
      <c r="CB260" s="314">
        <v>-41806</v>
      </c>
      <c r="CC260" s="314">
        <v>-41806</v>
      </c>
      <c r="CD260" s="314">
        <v>0</v>
      </c>
      <c r="CE260" s="314">
        <v>234281</v>
      </c>
      <c r="CF260" s="314">
        <v>206543</v>
      </c>
      <c r="CG260" s="314">
        <v>104</v>
      </c>
      <c r="CH260" s="314">
        <v>27634</v>
      </c>
      <c r="CI260" s="314">
        <v>1357983</v>
      </c>
      <c r="CJ260" s="314">
        <v>1021265</v>
      </c>
      <c r="CK260" s="314">
        <v>336718</v>
      </c>
      <c r="CL260" s="314"/>
      <c r="CM260" s="314"/>
      <c r="CN260" s="314"/>
      <c r="CO260" s="314">
        <v>0</v>
      </c>
      <c r="CP260" s="314">
        <v>0</v>
      </c>
      <c r="CQ260" s="314">
        <v>0</v>
      </c>
      <c r="CR260" s="314">
        <v>-1337612</v>
      </c>
      <c r="CS260" s="314">
        <v>-143695</v>
      </c>
      <c r="CT260" s="314">
        <v>0</v>
      </c>
      <c r="CU260" s="314">
        <v>-50267</v>
      </c>
      <c r="CV260" s="314">
        <v>-190</v>
      </c>
      <c r="CW260" s="314">
        <v>-93238</v>
      </c>
      <c r="CX260" s="314">
        <v>-1193917</v>
      </c>
      <c r="CY260" s="314">
        <v>-151</v>
      </c>
      <c r="CZ260" s="314">
        <v>-1192139</v>
      </c>
      <c r="DA260" s="314">
        <v>-1627</v>
      </c>
      <c r="DB260" s="314">
        <v>0</v>
      </c>
      <c r="DC260" s="314">
        <v>0</v>
      </c>
      <c r="DD260" s="314">
        <v>20371</v>
      </c>
      <c r="DE260" s="314">
        <v>-2484693</v>
      </c>
      <c r="DF260" s="314">
        <v>2505064</v>
      </c>
      <c r="DG260" s="314">
        <v>2452745</v>
      </c>
      <c r="DH260" s="314">
        <v>52319</v>
      </c>
      <c r="DI260" s="314">
        <v>1699984</v>
      </c>
      <c r="DJ260" s="314">
        <v>40411</v>
      </c>
      <c r="DK260" s="314">
        <v>24145</v>
      </c>
      <c r="DL260" s="314">
        <v>889</v>
      </c>
      <c r="DM260" s="314">
        <v>889262</v>
      </c>
      <c r="DN260" s="314">
        <v>554130</v>
      </c>
      <c r="DO260" s="314">
        <v>111037</v>
      </c>
      <c r="DP260" s="314"/>
      <c r="DQ260" s="314">
        <v>80056</v>
      </c>
      <c r="DR260" s="314">
        <v>54</v>
      </c>
      <c r="DS260" s="314">
        <v>-26654</v>
      </c>
      <c r="DT260" s="314">
        <v>-2884</v>
      </c>
      <c r="DU260" s="314">
        <v>-423</v>
      </c>
      <c r="DV260" s="314">
        <v>-9</v>
      </c>
      <c r="DW260" s="314">
        <v>-21941</v>
      </c>
      <c r="DX260" s="314">
        <v>-4175</v>
      </c>
      <c r="DY260" s="314">
        <v>-60</v>
      </c>
      <c r="DZ260" s="314">
        <v>-17706</v>
      </c>
      <c r="EA260" s="314">
        <v>-1221</v>
      </c>
      <c r="EB260" s="314">
        <v>-92</v>
      </c>
      <c r="EC260" s="314"/>
      <c r="ED260" s="314">
        <v>0</v>
      </c>
      <c r="EE260" s="314">
        <v>-84</v>
      </c>
      <c r="EF260" s="314">
        <v>1673330</v>
      </c>
      <c r="EG260" s="314">
        <v>625694</v>
      </c>
      <c r="EH260" s="314">
        <v>1047636</v>
      </c>
      <c r="EI260" s="314">
        <v>1029913</v>
      </c>
      <c r="EJ260" s="314">
        <v>17723</v>
      </c>
      <c r="EK260" s="314">
        <v>37527</v>
      </c>
      <c r="EL260" s="314">
        <v>-1143</v>
      </c>
      <c r="EM260" s="314">
        <v>38670</v>
      </c>
      <c r="EN260" s="314">
        <v>37869</v>
      </c>
      <c r="EO260" s="314">
        <v>801</v>
      </c>
      <c r="EP260" s="314">
        <v>23722</v>
      </c>
      <c r="EQ260" s="314">
        <v>8500</v>
      </c>
      <c r="ER260" s="314">
        <v>15222</v>
      </c>
      <c r="ES260" s="314">
        <v>14934</v>
      </c>
      <c r="ET260" s="314">
        <v>288</v>
      </c>
      <c r="EU260" s="314">
        <v>880</v>
      </c>
      <c r="EV260" s="314">
        <v>-77</v>
      </c>
      <c r="EW260" s="314">
        <v>957</v>
      </c>
      <c r="EX260" s="314">
        <v>939</v>
      </c>
      <c r="EY260" s="314">
        <v>18</v>
      </c>
      <c r="EZ260" s="314">
        <v>867321</v>
      </c>
      <c r="FA260" s="314">
        <v>320884</v>
      </c>
      <c r="FB260" s="314">
        <v>546437</v>
      </c>
      <c r="FC260" s="314">
        <v>537015</v>
      </c>
      <c r="FD260" s="314">
        <v>9422</v>
      </c>
      <c r="FE260" s="314">
        <v>552909</v>
      </c>
      <c r="FF260" s="314">
        <v>225832</v>
      </c>
      <c r="FG260" s="314">
        <v>327077</v>
      </c>
      <c r="FH260" s="314">
        <v>319883</v>
      </c>
      <c r="FI260" s="314">
        <v>7194</v>
      </c>
      <c r="FJ260" s="314">
        <v>110945</v>
      </c>
      <c r="FK260" s="314">
        <v>-8328</v>
      </c>
      <c r="FL260" s="314">
        <v>119273</v>
      </c>
      <c r="FM260" s="314">
        <v>119273</v>
      </c>
      <c r="FN260" s="314"/>
      <c r="FO260" s="314"/>
      <c r="FP260" s="314">
        <v>80056</v>
      </c>
      <c r="FQ260" s="314">
        <v>-30</v>
      </c>
      <c r="FR260" s="314">
        <v>487132</v>
      </c>
      <c r="FS260" s="314">
        <v>-49913</v>
      </c>
      <c r="FT260" s="314">
        <v>437219</v>
      </c>
      <c r="FU260" s="314">
        <v>72467</v>
      </c>
      <c r="FV260" s="314">
        <v>41601</v>
      </c>
      <c r="FW260" s="314">
        <v>30866</v>
      </c>
      <c r="FX260" s="314">
        <v>144057</v>
      </c>
      <c r="FY260" s="314">
        <v>119208</v>
      </c>
      <c r="FZ260" s="314"/>
      <c r="GA260" s="314"/>
      <c r="GB260" s="314">
        <v>53</v>
      </c>
      <c r="GC260" s="314">
        <v>7251</v>
      </c>
      <c r="GD260" s="314">
        <v>-31106</v>
      </c>
      <c r="GE260" s="314">
        <v>1</v>
      </c>
      <c r="GF260" s="314">
        <v>38356</v>
      </c>
      <c r="GG260" s="314">
        <v>94183</v>
      </c>
      <c r="GH260" s="314">
        <v>10126</v>
      </c>
      <c r="GI260" s="314">
        <v>409</v>
      </c>
      <c r="GJ260" s="314">
        <v>83648</v>
      </c>
      <c r="GL260"/>
      <c r="GM260"/>
      <c r="GN260"/>
      <c r="GO260"/>
    </row>
    <row r="261" spans="1:197">
      <c r="A261" s="98" t="s">
        <v>34</v>
      </c>
      <c r="B261" s="98">
        <v>2</v>
      </c>
      <c r="C261" s="98" t="s">
        <v>218</v>
      </c>
      <c r="D261" s="315">
        <v>23541964</v>
      </c>
      <c r="E261" s="315">
        <v>-2277742</v>
      </c>
      <c r="F261" s="315">
        <v>-14599</v>
      </c>
      <c r="G261" s="315">
        <v>21249623</v>
      </c>
      <c r="H261" s="315">
        <v>14845206</v>
      </c>
      <c r="I261" s="315">
        <v>6404417</v>
      </c>
      <c r="J261" s="315">
        <v>6270500</v>
      </c>
      <c r="K261" s="315">
        <v>133917</v>
      </c>
      <c r="L261" s="315">
        <v>5247876</v>
      </c>
      <c r="M261" s="315">
        <v>4116376</v>
      </c>
      <c r="N261" s="315">
        <v>108932</v>
      </c>
      <c r="O261" s="315">
        <v>0</v>
      </c>
      <c r="P261" s="315">
        <v>108932</v>
      </c>
      <c r="Q261" s="315">
        <v>63655</v>
      </c>
      <c r="R261" s="315">
        <v>958913</v>
      </c>
      <c r="S261" s="315">
        <v>-221674</v>
      </c>
      <c r="T261" s="315">
        <v>-208272</v>
      </c>
      <c r="U261" s="315">
        <v>-44728</v>
      </c>
      <c r="V261" s="315">
        <v>-16145</v>
      </c>
      <c r="W261" s="315">
        <v>0</v>
      </c>
      <c r="X261" s="315">
        <v>-116515</v>
      </c>
      <c r="Y261" s="315">
        <v>-30884</v>
      </c>
      <c r="Z261" s="315">
        <v>-6829</v>
      </c>
      <c r="AA261" s="315">
        <v>-6573</v>
      </c>
      <c r="AB261" s="315">
        <v>0</v>
      </c>
      <c r="AC261" s="315">
        <v>-14599</v>
      </c>
      <c r="AD261" s="315">
        <v>5011603</v>
      </c>
      <c r="AE261" s="315">
        <v>2159882</v>
      </c>
      <c r="AF261" s="315">
        <v>2851721</v>
      </c>
      <c r="AG261" s="315">
        <v>2787839</v>
      </c>
      <c r="AH261" s="315">
        <v>63882</v>
      </c>
      <c r="AI261" s="315">
        <v>4111078</v>
      </c>
      <c r="AJ261" s="315">
        <v>1613090</v>
      </c>
      <c r="AK261" s="315">
        <v>2310026</v>
      </c>
      <c r="AL261" s="315">
        <v>130565</v>
      </c>
      <c r="AM261" s="315">
        <v>232979</v>
      </c>
      <c r="AN261" s="315">
        <v>54484</v>
      </c>
      <c r="AO261" s="315">
        <v>38501</v>
      </c>
      <c r="AP261" s="315">
        <v>73660</v>
      </c>
      <c r="AQ261" s="315">
        <v>558014</v>
      </c>
      <c r="AR261" s="315">
        <v>-99340</v>
      </c>
      <c r="AS261" s="315">
        <v>56826</v>
      </c>
      <c r="AT261" s="315">
        <v>0</v>
      </c>
      <c r="AU261" s="315">
        <v>-14599</v>
      </c>
      <c r="AV261" s="315">
        <v>349374</v>
      </c>
      <c r="AW261" s="315">
        <v>33126</v>
      </c>
      <c r="AX261" s="315">
        <v>107656</v>
      </c>
      <c r="AY261" s="315">
        <v>55077</v>
      </c>
      <c r="AZ261" s="315">
        <v>9584</v>
      </c>
      <c r="BA261" s="315">
        <v>11276</v>
      </c>
      <c r="BB261" s="315">
        <v>31719</v>
      </c>
      <c r="BC261" s="315">
        <v>73007</v>
      </c>
      <c r="BD261" s="315">
        <v>135585</v>
      </c>
      <c r="BE261" s="315">
        <v>-730813</v>
      </c>
      <c r="BF261" s="315">
        <v>-729177</v>
      </c>
      <c r="BG261" s="315">
        <v>-693576</v>
      </c>
      <c r="BH261" s="315">
        <v>-35601</v>
      </c>
      <c r="BI261" s="315">
        <v>0</v>
      </c>
      <c r="BJ261" s="315">
        <v>-696085</v>
      </c>
      <c r="BK261" s="315">
        <v>-33092</v>
      </c>
      <c r="BL261" s="315">
        <v>-1636</v>
      </c>
      <c r="BM261" s="315">
        <v>0</v>
      </c>
      <c r="BN261" s="315">
        <v>-381439</v>
      </c>
      <c r="BO261" s="315">
        <v>98294</v>
      </c>
      <c r="BP261" s="315">
        <v>20323</v>
      </c>
      <c r="BQ261" s="315">
        <v>16392</v>
      </c>
      <c r="BR261" s="315">
        <v>0</v>
      </c>
      <c r="BS261" s="315">
        <v>31962</v>
      </c>
      <c r="BT261" s="315">
        <v>382</v>
      </c>
      <c r="BU261" s="315">
        <v>429</v>
      </c>
      <c r="BV261" s="315">
        <v>2721</v>
      </c>
      <c r="BW261" s="315">
        <v>28430</v>
      </c>
      <c r="BX261" s="315">
        <v>-585920</v>
      </c>
      <c r="BY261" s="315">
        <v>37406</v>
      </c>
      <c r="BZ261" s="315">
        <v>104</v>
      </c>
      <c r="CA261" s="315">
        <v>188432</v>
      </c>
      <c r="CB261" s="315">
        <v>-21135</v>
      </c>
      <c r="CC261" s="315">
        <v>-21135</v>
      </c>
      <c r="CD261" s="315">
        <v>0</v>
      </c>
      <c r="CE261" s="315">
        <v>167297</v>
      </c>
      <c r="CF261" s="315">
        <v>178585</v>
      </c>
      <c r="CG261" s="315">
        <v>18</v>
      </c>
      <c r="CH261" s="315">
        <v>-11306</v>
      </c>
      <c r="CI261" s="315">
        <v>15376287</v>
      </c>
      <c r="CJ261" s="315">
        <v>1141649</v>
      </c>
      <c r="CK261" s="315">
        <v>14234638</v>
      </c>
      <c r="CL261" s="315">
        <v>7649286</v>
      </c>
      <c r="CM261" s="315">
        <v>6062628</v>
      </c>
      <c r="CN261" s="315">
        <v>859442</v>
      </c>
      <c r="CO261" s="315">
        <v>0</v>
      </c>
      <c r="CP261" s="315">
        <v>2421</v>
      </c>
      <c r="CQ261" s="315">
        <v>857021</v>
      </c>
      <c r="CR261" s="315">
        <v>-1209580</v>
      </c>
      <c r="CS261" s="315">
        <v>-138608</v>
      </c>
      <c r="CT261" s="315">
        <v>-34</v>
      </c>
      <c r="CU261" s="315">
        <v>-54811</v>
      </c>
      <c r="CV261" s="315">
        <v>-427</v>
      </c>
      <c r="CW261" s="315">
        <v>-83336</v>
      </c>
      <c r="CX261" s="315">
        <v>-1068326</v>
      </c>
      <c r="CY261" s="315">
        <v>-1</v>
      </c>
      <c r="CZ261" s="315">
        <v>-1061712</v>
      </c>
      <c r="DA261" s="315">
        <v>-6613</v>
      </c>
      <c r="DB261" s="315">
        <v>0</v>
      </c>
      <c r="DC261" s="315">
        <v>-2646</v>
      </c>
      <c r="DD261" s="315">
        <v>14166707</v>
      </c>
      <c r="DE261" s="315">
        <v>11661643</v>
      </c>
      <c r="DF261" s="315">
        <v>2505064</v>
      </c>
      <c r="DG261" s="315">
        <v>2452745</v>
      </c>
      <c r="DH261" s="315">
        <v>52319</v>
      </c>
      <c r="DI261" s="315">
        <v>1509948</v>
      </c>
      <c r="DJ261" s="315">
        <v>100474</v>
      </c>
      <c r="DK261" s="315">
        <v>22554</v>
      </c>
      <c r="DL261" s="315">
        <v>3244</v>
      </c>
      <c r="DM261" s="315">
        <v>794170</v>
      </c>
      <c r="DN261" s="315">
        <v>469234</v>
      </c>
      <c r="DO261" s="315">
        <v>114557</v>
      </c>
      <c r="DP261" s="315"/>
      <c r="DQ261" s="315">
        <v>0</v>
      </c>
      <c r="DR261" s="315">
        <v>5715</v>
      </c>
      <c r="DS261" s="315">
        <v>-39623</v>
      </c>
      <c r="DT261" s="315">
        <v>-1440</v>
      </c>
      <c r="DU261" s="315">
        <v>-205</v>
      </c>
      <c r="DV261" s="315">
        <v>-18</v>
      </c>
      <c r="DW261" s="315">
        <v>-37673</v>
      </c>
      <c r="DX261" s="315">
        <v>-2548</v>
      </c>
      <c r="DY261" s="315">
        <v>-689</v>
      </c>
      <c r="DZ261" s="315">
        <v>-34436</v>
      </c>
      <c r="EA261" s="315">
        <v>0</v>
      </c>
      <c r="EB261" s="315">
        <v>-249</v>
      </c>
      <c r="EC261" s="315"/>
      <c r="ED261" s="315">
        <v>0</v>
      </c>
      <c r="EE261" s="315">
        <v>-38</v>
      </c>
      <c r="EF261" s="315">
        <v>1470325</v>
      </c>
      <c r="EG261" s="315">
        <v>422693</v>
      </c>
      <c r="EH261" s="315">
        <v>1047632</v>
      </c>
      <c r="EI261" s="315">
        <v>1029916</v>
      </c>
      <c r="EJ261" s="315">
        <v>17716</v>
      </c>
      <c r="EK261" s="315">
        <v>99034</v>
      </c>
      <c r="EL261" s="315">
        <v>60365</v>
      </c>
      <c r="EM261" s="315">
        <v>38669</v>
      </c>
      <c r="EN261" s="315">
        <v>37869</v>
      </c>
      <c r="EO261" s="315">
        <v>800</v>
      </c>
      <c r="EP261" s="315">
        <v>22349</v>
      </c>
      <c r="EQ261" s="315">
        <v>7130</v>
      </c>
      <c r="ER261" s="315">
        <v>15219</v>
      </c>
      <c r="ES261" s="315">
        <v>14934</v>
      </c>
      <c r="ET261" s="315">
        <v>285</v>
      </c>
      <c r="EU261" s="315">
        <v>3226</v>
      </c>
      <c r="EV261" s="315">
        <v>2270</v>
      </c>
      <c r="EW261" s="315">
        <v>956</v>
      </c>
      <c r="EX261" s="315">
        <v>940</v>
      </c>
      <c r="EY261" s="315">
        <v>16</v>
      </c>
      <c r="EZ261" s="315">
        <v>756497</v>
      </c>
      <c r="FA261" s="315">
        <v>209999</v>
      </c>
      <c r="FB261" s="315">
        <v>546498</v>
      </c>
      <c r="FC261" s="315">
        <v>537015</v>
      </c>
      <c r="FD261" s="315">
        <v>9483</v>
      </c>
      <c r="FE261" s="315">
        <v>469234</v>
      </c>
      <c r="FF261" s="315">
        <v>142217</v>
      </c>
      <c r="FG261" s="315">
        <v>327017</v>
      </c>
      <c r="FH261" s="315">
        <v>319885</v>
      </c>
      <c r="FI261" s="315">
        <v>7132</v>
      </c>
      <c r="FJ261" s="315">
        <v>114308</v>
      </c>
      <c r="FK261" s="315">
        <v>-4965</v>
      </c>
      <c r="FL261" s="315">
        <v>119273</v>
      </c>
      <c r="FM261" s="315">
        <v>119273</v>
      </c>
      <c r="FN261" s="315"/>
      <c r="FO261" s="315"/>
      <c r="FP261" s="315">
        <v>0</v>
      </c>
      <c r="FQ261" s="315">
        <v>5677</v>
      </c>
      <c r="FR261" s="315">
        <v>870047</v>
      </c>
      <c r="FS261" s="315">
        <v>-54917</v>
      </c>
      <c r="FT261" s="315">
        <v>815130</v>
      </c>
      <c r="FU261" s="315">
        <v>344583</v>
      </c>
      <c r="FV261" s="315">
        <v>343130</v>
      </c>
      <c r="FW261" s="315">
        <v>1453</v>
      </c>
      <c r="FX261" s="315">
        <v>161785</v>
      </c>
      <c r="FY261" s="315">
        <v>118675</v>
      </c>
      <c r="FZ261" s="315"/>
      <c r="GA261" s="315"/>
      <c r="GB261" s="315">
        <v>79</v>
      </c>
      <c r="GC261" s="315">
        <v>61323</v>
      </c>
      <c r="GD261" s="315">
        <v>-29962</v>
      </c>
      <c r="GE261" s="315">
        <v>27</v>
      </c>
      <c r="GF261" s="315">
        <v>91258</v>
      </c>
      <c r="GG261" s="315">
        <v>128685</v>
      </c>
      <c r="GH261" s="315">
        <v>13219</v>
      </c>
      <c r="GI261" s="315">
        <v>400</v>
      </c>
      <c r="GJ261" s="315">
        <v>115066</v>
      </c>
      <c r="GL261"/>
      <c r="GM261"/>
      <c r="GN261"/>
      <c r="GO261"/>
    </row>
    <row r="262" spans="1:197">
      <c r="A262" s="98" t="s">
        <v>34</v>
      </c>
      <c r="B262" s="98">
        <v>3</v>
      </c>
      <c r="C262" s="98" t="s">
        <v>219</v>
      </c>
      <c r="D262" s="315">
        <v>11835488</v>
      </c>
      <c r="E262" s="315">
        <v>-1817444</v>
      </c>
      <c r="F262" s="315">
        <v>-14598</v>
      </c>
      <c r="G262" s="315">
        <v>10003446</v>
      </c>
      <c r="H262" s="315">
        <v>3599023</v>
      </c>
      <c r="I262" s="315">
        <v>6404423</v>
      </c>
      <c r="J262" s="315">
        <v>6270497</v>
      </c>
      <c r="K262" s="315">
        <v>133926</v>
      </c>
      <c r="L262" s="315">
        <v>4627276</v>
      </c>
      <c r="M262" s="315">
        <v>4201802</v>
      </c>
      <c r="N262" s="315">
        <v>102709</v>
      </c>
      <c r="O262" s="315">
        <v>0</v>
      </c>
      <c r="P262" s="315">
        <v>102709</v>
      </c>
      <c r="Q262" s="315">
        <v>54855</v>
      </c>
      <c r="R262" s="315">
        <v>267910</v>
      </c>
      <c r="S262" s="315">
        <v>-202025</v>
      </c>
      <c r="T262" s="315">
        <v>-191607</v>
      </c>
      <c r="U262" s="315">
        <v>-92582</v>
      </c>
      <c r="V262" s="315">
        <v>-2850</v>
      </c>
      <c r="W262" s="315">
        <v>0</v>
      </c>
      <c r="X262" s="315">
        <v>-73175</v>
      </c>
      <c r="Y262" s="315">
        <v>-23000</v>
      </c>
      <c r="Z262" s="315">
        <v>-3225</v>
      </c>
      <c r="AA262" s="315">
        <v>-7193</v>
      </c>
      <c r="AB262" s="315">
        <v>0</v>
      </c>
      <c r="AC262" s="315">
        <v>-14598</v>
      </c>
      <c r="AD262" s="315">
        <v>4410653</v>
      </c>
      <c r="AE262" s="315">
        <v>1558930</v>
      </c>
      <c r="AF262" s="315">
        <v>2851723</v>
      </c>
      <c r="AG262" s="315">
        <v>2787840</v>
      </c>
      <c r="AH262" s="315">
        <v>63883</v>
      </c>
      <c r="AI262" s="315">
        <v>4198443</v>
      </c>
      <c r="AJ262" s="315">
        <v>1455751</v>
      </c>
      <c r="AK262" s="315">
        <v>2669055</v>
      </c>
      <c r="AL262" s="315">
        <v>9168</v>
      </c>
      <c r="AM262" s="315">
        <v>163969</v>
      </c>
      <c r="AN262" s="315">
        <v>39412</v>
      </c>
      <c r="AO262" s="315">
        <v>29833</v>
      </c>
      <c r="AP262" s="315">
        <v>19800</v>
      </c>
      <c r="AQ262" s="315">
        <v>11062</v>
      </c>
      <c r="AR262" s="315">
        <v>-88898</v>
      </c>
      <c r="AS262" s="315">
        <v>51630</v>
      </c>
      <c r="AT262" s="315">
        <v>0</v>
      </c>
      <c r="AU262" s="315">
        <v>-14598</v>
      </c>
      <c r="AV262" s="315">
        <v>288493</v>
      </c>
      <c r="AW262" s="315">
        <v>28517</v>
      </c>
      <c r="AX262" s="315">
        <v>59356</v>
      </c>
      <c r="AY262" s="315">
        <v>20125</v>
      </c>
      <c r="AZ262" s="315">
        <v>6012</v>
      </c>
      <c r="BA262" s="315">
        <v>10402</v>
      </c>
      <c r="BB262" s="315">
        <v>22817</v>
      </c>
      <c r="BC262" s="315">
        <v>108100</v>
      </c>
      <c r="BD262" s="315">
        <v>92520</v>
      </c>
      <c r="BE262" s="315">
        <v>-209383</v>
      </c>
      <c r="BF262" s="315">
        <v>-203192</v>
      </c>
      <c r="BG262" s="315">
        <v>-177977</v>
      </c>
      <c r="BH262" s="315">
        <v>-25215</v>
      </c>
      <c r="BI262" s="315">
        <v>0</v>
      </c>
      <c r="BJ262" s="315">
        <v>-161573.99999999997</v>
      </c>
      <c r="BK262" s="315">
        <v>-41618.000000000029</v>
      </c>
      <c r="BL262" s="315">
        <v>-6191</v>
      </c>
      <c r="BM262" s="315">
        <v>0</v>
      </c>
      <c r="BN262" s="315">
        <v>79110</v>
      </c>
      <c r="BO262" s="315">
        <v>64826</v>
      </c>
      <c r="BP262" s="315">
        <v>14274</v>
      </c>
      <c r="BQ262" s="315">
        <v>12697</v>
      </c>
      <c r="BR262" s="315">
        <v>398</v>
      </c>
      <c r="BS262" s="315">
        <v>22553</v>
      </c>
      <c r="BT262" s="315">
        <v>1819</v>
      </c>
      <c r="BU262" s="315">
        <v>271</v>
      </c>
      <c r="BV262" s="315">
        <v>745</v>
      </c>
      <c r="BW262" s="315">
        <v>19718</v>
      </c>
      <c r="BX262" s="315">
        <v>-118621</v>
      </c>
      <c r="BY262" s="315">
        <v>82885</v>
      </c>
      <c r="BZ262" s="315">
        <v>98</v>
      </c>
      <c r="CA262" s="315">
        <v>142541</v>
      </c>
      <c r="CB262" s="315">
        <v>-32963</v>
      </c>
      <c r="CC262" s="315">
        <v>-32963</v>
      </c>
      <c r="CD262" s="315">
        <v>0</v>
      </c>
      <c r="CE262" s="315">
        <v>109578</v>
      </c>
      <c r="CF262" s="315">
        <v>131295</v>
      </c>
      <c r="CG262" s="315">
        <v>12</v>
      </c>
      <c r="CH262" s="315">
        <v>-21729</v>
      </c>
      <c r="CI262" s="315">
        <v>4703539</v>
      </c>
      <c r="CJ262" s="315">
        <v>1168122</v>
      </c>
      <c r="CK262" s="315">
        <v>3535417</v>
      </c>
      <c r="CL262" s="315">
        <v>3079088</v>
      </c>
      <c r="CM262" s="315">
        <v>58284</v>
      </c>
      <c r="CN262" s="315">
        <v>398045</v>
      </c>
      <c r="CO262" s="315">
        <v>0</v>
      </c>
      <c r="CP262" s="315">
        <v>0</v>
      </c>
      <c r="CQ262" s="315">
        <v>398045</v>
      </c>
      <c r="CR262" s="315">
        <v>-1272504</v>
      </c>
      <c r="CS262" s="315">
        <v>-160090</v>
      </c>
      <c r="CT262" s="315">
        <v>-23934</v>
      </c>
      <c r="CU262" s="315">
        <v>-23183</v>
      </c>
      <c r="CV262" s="315">
        <v>-684</v>
      </c>
      <c r="CW262" s="315">
        <v>-112289</v>
      </c>
      <c r="CX262" s="315">
        <v>-967208</v>
      </c>
      <c r="CY262" s="315">
        <v>-372943</v>
      </c>
      <c r="CZ262" s="315">
        <v>-591840</v>
      </c>
      <c r="DA262" s="315">
        <v>-2425</v>
      </c>
      <c r="DB262" s="315">
        <v>0</v>
      </c>
      <c r="DC262" s="315">
        <v>-145206</v>
      </c>
      <c r="DD262" s="315">
        <v>3431035</v>
      </c>
      <c r="DE262" s="315">
        <v>925971</v>
      </c>
      <c r="DF262" s="315">
        <v>2505064</v>
      </c>
      <c r="DG262" s="315">
        <v>2452745</v>
      </c>
      <c r="DH262" s="315">
        <v>52319</v>
      </c>
      <c r="DI262" s="315">
        <v>1521444</v>
      </c>
      <c r="DJ262" s="315">
        <v>83068</v>
      </c>
      <c r="DK262" s="315">
        <v>25157</v>
      </c>
      <c r="DL262" s="315">
        <v>1455</v>
      </c>
      <c r="DM262" s="315">
        <v>843487</v>
      </c>
      <c r="DN262" s="315">
        <v>457563</v>
      </c>
      <c r="DO262" s="315">
        <v>110500</v>
      </c>
      <c r="DP262" s="315"/>
      <c r="DQ262" s="315">
        <v>158</v>
      </c>
      <c r="DR262" s="315">
        <v>56</v>
      </c>
      <c r="DS262" s="315">
        <v>-32169</v>
      </c>
      <c r="DT262" s="315">
        <v>-1137</v>
      </c>
      <c r="DU262" s="315">
        <v>-101</v>
      </c>
      <c r="DV262" s="315">
        <v>-34</v>
      </c>
      <c r="DW262" s="315">
        <v>-29944</v>
      </c>
      <c r="DX262" s="315">
        <v>-1367</v>
      </c>
      <c r="DY262" s="315">
        <v>-156</v>
      </c>
      <c r="DZ262" s="315">
        <v>-28421</v>
      </c>
      <c r="EA262" s="315">
        <v>-889</v>
      </c>
      <c r="EB262" s="315">
        <v>-20</v>
      </c>
      <c r="EC262" s="315"/>
      <c r="ED262" s="315">
        <v>0</v>
      </c>
      <c r="EE262" s="315">
        <v>-44</v>
      </c>
      <c r="EF262" s="315">
        <v>1489275</v>
      </c>
      <c r="EG262" s="315">
        <v>441639</v>
      </c>
      <c r="EH262" s="315">
        <v>1047636</v>
      </c>
      <c r="EI262" s="315">
        <v>1029912</v>
      </c>
      <c r="EJ262" s="315">
        <v>17724</v>
      </c>
      <c r="EK262" s="315">
        <v>81931</v>
      </c>
      <c r="EL262" s="315">
        <v>43260</v>
      </c>
      <c r="EM262" s="315">
        <v>38671</v>
      </c>
      <c r="EN262" s="315">
        <v>37869</v>
      </c>
      <c r="EO262" s="315">
        <v>802</v>
      </c>
      <c r="EP262" s="315">
        <v>25056</v>
      </c>
      <c r="EQ262" s="315">
        <v>9835</v>
      </c>
      <c r="ER262" s="315">
        <v>15221</v>
      </c>
      <c r="ES262" s="315">
        <v>14933</v>
      </c>
      <c r="ET262" s="315">
        <v>288</v>
      </c>
      <c r="EU262" s="315">
        <v>1421</v>
      </c>
      <c r="EV262" s="315">
        <v>464</v>
      </c>
      <c r="EW262" s="315">
        <v>957</v>
      </c>
      <c r="EX262" s="315">
        <v>939</v>
      </c>
      <c r="EY262" s="315">
        <v>18</v>
      </c>
      <c r="EZ262" s="315">
        <v>813543</v>
      </c>
      <c r="FA262" s="315">
        <v>267077</v>
      </c>
      <c r="FB262" s="315">
        <v>546466</v>
      </c>
      <c r="FC262" s="315">
        <v>537014</v>
      </c>
      <c r="FD262" s="315">
        <v>9452</v>
      </c>
      <c r="FE262" s="315">
        <v>456674</v>
      </c>
      <c r="FF262" s="315">
        <v>129627</v>
      </c>
      <c r="FG262" s="315">
        <v>327047</v>
      </c>
      <c r="FH262" s="315">
        <v>319883</v>
      </c>
      <c r="FI262" s="315">
        <v>7164</v>
      </c>
      <c r="FJ262" s="315">
        <v>110480</v>
      </c>
      <c r="FK262" s="315">
        <v>-8794</v>
      </c>
      <c r="FL262" s="315">
        <v>119274</v>
      </c>
      <c r="FM262" s="315">
        <v>119274</v>
      </c>
      <c r="FN262" s="315"/>
      <c r="FO262" s="315"/>
      <c r="FP262" s="315">
        <v>158</v>
      </c>
      <c r="FQ262" s="315">
        <v>12</v>
      </c>
      <c r="FR262" s="315">
        <v>552195</v>
      </c>
      <c r="FS262" s="315">
        <v>-68400</v>
      </c>
      <c r="FT262" s="315">
        <v>483795</v>
      </c>
      <c r="FU262" s="315">
        <v>19191</v>
      </c>
      <c r="FV262" s="315">
        <v>18575</v>
      </c>
      <c r="FW262" s="315">
        <v>616</v>
      </c>
      <c r="FX262" s="315">
        <v>160414</v>
      </c>
      <c r="FY262" s="315">
        <v>95787</v>
      </c>
      <c r="FZ262" s="315"/>
      <c r="GA262" s="315"/>
      <c r="GB262" s="315">
        <v>19979</v>
      </c>
      <c r="GC262" s="315">
        <v>51994</v>
      </c>
      <c r="GD262" s="315">
        <v>-29891</v>
      </c>
      <c r="GE262" s="315">
        <v>0</v>
      </c>
      <c r="GF262" s="315">
        <v>81885</v>
      </c>
      <c r="GG262" s="315">
        <v>136430</v>
      </c>
      <c r="GH262" s="315">
        <v>17369</v>
      </c>
      <c r="GI262" s="315">
        <v>6809</v>
      </c>
      <c r="GJ262" s="315">
        <v>112252</v>
      </c>
      <c r="GL262"/>
      <c r="GM262"/>
      <c r="GN262"/>
      <c r="GO262"/>
    </row>
    <row r="263" spans="1:197">
      <c r="A263" s="98" t="s">
        <v>34</v>
      </c>
      <c r="B263" s="98">
        <v>4</v>
      </c>
      <c r="C263" s="98" t="s">
        <v>220</v>
      </c>
      <c r="D263" s="315">
        <v>25599141</v>
      </c>
      <c r="E263" s="315">
        <v>-4302627</v>
      </c>
      <c r="F263" s="315">
        <v>-14599</v>
      </c>
      <c r="G263" s="315">
        <v>21281915</v>
      </c>
      <c r="H263" s="315">
        <v>14877494</v>
      </c>
      <c r="I263" s="315">
        <v>6404421</v>
      </c>
      <c r="J263" s="315">
        <v>6270499</v>
      </c>
      <c r="K263" s="315">
        <v>133922</v>
      </c>
      <c r="L263" s="315">
        <v>9083765</v>
      </c>
      <c r="M263" s="315">
        <v>7642580</v>
      </c>
      <c r="N263" s="315">
        <v>105292</v>
      </c>
      <c r="O263" s="315">
        <v>0</v>
      </c>
      <c r="P263" s="315">
        <v>105292</v>
      </c>
      <c r="Q263" s="315">
        <v>74199</v>
      </c>
      <c r="R263" s="315">
        <v>1261694</v>
      </c>
      <c r="S263" s="315">
        <v>-1596047</v>
      </c>
      <c r="T263" s="315">
        <v>-1581270</v>
      </c>
      <c r="U263" s="315">
        <v>-78414</v>
      </c>
      <c r="V263" s="315">
        <v>-385</v>
      </c>
      <c r="W263" s="315">
        <v>-1430940</v>
      </c>
      <c r="X263" s="315">
        <v>0</v>
      </c>
      <c r="Y263" s="315">
        <v>-71531</v>
      </c>
      <c r="Z263" s="315">
        <v>-6096</v>
      </c>
      <c r="AA263" s="315">
        <v>-7732</v>
      </c>
      <c r="AB263" s="315">
        <v>-949</v>
      </c>
      <c r="AC263" s="315">
        <v>-14599</v>
      </c>
      <c r="AD263" s="315">
        <v>7473119</v>
      </c>
      <c r="AE263" s="315">
        <v>4621397</v>
      </c>
      <c r="AF263" s="315">
        <v>2851722</v>
      </c>
      <c r="AG263" s="315">
        <v>2787841</v>
      </c>
      <c r="AH263" s="315">
        <v>63881</v>
      </c>
      <c r="AI263" s="315">
        <v>7637705</v>
      </c>
      <c r="AJ263" s="315">
        <v>1377148</v>
      </c>
      <c r="AK263" s="315">
        <v>2848648</v>
      </c>
      <c r="AL263" s="315">
        <v>3357423</v>
      </c>
      <c r="AM263" s="315">
        <v>293270</v>
      </c>
      <c r="AN263" s="315">
        <v>341415</v>
      </c>
      <c r="AO263" s="315">
        <v>32562</v>
      </c>
      <c r="AP263" s="315">
        <v>22583</v>
      </c>
      <c r="AQ263" s="315">
        <v>568058</v>
      </c>
      <c r="AR263" s="315">
        <v>-1475978</v>
      </c>
      <c r="AS263" s="315">
        <v>68103</v>
      </c>
      <c r="AT263" s="315">
        <v>0</v>
      </c>
      <c r="AU263" s="315">
        <v>-14599</v>
      </c>
      <c r="AV263" s="315">
        <v>3204492</v>
      </c>
      <c r="AW263" s="315">
        <v>2658579</v>
      </c>
      <c r="AX263" s="315">
        <v>89454</v>
      </c>
      <c r="AY263" s="315">
        <v>27610</v>
      </c>
      <c r="AZ263" s="315">
        <v>23885</v>
      </c>
      <c r="BA263" s="315">
        <v>13358</v>
      </c>
      <c r="BB263" s="315">
        <v>24601</v>
      </c>
      <c r="BC263" s="315">
        <v>175889</v>
      </c>
      <c r="BD263" s="315">
        <v>280570</v>
      </c>
      <c r="BE263" s="315">
        <v>-232727</v>
      </c>
      <c r="BF263" s="315">
        <v>-229878</v>
      </c>
      <c r="BG263" s="315">
        <v>-139735</v>
      </c>
      <c r="BH263" s="315">
        <v>-90143</v>
      </c>
      <c r="BI263" s="315">
        <v>0</v>
      </c>
      <c r="BJ263" s="315">
        <v>-115162</v>
      </c>
      <c r="BK263" s="315">
        <v>-114716</v>
      </c>
      <c r="BL263" s="315">
        <v>-2849</v>
      </c>
      <c r="BM263" s="315">
        <v>0</v>
      </c>
      <c r="BN263" s="315">
        <v>2971765</v>
      </c>
      <c r="BO263" s="315">
        <v>123961</v>
      </c>
      <c r="BP263" s="315">
        <v>141441</v>
      </c>
      <c r="BQ263" s="315">
        <v>13867</v>
      </c>
      <c r="BR263" s="315">
        <v>23</v>
      </c>
      <c r="BS263" s="315">
        <v>2656854</v>
      </c>
      <c r="BT263" s="315">
        <v>1094517</v>
      </c>
      <c r="BU263" s="315">
        <v>990046</v>
      </c>
      <c r="BV263" s="315">
        <v>556190</v>
      </c>
      <c r="BW263" s="315">
        <v>16101</v>
      </c>
      <c r="BX263" s="315">
        <v>-50281</v>
      </c>
      <c r="BY263" s="315">
        <v>85746</v>
      </c>
      <c r="BZ263" s="315">
        <v>154</v>
      </c>
      <c r="CA263" s="315">
        <v>199144</v>
      </c>
      <c r="CB263" s="315">
        <v>-72597</v>
      </c>
      <c r="CC263" s="315">
        <v>-72597</v>
      </c>
      <c r="CD263" s="315">
        <v>0</v>
      </c>
      <c r="CE263" s="315">
        <v>126547</v>
      </c>
      <c r="CF263" s="315">
        <v>124688</v>
      </c>
      <c r="CG263" s="315">
        <v>9953</v>
      </c>
      <c r="CH263" s="315">
        <v>-8094</v>
      </c>
      <c r="CI263" s="315">
        <v>10418838</v>
      </c>
      <c r="CJ263" s="315">
        <v>1151074</v>
      </c>
      <c r="CK263" s="315">
        <v>9267764</v>
      </c>
      <c r="CL263" s="315">
        <v>3440477</v>
      </c>
      <c r="CM263" s="315">
        <v>5307833</v>
      </c>
      <c r="CN263" s="315">
        <v>519454</v>
      </c>
      <c r="CO263" s="315">
        <v>0</v>
      </c>
      <c r="CP263" s="315">
        <v>0</v>
      </c>
      <c r="CQ263" s="315">
        <v>519454</v>
      </c>
      <c r="CR263" s="315">
        <v>-2259949</v>
      </c>
      <c r="CS263" s="315">
        <v>-808767</v>
      </c>
      <c r="CT263" s="315">
        <v>-714056</v>
      </c>
      <c r="CU263" s="315">
        <v>-21084</v>
      </c>
      <c r="CV263" s="315">
        <v>-361</v>
      </c>
      <c r="CW263" s="315">
        <v>-73266</v>
      </c>
      <c r="CX263" s="315">
        <v>-1075075</v>
      </c>
      <c r="CY263" s="315">
        <v>-341285</v>
      </c>
      <c r="CZ263" s="315">
        <v>-729165</v>
      </c>
      <c r="DA263" s="315">
        <v>-4625</v>
      </c>
      <c r="DB263" s="315">
        <v>-376107</v>
      </c>
      <c r="DC263" s="315">
        <v>0</v>
      </c>
      <c r="DD263" s="315">
        <v>8158889</v>
      </c>
      <c r="DE263" s="315">
        <v>5653824</v>
      </c>
      <c r="DF263" s="315">
        <v>2505065</v>
      </c>
      <c r="DG263" s="315">
        <v>2452746</v>
      </c>
      <c r="DH263" s="315">
        <v>52319</v>
      </c>
      <c r="DI263" s="315">
        <v>1824566</v>
      </c>
      <c r="DJ263" s="315">
        <v>35424</v>
      </c>
      <c r="DK263" s="315">
        <v>20340</v>
      </c>
      <c r="DL263" s="315">
        <v>836</v>
      </c>
      <c r="DM263" s="315">
        <v>1071389</v>
      </c>
      <c r="DN263" s="315">
        <v>538846</v>
      </c>
      <c r="DO263" s="315">
        <v>107448</v>
      </c>
      <c r="DP263" s="315"/>
      <c r="DQ263" s="315">
        <v>50248</v>
      </c>
      <c r="DR263" s="315">
        <v>35</v>
      </c>
      <c r="DS263" s="315">
        <v>-91246</v>
      </c>
      <c r="DT263" s="315">
        <v>-31092</v>
      </c>
      <c r="DU263" s="315">
        <v>-12062</v>
      </c>
      <c r="DV263" s="315">
        <v>-20</v>
      </c>
      <c r="DW263" s="315">
        <v>-31604</v>
      </c>
      <c r="DX263" s="315">
        <v>-3298</v>
      </c>
      <c r="DY263" s="315">
        <v>-90</v>
      </c>
      <c r="DZ263" s="315">
        <v>-28216</v>
      </c>
      <c r="EA263" s="315">
        <v>-16279</v>
      </c>
      <c r="EB263" s="315">
        <v>-33</v>
      </c>
      <c r="EC263" s="315"/>
      <c r="ED263" s="315">
        <v>0</v>
      </c>
      <c r="EE263" s="315">
        <v>-156</v>
      </c>
      <c r="EF263" s="315">
        <v>1733320</v>
      </c>
      <c r="EG263" s="315">
        <v>685686</v>
      </c>
      <c r="EH263" s="315">
        <v>1047634</v>
      </c>
      <c r="EI263" s="315">
        <v>1029912</v>
      </c>
      <c r="EJ263" s="315">
        <v>17722</v>
      </c>
      <c r="EK263" s="315">
        <v>4332</v>
      </c>
      <c r="EL263" s="315">
        <v>-34338</v>
      </c>
      <c r="EM263" s="315">
        <v>38670</v>
      </c>
      <c r="EN263" s="315">
        <v>37869</v>
      </c>
      <c r="EO263" s="315">
        <v>801</v>
      </c>
      <c r="EP263" s="315">
        <v>8278</v>
      </c>
      <c r="EQ263" s="315">
        <v>-6942</v>
      </c>
      <c r="ER263" s="315">
        <v>15220</v>
      </c>
      <c r="ES263" s="315">
        <v>14933</v>
      </c>
      <c r="ET263" s="315">
        <v>287</v>
      </c>
      <c r="EU263" s="315">
        <v>816</v>
      </c>
      <c r="EV263" s="315">
        <v>-141</v>
      </c>
      <c r="EW263" s="315">
        <v>957</v>
      </c>
      <c r="EX263" s="315">
        <v>939</v>
      </c>
      <c r="EY263" s="315">
        <v>18</v>
      </c>
      <c r="EZ263" s="315">
        <v>1039785</v>
      </c>
      <c r="FA263" s="315">
        <v>493316</v>
      </c>
      <c r="FB263" s="315">
        <v>546469</v>
      </c>
      <c r="FC263" s="315">
        <v>537015</v>
      </c>
      <c r="FD263" s="315">
        <v>9454</v>
      </c>
      <c r="FE263" s="315">
        <v>522567</v>
      </c>
      <c r="FF263" s="315">
        <v>195522</v>
      </c>
      <c r="FG263" s="315">
        <v>327045</v>
      </c>
      <c r="FH263" s="315">
        <v>319883</v>
      </c>
      <c r="FI263" s="315">
        <v>7162</v>
      </c>
      <c r="FJ263" s="315">
        <v>107415</v>
      </c>
      <c r="FK263" s="315">
        <v>-11858</v>
      </c>
      <c r="FL263" s="315">
        <v>119273</v>
      </c>
      <c r="FM263" s="315">
        <v>119273</v>
      </c>
      <c r="FN263" s="315"/>
      <c r="FO263" s="315"/>
      <c r="FP263" s="315">
        <v>50248</v>
      </c>
      <c r="FQ263" s="315">
        <v>-121</v>
      </c>
      <c r="FR263" s="315">
        <v>868336</v>
      </c>
      <c r="FS263" s="315">
        <v>-50061</v>
      </c>
      <c r="FT263" s="315">
        <v>818275</v>
      </c>
      <c r="FU263" s="315">
        <v>3005</v>
      </c>
      <c r="FV263" s="315">
        <v>2621</v>
      </c>
      <c r="FW263" s="315">
        <v>384</v>
      </c>
      <c r="FX263" s="315">
        <v>155330</v>
      </c>
      <c r="FY263" s="315">
        <v>119166</v>
      </c>
      <c r="FZ263" s="315"/>
      <c r="GA263" s="315"/>
      <c r="GB263" s="315">
        <v>169</v>
      </c>
      <c r="GC263" s="315">
        <v>392200.99999999994</v>
      </c>
      <c r="GD263" s="315">
        <v>338521</v>
      </c>
      <c r="GE263" s="315">
        <v>3</v>
      </c>
      <c r="GF263" s="315">
        <v>53676.999999999942</v>
      </c>
      <c r="GG263" s="315">
        <v>148404</v>
      </c>
      <c r="GH263" s="315">
        <v>5209</v>
      </c>
      <c r="GI263" s="315">
        <v>668</v>
      </c>
      <c r="GJ263" s="315">
        <v>142527</v>
      </c>
      <c r="GL263"/>
      <c r="GM263"/>
      <c r="GN263"/>
      <c r="GO263"/>
    </row>
    <row r="264" spans="1:197">
      <c r="A264" s="98" t="s">
        <v>34</v>
      </c>
      <c r="B264" s="98">
        <v>5</v>
      </c>
      <c r="C264" s="98" t="s">
        <v>221</v>
      </c>
      <c r="D264" s="315">
        <v>12942511</v>
      </c>
      <c r="E264" s="315">
        <v>-5125474</v>
      </c>
      <c r="F264" s="315">
        <v>-14599</v>
      </c>
      <c r="G264" s="315">
        <v>7802438</v>
      </c>
      <c r="H264" s="315">
        <v>1398015</v>
      </c>
      <c r="I264" s="315">
        <v>6404423</v>
      </c>
      <c r="J264" s="315">
        <v>6270500</v>
      </c>
      <c r="K264" s="315">
        <v>133923</v>
      </c>
      <c r="L264" s="315">
        <v>4591759</v>
      </c>
      <c r="M264" s="315">
        <v>4093983</v>
      </c>
      <c r="N264" s="315">
        <v>139352</v>
      </c>
      <c r="O264" s="315">
        <v>52227</v>
      </c>
      <c r="P264" s="315">
        <v>87125</v>
      </c>
      <c r="Q264" s="315">
        <v>69169</v>
      </c>
      <c r="R264" s="315">
        <v>289255</v>
      </c>
      <c r="S264" s="315">
        <v>-2665251</v>
      </c>
      <c r="T264" s="315">
        <v>-2648423</v>
      </c>
      <c r="U264" s="315">
        <v>-77758</v>
      </c>
      <c r="V264" s="315">
        <v>-122</v>
      </c>
      <c r="W264" s="315">
        <v>-2518914</v>
      </c>
      <c r="X264" s="315">
        <v>0</v>
      </c>
      <c r="Y264" s="315">
        <v>-51629</v>
      </c>
      <c r="Z264" s="315">
        <v>-8037</v>
      </c>
      <c r="AA264" s="315">
        <v>-8791</v>
      </c>
      <c r="AB264" s="315">
        <v>0</v>
      </c>
      <c r="AC264" s="315">
        <v>-14599</v>
      </c>
      <c r="AD264" s="315">
        <v>1911909</v>
      </c>
      <c r="AE264" s="315">
        <v>-939814</v>
      </c>
      <c r="AF264" s="315">
        <v>2851723</v>
      </c>
      <c r="AG264" s="315">
        <v>2787839</v>
      </c>
      <c r="AH264" s="315">
        <v>63884</v>
      </c>
      <c r="AI264" s="315">
        <v>4088998</v>
      </c>
      <c r="AJ264" s="315">
        <v>1545376</v>
      </c>
      <c r="AK264" s="315">
        <v>2442209</v>
      </c>
      <c r="AL264" s="315">
        <v>25301</v>
      </c>
      <c r="AM264" s="315">
        <v>165944</v>
      </c>
      <c r="AN264" s="315">
        <v>47812</v>
      </c>
      <c r="AO264" s="315">
        <v>29466</v>
      </c>
      <c r="AP264" s="315">
        <v>19122</v>
      </c>
      <c r="AQ264" s="315">
        <v>23105</v>
      </c>
      <c r="AR264" s="315">
        <v>-2509071</v>
      </c>
      <c r="AS264" s="315">
        <v>61132</v>
      </c>
      <c r="AT264" s="315">
        <v>0</v>
      </c>
      <c r="AU264" s="315">
        <v>-14599</v>
      </c>
      <c r="AV264" s="315">
        <v>660952</v>
      </c>
      <c r="AW264" s="315">
        <v>25801</v>
      </c>
      <c r="AX264" s="315">
        <v>63102</v>
      </c>
      <c r="AY264" s="315">
        <v>26662</v>
      </c>
      <c r="AZ264" s="315">
        <v>6891</v>
      </c>
      <c r="BA264" s="315">
        <v>7216</v>
      </c>
      <c r="BB264" s="315">
        <v>22333</v>
      </c>
      <c r="BC264" s="315">
        <v>472121</v>
      </c>
      <c r="BD264" s="315">
        <v>99928</v>
      </c>
      <c r="BE264" s="315">
        <v>-117960</v>
      </c>
      <c r="BF264" s="315">
        <v>-116024</v>
      </c>
      <c r="BG264" s="315">
        <v>-75729</v>
      </c>
      <c r="BH264" s="315">
        <v>-40295</v>
      </c>
      <c r="BI264" s="315">
        <v>0</v>
      </c>
      <c r="BJ264" s="315">
        <v>-65666</v>
      </c>
      <c r="BK264" s="315">
        <v>-50358</v>
      </c>
      <c r="BL264" s="315">
        <v>-1936</v>
      </c>
      <c r="BM264" s="315">
        <v>0</v>
      </c>
      <c r="BN264" s="315">
        <v>542992</v>
      </c>
      <c r="BO264" s="315">
        <v>70655</v>
      </c>
      <c r="BP264" s="315">
        <v>15760</v>
      </c>
      <c r="BQ264" s="315">
        <v>12543</v>
      </c>
      <c r="BR264" s="315">
        <v>92</v>
      </c>
      <c r="BS264" s="315">
        <v>24673</v>
      </c>
      <c r="BT264" s="315">
        <v>4068</v>
      </c>
      <c r="BU264" s="315">
        <v>980</v>
      </c>
      <c r="BV264" s="315">
        <v>170</v>
      </c>
      <c r="BW264" s="315">
        <v>19455</v>
      </c>
      <c r="BX264" s="315">
        <v>-12627</v>
      </c>
      <c r="BY264" s="315">
        <v>431826</v>
      </c>
      <c r="BZ264" s="315">
        <v>70</v>
      </c>
      <c r="CA264" s="315">
        <v>115806</v>
      </c>
      <c r="CB264" s="315">
        <v>-51603</v>
      </c>
      <c r="CC264" s="315">
        <v>-51603</v>
      </c>
      <c r="CD264" s="315">
        <v>0</v>
      </c>
      <c r="CE264" s="315">
        <v>64203</v>
      </c>
      <c r="CF264" s="315">
        <v>97206</v>
      </c>
      <c r="CG264" s="315">
        <v>18</v>
      </c>
      <c r="CH264" s="315">
        <v>-33021</v>
      </c>
      <c r="CI264" s="315">
        <v>5081375</v>
      </c>
      <c r="CJ264" s="315">
        <v>1102197</v>
      </c>
      <c r="CK264" s="315">
        <v>3979178</v>
      </c>
      <c r="CL264" s="315">
        <v>3331209</v>
      </c>
      <c r="CM264" s="315">
        <v>87248</v>
      </c>
      <c r="CN264" s="315">
        <v>560721</v>
      </c>
      <c r="CO264" s="315">
        <v>0</v>
      </c>
      <c r="CP264" s="315">
        <v>0</v>
      </c>
      <c r="CQ264" s="315">
        <v>560721</v>
      </c>
      <c r="CR264" s="315">
        <v>-2156877</v>
      </c>
      <c r="CS264" s="315">
        <v>-733419</v>
      </c>
      <c r="CT264" s="315">
        <v>-601131</v>
      </c>
      <c r="CU264" s="315">
        <v>-17387</v>
      </c>
      <c r="CV264" s="315">
        <v>-951</v>
      </c>
      <c r="CW264" s="315">
        <v>-113950</v>
      </c>
      <c r="CX264" s="315">
        <v>-1423458</v>
      </c>
      <c r="CY264" s="315">
        <v>-975807</v>
      </c>
      <c r="CZ264" s="315">
        <v>-441517</v>
      </c>
      <c r="DA264" s="315">
        <v>-6134</v>
      </c>
      <c r="DB264" s="315">
        <v>0</v>
      </c>
      <c r="DC264" s="315">
        <v>0</v>
      </c>
      <c r="DD264" s="315">
        <v>2924498</v>
      </c>
      <c r="DE264" s="315">
        <v>419435</v>
      </c>
      <c r="DF264" s="315">
        <v>2505063</v>
      </c>
      <c r="DG264" s="315">
        <v>2452745</v>
      </c>
      <c r="DH264" s="315">
        <v>52318</v>
      </c>
      <c r="DI264" s="315">
        <v>1599562</v>
      </c>
      <c r="DJ264" s="315">
        <v>69866</v>
      </c>
      <c r="DK264" s="315">
        <v>23060</v>
      </c>
      <c r="DL264" s="315">
        <v>2642</v>
      </c>
      <c r="DM264" s="315">
        <v>874147</v>
      </c>
      <c r="DN264" s="315">
        <v>523290</v>
      </c>
      <c r="DO264" s="315">
        <v>106469</v>
      </c>
      <c r="DP264" s="315"/>
      <c r="DQ264" s="315">
        <v>-1</v>
      </c>
      <c r="DR264" s="315">
        <v>89</v>
      </c>
      <c r="DS264" s="315">
        <v>-42814</v>
      </c>
      <c r="DT264" s="315">
        <v>-2140</v>
      </c>
      <c r="DU264" s="315">
        <v>-274</v>
      </c>
      <c r="DV264" s="315">
        <v>-22</v>
      </c>
      <c r="DW264" s="315">
        <v>-39436</v>
      </c>
      <c r="DX264" s="315">
        <v>-10250</v>
      </c>
      <c r="DY264" s="315">
        <v>-753</v>
      </c>
      <c r="DZ264" s="315">
        <v>-28433</v>
      </c>
      <c r="EA264" s="315">
        <v>-216</v>
      </c>
      <c r="EB264" s="315">
        <v>-642</v>
      </c>
      <c r="EC264" s="315"/>
      <c r="ED264" s="315">
        <v>0</v>
      </c>
      <c r="EE264" s="315">
        <v>-84</v>
      </c>
      <c r="EF264" s="315">
        <v>1556748</v>
      </c>
      <c r="EG264" s="315">
        <v>509111</v>
      </c>
      <c r="EH264" s="315">
        <v>1047637</v>
      </c>
      <c r="EI264" s="315">
        <v>1029916</v>
      </c>
      <c r="EJ264" s="315">
        <v>17721</v>
      </c>
      <c r="EK264" s="315">
        <v>67726</v>
      </c>
      <c r="EL264" s="315">
        <v>29056</v>
      </c>
      <c r="EM264" s="315">
        <v>38670</v>
      </c>
      <c r="EN264" s="315">
        <v>37869</v>
      </c>
      <c r="EO264" s="315">
        <v>801</v>
      </c>
      <c r="EP264" s="315">
        <v>22786</v>
      </c>
      <c r="EQ264" s="315">
        <v>7566</v>
      </c>
      <c r="ER264" s="315">
        <v>15220</v>
      </c>
      <c r="ES264" s="315">
        <v>14934</v>
      </c>
      <c r="ET264" s="315">
        <v>286</v>
      </c>
      <c r="EU264" s="315">
        <v>2620</v>
      </c>
      <c r="EV264" s="315">
        <v>1664</v>
      </c>
      <c r="EW264" s="315">
        <v>956</v>
      </c>
      <c r="EX264" s="315">
        <v>940</v>
      </c>
      <c r="EY264" s="315">
        <v>16</v>
      </c>
      <c r="EZ264" s="315">
        <v>834711</v>
      </c>
      <c r="FA264" s="315">
        <v>288245</v>
      </c>
      <c r="FB264" s="315">
        <v>546466</v>
      </c>
      <c r="FC264" s="315">
        <v>537015</v>
      </c>
      <c r="FD264" s="315">
        <v>9451</v>
      </c>
      <c r="FE264" s="315">
        <v>523074</v>
      </c>
      <c r="FF264" s="315">
        <v>196023</v>
      </c>
      <c r="FG264" s="315">
        <v>327051</v>
      </c>
      <c r="FH264" s="315">
        <v>319884</v>
      </c>
      <c r="FI264" s="315">
        <v>7167</v>
      </c>
      <c r="FJ264" s="315">
        <v>105827</v>
      </c>
      <c r="FK264" s="315">
        <v>-13447</v>
      </c>
      <c r="FL264" s="315">
        <v>119274</v>
      </c>
      <c r="FM264" s="315">
        <v>119274</v>
      </c>
      <c r="FN264" s="315"/>
      <c r="FO264" s="315"/>
      <c r="FP264" s="315">
        <v>-1</v>
      </c>
      <c r="FQ264" s="315">
        <v>5</v>
      </c>
      <c r="FR264" s="315">
        <v>893057</v>
      </c>
      <c r="FS264" s="315">
        <v>-90969</v>
      </c>
      <c r="FT264" s="315">
        <v>802088</v>
      </c>
      <c r="FU264" s="315">
        <v>282374</v>
      </c>
      <c r="FV264" s="315">
        <v>262148</v>
      </c>
      <c r="FW264" s="315">
        <v>20226</v>
      </c>
      <c r="FX264" s="315">
        <v>128106</v>
      </c>
      <c r="FY264" s="315">
        <v>119483</v>
      </c>
      <c r="FZ264" s="315"/>
      <c r="GA264" s="315"/>
      <c r="GB264" s="315">
        <v>25121</v>
      </c>
      <c r="GC264" s="315">
        <v>97806</v>
      </c>
      <c r="GD264" s="315">
        <v>-26007</v>
      </c>
      <c r="GE264" s="315">
        <v>46785</v>
      </c>
      <c r="GF264" s="315">
        <v>77028</v>
      </c>
      <c r="GG264" s="315">
        <v>149198</v>
      </c>
      <c r="GH264" s="315">
        <v>15450</v>
      </c>
      <c r="GI264" s="315">
        <v>425</v>
      </c>
      <c r="GJ264" s="315">
        <v>133323</v>
      </c>
      <c r="GL264"/>
      <c r="GM264"/>
      <c r="GN264"/>
      <c r="GO264"/>
    </row>
    <row r="265" spans="1:197">
      <c r="A265" s="98" t="s">
        <v>34</v>
      </c>
      <c r="B265" s="98">
        <v>6</v>
      </c>
      <c r="C265" s="98" t="s">
        <v>222</v>
      </c>
      <c r="D265" s="315">
        <v>13244691</v>
      </c>
      <c r="E265" s="315">
        <v>-5601361</v>
      </c>
      <c r="F265" s="315">
        <v>-14598</v>
      </c>
      <c r="G265" s="315">
        <v>7628732</v>
      </c>
      <c r="H265" s="315">
        <v>1224289</v>
      </c>
      <c r="I265" s="315">
        <v>6404443</v>
      </c>
      <c r="J265" s="315">
        <v>6270498</v>
      </c>
      <c r="K265" s="315">
        <v>133945</v>
      </c>
      <c r="L265" s="315">
        <v>4993518</v>
      </c>
      <c r="M265" s="315">
        <v>4214429</v>
      </c>
      <c r="N265" s="315">
        <v>282222</v>
      </c>
      <c r="O265" s="315">
        <v>196334</v>
      </c>
      <c r="P265" s="315">
        <v>85888</v>
      </c>
      <c r="Q265" s="315">
        <v>72098</v>
      </c>
      <c r="R265" s="315">
        <v>424769</v>
      </c>
      <c r="S265" s="315">
        <v>-2783398</v>
      </c>
      <c r="T265" s="315">
        <v>-2772394</v>
      </c>
      <c r="U265" s="315">
        <v>-84219</v>
      </c>
      <c r="V265" s="315">
        <v>-44</v>
      </c>
      <c r="W265" s="315">
        <v>-2649568</v>
      </c>
      <c r="X265" s="315">
        <v>0</v>
      </c>
      <c r="Y265" s="315">
        <v>-38563</v>
      </c>
      <c r="Z265" s="315">
        <v>-3081</v>
      </c>
      <c r="AA265" s="315">
        <v>-7923</v>
      </c>
      <c r="AB265" s="315">
        <v>0</v>
      </c>
      <c r="AC265" s="315">
        <v>-14598</v>
      </c>
      <c r="AD265" s="315">
        <v>2195522</v>
      </c>
      <c r="AE265" s="315">
        <v>-656200</v>
      </c>
      <c r="AF265" s="315">
        <v>2851722</v>
      </c>
      <c r="AG265" s="315">
        <v>2787840</v>
      </c>
      <c r="AH265" s="315">
        <v>63882</v>
      </c>
      <c r="AI265" s="315">
        <v>4207333</v>
      </c>
      <c r="AJ265" s="315">
        <v>1716550</v>
      </c>
      <c r="AK265" s="315">
        <v>2416039</v>
      </c>
      <c r="AL265" s="315">
        <v>15466</v>
      </c>
      <c r="AM265" s="315">
        <v>311399</v>
      </c>
      <c r="AN265" s="315">
        <v>42236</v>
      </c>
      <c r="AO265" s="315">
        <v>32206</v>
      </c>
      <c r="AP265" s="315">
        <v>16579</v>
      </c>
      <c r="AQ265" s="315">
        <v>21522</v>
      </c>
      <c r="AR265" s="315">
        <v>-2490172</v>
      </c>
      <c r="AS265" s="315">
        <v>69017</v>
      </c>
      <c r="AT265" s="315">
        <v>0</v>
      </c>
      <c r="AU265" s="315">
        <v>-14598</v>
      </c>
      <c r="AV265" s="315">
        <v>516055</v>
      </c>
      <c r="AW265" s="315">
        <v>94257</v>
      </c>
      <c r="AX265" s="315">
        <v>49910</v>
      </c>
      <c r="AY265" s="315">
        <v>12850</v>
      </c>
      <c r="AZ265" s="315">
        <v>6788</v>
      </c>
      <c r="BA265" s="315">
        <v>10329</v>
      </c>
      <c r="BB265" s="315">
        <v>19943</v>
      </c>
      <c r="BC265" s="315">
        <v>212869</v>
      </c>
      <c r="BD265" s="315">
        <v>159019</v>
      </c>
      <c r="BE265" s="315">
        <v>-181090</v>
      </c>
      <c r="BF265" s="315">
        <v>-180522</v>
      </c>
      <c r="BG265" s="315">
        <v>-48032</v>
      </c>
      <c r="BH265" s="315">
        <v>-132490</v>
      </c>
      <c r="BI265" s="315">
        <v>0</v>
      </c>
      <c r="BJ265" s="315">
        <v>-35730.000000000007</v>
      </c>
      <c r="BK265" s="315">
        <v>-144792</v>
      </c>
      <c r="BL265" s="315">
        <v>-568</v>
      </c>
      <c r="BM265" s="315">
        <v>0</v>
      </c>
      <c r="BN265" s="315">
        <v>334965</v>
      </c>
      <c r="BO265" s="315">
        <v>129728</v>
      </c>
      <c r="BP265" s="315">
        <v>14148</v>
      </c>
      <c r="BQ265" s="315">
        <v>13712</v>
      </c>
      <c r="BR265" s="315">
        <v>118</v>
      </c>
      <c r="BS265" s="315">
        <v>93989</v>
      </c>
      <c r="BT265" s="315">
        <v>12266</v>
      </c>
      <c r="BU265" s="315">
        <v>64791</v>
      </c>
      <c r="BV265" s="315">
        <v>733</v>
      </c>
      <c r="BW265" s="315">
        <v>16199</v>
      </c>
      <c r="BX265" s="315">
        <v>1878</v>
      </c>
      <c r="BY265" s="315">
        <v>80379</v>
      </c>
      <c r="BZ265" s="315">
        <v>1013</v>
      </c>
      <c r="CA265" s="315">
        <v>311753</v>
      </c>
      <c r="CB265" s="315">
        <v>-44008</v>
      </c>
      <c r="CC265" s="315">
        <v>-44008</v>
      </c>
      <c r="CD265" s="315">
        <v>0</v>
      </c>
      <c r="CE265" s="315">
        <v>267745</v>
      </c>
      <c r="CF265" s="315">
        <v>295427</v>
      </c>
      <c r="CG265" s="315">
        <v>76</v>
      </c>
      <c r="CH265" s="315">
        <v>-27758</v>
      </c>
      <c r="CI265" s="315">
        <v>5074509</v>
      </c>
      <c r="CJ265" s="315">
        <v>1126055</v>
      </c>
      <c r="CK265" s="315">
        <v>3948454</v>
      </c>
      <c r="CL265" s="315">
        <v>3384075</v>
      </c>
      <c r="CM265" s="315">
        <v>64563</v>
      </c>
      <c r="CN265" s="315">
        <v>499816</v>
      </c>
      <c r="CO265" s="315">
        <v>0</v>
      </c>
      <c r="CP265" s="315">
        <v>0</v>
      </c>
      <c r="CQ265" s="315">
        <v>499816</v>
      </c>
      <c r="CR265" s="315">
        <v>-2455155</v>
      </c>
      <c r="CS265" s="315">
        <v>-618741</v>
      </c>
      <c r="CT265" s="315">
        <v>-535468</v>
      </c>
      <c r="CU265" s="315">
        <v>-6986</v>
      </c>
      <c r="CV265" s="315">
        <v>-776</v>
      </c>
      <c r="CW265" s="315">
        <v>-75511</v>
      </c>
      <c r="CX265" s="315">
        <v>-1585331</v>
      </c>
      <c r="CY265" s="315">
        <v>-1250322</v>
      </c>
      <c r="CZ265" s="315">
        <v>-324408</v>
      </c>
      <c r="DA265" s="315">
        <v>-10601</v>
      </c>
      <c r="DB265" s="315">
        <v>0</v>
      </c>
      <c r="DC265" s="315">
        <v>-251083</v>
      </c>
      <c r="DD265" s="315">
        <v>2619354</v>
      </c>
      <c r="DE265" s="315">
        <v>114290</v>
      </c>
      <c r="DF265" s="315">
        <v>2505064</v>
      </c>
      <c r="DG265" s="315">
        <v>2452745</v>
      </c>
      <c r="DH265" s="315">
        <v>52319</v>
      </c>
      <c r="DI265" s="315">
        <v>1647973</v>
      </c>
      <c r="DJ265" s="315">
        <v>66964</v>
      </c>
      <c r="DK265" s="315">
        <v>26141</v>
      </c>
      <c r="DL265" s="315">
        <v>1196</v>
      </c>
      <c r="DM265" s="315">
        <v>882841</v>
      </c>
      <c r="DN265" s="315">
        <v>573806</v>
      </c>
      <c r="DO265" s="315">
        <v>96881</v>
      </c>
      <c r="DP265" s="315"/>
      <c r="DQ265" s="315">
        <v>84</v>
      </c>
      <c r="DR265" s="315">
        <v>60</v>
      </c>
      <c r="DS265" s="315">
        <v>-40753</v>
      </c>
      <c r="DT265" s="315">
        <v>-4504</v>
      </c>
      <c r="DU265" s="315">
        <v>-498</v>
      </c>
      <c r="DV265" s="315">
        <v>-32</v>
      </c>
      <c r="DW265" s="315">
        <v>-33869</v>
      </c>
      <c r="DX265" s="315">
        <v>-15448</v>
      </c>
      <c r="DY265" s="315">
        <v>-196</v>
      </c>
      <c r="DZ265" s="315">
        <v>-18225</v>
      </c>
      <c r="EA265" s="315">
        <v>-1760</v>
      </c>
      <c r="EB265" s="315">
        <v>-29</v>
      </c>
      <c r="EC265" s="315"/>
      <c r="ED265" s="315">
        <v>0</v>
      </c>
      <c r="EE265" s="315">
        <v>-61</v>
      </c>
      <c r="EF265" s="315">
        <v>1607220</v>
      </c>
      <c r="EG265" s="315">
        <v>559563</v>
      </c>
      <c r="EH265" s="315">
        <v>1047657</v>
      </c>
      <c r="EI265" s="315">
        <v>1029913</v>
      </c>
      <c r="EJ265" s="315">
        <v>17744</v>
      </c>
      <c r="EK265" s="315">
        <v>62460</v>
      </c>
      <c r="EL265" s="315">
        <v>23790</v>
      </c>
      <c r="EM265" s="315">
        <v>38670</v>
      </c>
      <c r="EN265" s="315">
        <v>37869</v>
      </c>
      <c r="EO265" s="315">
        <v>801</v>
      </c>
      <c r="EP265" s="315">
        <v>25643</v>
      </c>
      <c r="EQ265" s="315">
        <v>10422</v>
      </c>
      <c r="ER265" s="315">
        <v>15221</v>
      </c>
      <c r="ES265" s="315">
        <v>14934</v>
      </c>
      <c r="ET265" s="315">
        <v>287</v>
      </c>
      <c r="EU265" s="315">
        <v>1164</v>
      </c>
      <c r="EV265" s="315">
        <v>209</v>
      </c>
      <c r="EW265" s="315">
        <v>955</v>
      </c>
      <c r="EX265" s="315">
        <v>938</v>
      </c>
      <c r="EY265" s="315">
        <v>17</v>
      </c>
      <c r="EZ265" s="315">
        <v>848972</v>
      </c>
      <c r="FA265" s="315">
        <v>302503</v>
      </c>
      <c r="FB265" s="315">
        <v>546469</v>
      </c>
      <c r="FC265" s="315">
        <v>537015</v>
      </c>
      <c r="FD265" s="315">
        <v>9454</v>
      </c>
      <c r="FE265" s="315">
        <v>572046</v>
      </c>
      <c r="FF265" s="315">
        <v>244977</v>
      </c>
      <c r="FG265" s="315">
        <v>327069</v>
      </c>
      <c r="FH265" s="315">
        <v>319884</v>
      </c>
      <c r="FI265" s="315">
        <v>7185</v>
      </c>
      <c r="FJ265" s="315">
        <v>96852</v>
      </c>
      <c r="FK265" s="315">
        <v>-22421</v>
      </c>
      <c r="FL265" s="315">
        <v>119273</v>
      </c>
      <c r="FM265" s="315">
        <v>119273</v>
      </c>
      <c r="FN265" s="315"/>
      <c r="FO265" s="315"/>
      <c r="FP265" s="315">
        <v>84</v>
      </c>
      <c r="FQ265" s="315">
        <v>-1</v>
      </c>
      <c r="FR265" s="315">
        <v>700883</v>
      </c>
      <c r="FS265" s="315">
        <v>-96957</v>
      </c>
      <c r="FT265" s="315">
        <v>603926</v>
      </c>
      <c r="FU265" s="315">
        <v>127080</v>
      </c>
      <c r="FV265" s="315">
        <v>126729</v>
      </c>
      <c r="FW265" s="315">
        <v>351</v>
      </c>
      <c r="FX265" s="315">
        <v>132587</v>
      </c>
      <c r="FY265" s="315">
        <v>118706</v>
      </c>
      <c r="FZ265" s="315"/>
      <c r="GA265" s="315"/>
      <c r="GB265" s="315">
        <v>112</v>
      </c>
      <c r="GC265" s="315">
        <v>84501</v>
      </c>
      <c r="GD265" s="315">
        <v>-20134</v>
      </c>
      <c r="GE265" s="315">
        <v>91796</v>
      </c>
      <c r="GF265" s="315">
        <v>12839</v>
      </c>
      <c r="GG265" s="315">
        <v>140940</v>
      </c>
      <c r="GH265" s="315">
        <v>14727</v>
      </c>
      <c r="GI265" s="315">
        <v>450</v>
      </c>
      <c r="GJ265" s="315">
        <v>125763</v>
      </c>
      <c r="GL265"/>
      <c r="GM265"/>
      <c r="GN265"/>
      <c r="GO265"/>
    </row>
    <row r="266" spans="1:197">
      <c r="A266" s="98" t="s">
        <v>34</v>
      </c>
      <c r="B266" s="98">
        <v>7</v>
      </c>
      <c r="C266" s="98" t="s">
        <v>223</v>
      </c>
      <c r="D266" s="315">
        <v>30554887</v>
      </c>
      <c r="E266" s="315">
        <v>-4076248</v>
      </c>
      <c r="F266" s="315">
        <v>-14599</v>
      </c>
      <c r="G266" s="315">
        <v>26464040</v>
      </c>
      <c r="H266" s="315">
        <v>16959509</v>
      </c>
      <c r="I266" s="315">
        <v>9504531</v>
      </c>
      <c r="J266" s="315">
        <v>9370589</v>
      </c>
      <c r="K266" s="315">
        <v>133942</v>
      </c>
      <c r="L266" s="315">
        <v>15805126</v>
      </c>
      <c r="M266" s="315">
        <v>9262941</v>
      </c>
      <c r="N266" s="315">
        <v>4976438</v>
      </c>
      <c r="O266" s="315">
        <v>4845707</v>
      </c>
      <c r="P266" s="315">
        <v>130731</v>
      </c>
      <c r="Q266" s="315">
        <v>96210</v>
      </c>
      <c r="R266" s="315">
        <v>1469537</v>
      </c>
      <c r="S266" s="315">
        <v>-1402740</v>
      </c>
      <c r="T266" s="315">
        <v>-1386748</v>
      </c>
      <c r="U266" s="315">
        <v>-78105</v>
      </c>
      <c r="V266" s="315">
        <v>-22</v>
      </c>
      <c r="W266" s="315">
        <v>-1278629</v>
      </c>
      <c r="X266" s="315">
        <v>0</v>
      </c>
      <c r="Y266" s="315">
        <v>-29992</v>
      </c>
      <c r="Z266" s="315">
        <v>-5225</v>
      </c>
      <c r="AA266" s="315">
        <v>-10767</v>
      </c>
      <c r="AB266" s="315">
        <v>0</v>
      </c>
      <c r="AC266" s="315">
        <v>-14599</v>
      </c>
      <c r="AD266" s="315">
        <v>14387787</v>
      </c>
      <c r="AE266" s="315">
        <v>9202065</v>
      </c>
      <c r="AF266" s="315">
        <v>5185722</v>
      </c>
      <c r="AG266" s="315">
        <v>5121840</v>
      </c>
      <c r="AH266" s="315">
        <v>63882</v>
      </c>
      <c r="AI266" s="315">
        <v>9252764</v>
      </c>
      <c r="AJ266" s="315">
        <v>2464572</v>
      </c>
      <c r="AK266" s="315">
        <v>3063285</v>
      </c>
      <c r="AL266" s="315">
        <v>3676581</v>
      </c>
      <c r="AM266" s="315">
        <v>419617</v>
      </c>
      <c r="AN266" s="315">
        <v>353012</v>
      </c>
      <c r="AO266" s="315">
        <v>42407</v>
      </c>
      <c r="AP266" s="315">
        <v>31558</v>
      </c>
      <c r="AQ266" s="315">
        <v>622353</v>
      </c>
      <c r="AR266" s="315">
        <v>3589690</v>
      </c>
      <c r="AS266" s="315">
        <v>90985</v>
      </c>
      <c r="AT266" s="315">
        <v>0</v>
      </c>
      <c r="AU266" s="315">
        <v>-14599</v>
      </c>
      <c r="AV266" s="315">
        <v>772246</v>
      </c>
      <c r="AW266" s="315">
        <v>34109</v>
      </c>
      <c r="AX266" s="315">
        <v>257637</v>
      </c>
      <c r="AY266" s="315">
        <v>108647</v>
      </c>
      <c r="AZ266" s="315">
        <v>16764</v>
      </c>
      <c r="BA266" s="315">
        <v>101000</v>
      </c>
      <c r="BB266" s="315">
        <v>31226</v>
      </c>
      <c r="BC266" s="315">
        <v>137801</v>
      </c>
      <c r="BD266" s="315">
        <v>342699</v>
      </c>
      <c r="BE266" s="315">
        <v>-134547</v>
      </c>
      <c r="BF266" s="315">
        <v>-131905</v>
      </c>
      <c r="BG266" s="315">
        <v>-98903</v>
      </c>
      <c r="BH266" s="315">
        <v>-33002</v>
      </c>
      <c r="BI266" s="315">
        <v>0</v>
      </c>
      <c r="BJ266" s="315">
        <v>-75556</v>
      </c>
      <c r="BK266" s="315">
        <v>-56349</v>
      </c>
      <c r="BL266" s="315">
        <v>-2642</v>
      </c>
      <c r="BM266" s="315">
        <v>0</v>
      </c>
      <c r="BN266" s="315">
        <v>637699</v>
      </c>
      <c r="BO266" s="315">
        <v>178159</v>
      </c>
      <c r="BP266" s="315">
        <v>146226</v>
      </c>
      <c r="BQ266" s="315">
        <v>18054</v>
      </c>
      <c r="BR266" s="315">
        <v>13</v>
      </c>
      <c r="BS266" s="315">
        <v>31618</v>
      </c>
      <c r="BT266" s="315">
        <v>1741</v>
      </c>
      <c r="BU266" s="315">
        <v>240</v>
      </c>
      <c r="BV266" s="315">
        <v>821</v>
      </c>
      <c r="BW266" s="315">
        <v>28816</v>
      </c>
      <c r="BX266" s="315">
        <v>158734</v>
      </c>
      <c r="BY266" s="315">
        <v>104799</v>
      </c>
      <c r="BZ266" s="315">
        <v>96</v>
      </c>
      <c r="CA266" s="315">
        <v>209947</v>
      </c>
      <c r="CB266" s="315">
        <v>-32328</v>
      </c>
      <c r="CC266" s="315">
        <v>-32328</v>
      </c>
      <c r="CD266" s="315">
        <v>0</v>
      </c>
      <c r="CE266" s="315">
        <v>177619</v>
      </c>
      <c r="CF266" s="315">
        <v>171023</v>
      </c>
      <c r="CG266" s="315">
        <v>-3</v>
      </c>
      <c r="CH266" s="315">
        <v>6599</v>
      </c>
      <c r="CI266" s="315">
        <v>11411125</v>
      </c>
      <c r="CJ266" s="315">
        <v>1193819</v>
      </c>
      <c r="CK266" s="315">
        <v>10217306</v>
      </c>
      <c r="CL266" s="315">
        <v>3793854</v>
      </c>
      <c r="CM266" s="315">
        <v>5919162</v>
      </c>
      <c r="CN266" s="315">
        <v>504290</v>
      </c>
      <c r="CO266" s="315">
        <v>4827</v>
      </c>
      <c r="CP266" s="315">
        <v>0</v>
      </c>
      <c r="CQ266" s="315">
        <v>499463</v>
      </c>
      <c r="CR266" s="315">
        <v>-2422587</v>
      </c>
      <c r="CS266" s="315">
        <v>-742293</v>
      </c>
      <c r="CT266" s="315">
        <v>-679112</v>
      </c>
      <c r="CU266" s="315">
        <v>-6010</v>
      </c>
      <c r="CV266" s="315">
        <v>-309</v>
      </c>
      <c r="CW266" s="315">
        <v>-56862</v>
      </c>
      <c r="CX266" s="315">
        <v>-1360593</v>
      </c>
      <c r="CY266" s="315">
        <v>-1193993</v>
      </c>
      <c r="CZ266" s="315">
        <v>-166257</v>
      </c>
      <c r="DA266" s="315">
        <v>-343</v>
      </c>
      <c r="DB266" s="315">
        <v>-319701</v>
      </c>
      <c r="DC266" s="315">
        <v>0</v>
      </c>
      <c r="DD266" s="315">
        <v>8988538</v>
      </c>
      <c r="DE266" s="315">
        <v>5272515</v>
      </c>
      <c r="DF266" s="315">
        <v>3716023</v>
      </c>
      <c r="DG266" s="315">
        <v>3663705</v>
      </c>
      <c r="DH266" s="315">
        <v>52318</v>
      </c>
      <c r="DI266" s="315">
        <v>1782396</v>
      </c>
      <c r="DJ266" s="315">
        <v>41627</v>
      </c>
      <c r="DK266" s="315">
        <v>25215</v>
      </c>
      <c r="DL266" s="315">
        <v>1305</v>
      </c>
      <c r="DM266" s="315">
        <v>953445</v>
      </c>
      <c r="DN266" s="315">
        <v>632173</v>
      </c>
      <c r="DO266" s="315">
        <v>102815</v>
      </c>
      <c r="DP266" s="315"/>
      <c r="DQ266" s="315">
        <v>25760</v>
      </c>
      <c r="DR266" s="315">
        <v>56</v>
      </c>
      <c r="DS266" s="315">
        <v>-42806</v>
      </c>
      <c r="DT266" s="315">
        <v>-9022</v>
      </c>
      <c r="DU266" s="315">
        <v>-2588</v>
      </c>
      <c r="DV266" s="315">
        <v>-3</v>
      </c>
      <c r="DW266" s="315">
        <v>-31163</v>
      </c>
      <c r="DX266" s="315">
        <v>-16900</v>
      </c>
      <c r="DY266" s="315">
        <v>-87</v>
      </c>
      <c r="DZ266" s="315">
        <v>-14176</v>
      </c>
      <c r="EA266" s="315">
        <v>0</v>
      </c>
      <c r="EB266" s="315">
        <v>-10</v>
      </c>
      <c r="EC266" s="315"/>
      <c r="ED266" s="315">
        <v>0</v>
      </c>
      <c r="EE266" s="315">
        <v>-20</v>
      </c>
      <c r="EF266" s="315">
        <v>1739590</v>
      </c>
      <c r="EG266" s="315">
        <v>1136804</v>
      </c>
      <c r="EH266" s="315">
        <v>602786</v>
      </c>
      <c r="EI266" s="315">
        <v>585044</v>
      </c>
      <c r="EJ266" s="315">
        <v>17742</v>
      </c>
      <c r="EK266" s="315">
        <v>32605</v>
      </c>
      <c r="EL266" s="315">
        <v>8427</v>
      </c>
      <c r="EM266" s="315">
        <v>24178</v>
      </c>
      <c r="EN266" s="315">
        <v>23377</v>
      </c>
      <c r="EO266" s="315">
        <v>801</v>
      </c>
      <c r="EP266" s="315">
        <v>22627</v>
      </c>
      <c r="EQ266" s="315">
        <v>208</v>
      </c>
      <c r="ER266" s="315">
        <v>22419</v>
      </c>
      <c r="ES266" s="315">
        <v>22132</v>
      </c>
      <c r="ET266" s="315">
        <v>287</v>
      </c>
      <c r="EU266" s="315">
        <v>1302</v>
      </c>
      <c r="EV266" s="315">
        <v>-535</v>
      </c>
      <c r="EW266" s="315">
        <v>1837</v>
      </c>
      <c r="EX266" s="315">
        <v>1820</v>
      </c>
      <c r="EY266" s="315">
        <v>17</v>
      </c>
      <c r="EZ266" s="315">
        <v>922282</v>
      </c>
      <c r="FA266" s="315">
        <v>180369</v>
      </c>
      <c r="FB266" s="315">
        <v>741913</v>
      </c>
      <c r="FC266" s="315">
        <v>732462</v>
      </c>
      <c r="FD266" s="315">
        <v>9451</v>
      </c>
      <c r="FE266" s="315">
        <v>632173</v>
      </c>
      <c r="FF266" s="315">
        <v>674852</v>
      </c>
      <c r="FG266" s="315">
        <v>-42679</v>
      </c>
      <c r="FH266" s="315">
        <v>-49865</v>
      </c>
      <c r="FI266" s="315">
        <v>7186</v>
      </c>
      <c r="FJ266" s="315">
        <v>102805</v>
      </c>
      <c r="FK266" s="315">
        <v>247687</v>
      </c>
      <c r="FL266" s="315">
        <v>-144882</v>
      </c>
      <c r="FM266" s="315">
        <v>-144882</v>
      </c>
      <c r="FN266" s="315"/>
      <c r="FO266" s="315"/>
      <c r="FP266" s="315">
        <v>25760</v>
      </c>
      <c r="FQ266" s="315">
        <v>36</v>
      </c>
      <c r="FR266" s="315">
        <v>574047</v>
      </c>
      <c r="FS266" s="315">
        <v>-41240</v>
      </c>
      <c r="FT266" s="315">
        <v>532807</v>
      </c>
      <c r="FU266" s="315">
        <v>4872</v>
      </c>
      <c r="FV266" s="315">
        <v>4450</v>
      </c>
      <c r="FW266" s="315">
        <v>422</v>
      </c>
      <c r="FX266" s="315">
        <v>155629</v>
      </c>
      <c r="FY266" s="315">
        <v>120349</v>
      </c>
      <c r="FZ266" s="315"/>
      <c r="GA266" s="315"/>
      <c r="GB266" s="315">
        <v>218</v>
      </c>
      <c r="GC266" s="315">
        <v>83827</v>
      </c>
      <c r="GD266" s="315">
        <v>-30390</v>
      </c>
      <c r="GE266" s="315">
        <v>40210</v>
      </c>
      <c r="GF266" s="315">
        <v>74007</v>
      </c>
      <c r="GG266" s="315">
        <v>167912</v>
      </c>
      <c r="GH266" s="315">
        <v>43432</v>
      </c>
      <c r="GI266" s="315">
        <v>586</v>
      </c>
      <c r="GJ266" s="315">
        <v>123894</v>
      </c>
      <c r="GL266"/>
      <c r="GM266"/>
      <c r="GN266"/>
      <c r="GO266"/>
    </row>
    <row r="267" spans="1:197">
      <c r="A267" s="98" t="s">
        <v>34</v>
      </c>
      <c r="B267" s="98">
        <v>8</v>
      </c>
      <c r="C267" s="98" t="s">
        <v>224</v>
      </c>
      <c r="D267" s="315">
        <v>17735783</v>
      </c>
      <c r="E267" s="315">
        <v>-1985732</v>
      </c>
      <c r="F267" s="315">
        <v>-16624</v>
      </c>
      <c r="G267" s="315">
        <v>15733427</v>
      </c>
      <c r="H267" s="315">
        <v>9221581</v>
      </c>
      <c r="I267" s="315">
        <v>6511846</v>
      </c>
      <c r="J267" s="315">
        <v>6270498</v>
      </c>
      <c r="K267" s="315">
        <v>241348</v>
      </c>
      <c r="L267" s="315">
        <v>4831935</v>
      </c>
      <c r="M267" s="315">
        <v>4231607</v>
      </c>
      <c r="N267" s="315">
        <v>127952</v>
      </c>
      <c r="O267" s="315">
        <v>42978</v>
      </c>
      <c r="P267" s="315">
        <v>84974</v>
      </c>
      <c r="Q267" s="315">
        <v>74408</v>
      </c>
      <c r="R267" s="315">
        <v>397968</v>
      </c>
      <c r="S267" s="315">
        <v>-393074</v>
      </c>
      <c r="T267" s="315">
        <v>-386642</v>
      </c>
      <c r="U267" s="315">
        <v>-78134</v>
      </c>
      <c r="V267" s="315">
        <v>-27</v>
      </c>
      <c r="W267" s="315">
        <v>-288807</v>
      </c>
      <c r="X267" s="315">
        <v>0</v>
      </c>
      <c r="Y267" s="315">
        <v>-19674</v>
      </c>
      <c r="Z267" s="315">
        <v>-1842</v>
      </c>
      <c r="AA267" s="315">
        <v>-4590</v>
      </c>
      <c r="AB267" s="315">
        <v>0</v>
      </c>
      <c r="AC267" s="315">
        <v>-16624</v>
      </c>
      <c r="AD267" s="315">
        <v>4422237</v>
      </c>
      <c r="AE267" s="315">
        <v>1512466</v>
      </c>
      <c r="AF267" s="315">
        <v>2909771</v>
      </c>
      <c r="AG267" s="315">
        <v>2787840</v>
      </c>
      <c r="AH267" s="315">
        <v>121931</v>
      </c>
      <c r="AI267" s="315">
        <v>4227398</v>
      </c>
      <c r="AJ267" s="315">
        <v>1481050</v>
      </c>
      <c r="AK267" s="315">
        <v>2688750</v>
      </c>
      <c r="AL267" s="315">
        <v>7139</v>
      </c>
      <c r="AM267" s="315">
        <v>281384</v>
      </c>
      <c r="AN267" s="315">
        <v>44035</v>
      </c>
      <c r="AO267" s="315">
        <v>37170</v>
      </c>
      <c r="AP267" s="315">
        <v>15982</v>
      </c>
      <c r="AQ267" s="315">
        <v>19016</v>
      </c>
      <c r="AR267" s="315">
        <v>-258690</v>
      </c>
      <c r="AS267" s="315">
        <v>72566</v>
      </c>
      <c r="AT267" s="315">
        <v>0</v>
      </c>
      <c r="AU267" s="315">
        <v>-16624</v>
      </c>
      <c r="AV267" s="315">
        <v>4891649</v>
      </c>
      <c r="AW267" s="315">
        <v>8171</v>
      </c>
      <c r="AX267" s="315">
        <v>4607453</v>
      </c>
      <c r="AY267" s="315">
        <v>1600434</v>
      </c>
      <c r="AZ267" s="315">
        <v>493394</v>
      </c>
      <c r="BA267" s="315">
        <v>2468996</v>
      </c>
      <c r="BB267" s="315">
        <v>44629</v>
      </c>
      <c r="BC267" s="315">
        <v>124774</v>
      </c>
      <c r="BD267" s="315">
        <v>151251</v>
      </c>
      <c r="BE267" s="315">
        <v>-28531</v>
      </c>
      <c r="BF267" s="315">
        <v>-28255</v>
      </c>
      <c r="BG267" s="315">
        <v>-17836</v>
      </c>
      <c r="BH267" s="315">
        <v>-10419</v>
      </c>
      <c r="BI267" s="315">
        <v>0</v>
      </c>
      <c r="BJ267" s="315">
        <v>-5911</v>
      </c>
      <c r="BK267" s="315">
        <v>-22344</v>
      </c>
      <c r="BL267" s="315">
        <v>-276</v>
      </c>
      <c r="BM267" s="315">
        <v>0</v>
      </c>
      <c r="BN267" s="315">
        <v>4863118</v>
      </c>
      <c r="BO267" s="315">
        <v>119458</v>
      </c>
      <c r="BP267" s="315">
        <v>15948</v>
      </c>
      <c r="BQ267" s="315">
        <v>15692</v>
      </c>
      <c r="BR267" s="315">
        <v>13</v>
      </c>
      <c r="BS267" s="315">
        <v>8011</v>
      </c>
      <c r="BT267" s="315">
        <v>70</v>
      </c>
      <c r="BU267" s="315">
        <v>87</v>
      </c>
      <c r="BV267" s="315">
        <v>249</v>
      </c>
      <c r="BW267" s="315">
        <v>7605</v>
      </c>
      <c r="BX267" s="315">
        <v>4589617</v>
      </c>
      <c r="BY267" s="315">
        <v>114355</v>
      </c>
      <c r="BZ267" s="315">
        <v>24</v>
      </c>
      <c r="CA267" s="315">
        <v>312604</v>
      </c>
      <c r="CB267" s="315">
        <v>-7235</v>
      </c>
      <c r="CC267" s="315">
        <v>-7235</v>
      </c>
      <c r="CD267" s="315">
        <v>0</v>
      </c>
      <c r="CE267" s="315">
        <v>305369</v>
      </c>
      <c r="CF267" s="315">
        <v>242633</v>
      </c>
      <c r="CG267" s="315">
        <v>2</v>
      </c>
      <c r="CH267" s="315">
        <v>62734</v>
      </c>
      <c r="CI267" s="315">
        <v>5497332</v>
      </c>
      <c r="CJ267" s="315">
        <v>1129500</v>
      </c>
      <c r="CK267" s="315">
        <v>4367832</v>
      </c>
      <c r="CL267" s="315">
        <v>3829272</v>
      </c>
      <c r="CM267" s="315">
        <v>108013</v>
      </c>
      <c r="CN267" s="315">
        <v>430547</v>
      </c>
      <c r="CO267" s="315">
        <v>0</v>
      </c>
      <c r="CP267" s="315">
        <v>0</v>
      </c>
      <c r="CQ267" s="315">
        <v>430547</v>
      </c>
      <c r="CR267" s="315">
        <v>-1488150</v>
      </c>
      <c r="CS267" s="315">
        <v>-381141</v>
      </c>
      <c r="CT267" s="315">
        <v>-331398</v>
      </c>
      <c r="CU267" s="315">
        <v>-3706</v>
      </c>
      <c r="CV267" s="315">
        <v>-31</v>
      </c>
      <c r="CW267" s="315">
        <v>-46006</v>
      </c>
      <c r="CX267" s="315">
        <v>-1107009</v>
      </c>
      <c r="CY267" s="315">
        <v>-1054057</v>
      </c>
      <c r="CZ267" s="315">
        <v>-48621</v>
      </c>
      <c r="DA267" s="315">
        <v>-4331</v>
      </c>
      <c r="DB267" s="315">
        <v>0</v>
      </c>
      <c r="DC267" s="315">
        <v>0</v>
      </c>
      <c r="DD267" s="315">
        <v>4009182</v>
      </c>
      <c r="DE267" s="315">
        <v>1456184</v>
      </c>
      <c r="DF267" s="315">
        <v>2552998</v>
      </c>
      <c r="DG267" s="315">
        <v>2452745</v>
      </c>
      <c r="DH267" s="315">
        <v>100253</v>
      </c>
      <c r="DI267" s="315">
        <v>1791915</v>
      </c>
      <c r="DJ267" s="315">
        <v>91672</v>
      </c>
      <c r="DK267" s="315">
        <v>30173</v>
      </c>
      <c r="DL267" s="315">
        <v>3476</v>
      </c>
      <c r="DM267" s="315">
        <v>942069</v>
      </c>
      <c r="DN267" s="315">
        <v>618885</v>
      </c>
      <c r="DO267" s="315">
        <v>103420</v>
      </c>
      <c r="DP267" s="315"/>
      <c r="DQ267" s="315">
        <v>2139</v>
      </c>
      <c r="DR267" s="315">
        <v>81</v>
      </c>
      <c r="DS267" s="315">
        <v>-21882</v>
      </c>
      <c r="DT267" s="315">
        <v>-1370</v>
      </c>
      <c r="DU267" s="315">
        <v>-328</v>
      </c>
      <c r="DV267" s="315">
        <v>-3</v>
      </c>
      <c r="DW267" s="315">
        <v>-20127</v>
      </c>
      <c r="DX267" s="315">
        <v>-12887</v>
      </c>
      <c r="DY267" s="315">
        <v>-444</v>
      </c>
      <c r="DZ267" s="315">
        <v>-6796</v>
      </c>
      <c r="EA267" s="315">
        <v>0</v>
      </c>
      <c r="EB267" s="315">
        <v>-26</v>
      </c>
      <c r="EC267" s="315"/>
      <c r="ED267" s="315">
        <v>0</v>
      </c>
      <c r="EE267" s="315">
        <v>-28</v>
      </c>
      <c r="EF267" s="315">
        <v>1770033</v>
      </c>
      <c r="EG267" s="315">
        <v>720956</v>
      </c>
      <c r="EH267" s="315">
        <v>1049077</v>
      </c>
      <c r="EI267" s="315">
        <v>1029913</v>
      </c>
      <c r="EJ267" s="315">
        <v>19164</v>
      </c>
      <c r="EK267" s="315">
        <v>90302</v>
      </c>
      <c r="EL267" s="315">
        <v>52337</v>
      </c>
      <c r="EM267" s="315">
        <v>37965</v>
      </c>
      <c r="EN267" s="315">
        <v>37868</v>
      </c>
      <c r="EO267" s="315">
        <v>97</v>
      </c>
      <c r="EP267" s="315">
        <v>29845</v>
      </c>
      <c r="EQ267" s="315">
        <v>14298</v>
      </c>
      <c r="ER267" s="315">
        <v>15547</v>
      </c>
      <c r="ES267" s="315">
        <v>14934</v>
      </c>
      <c r="ET267" s="315">
        <v>613</v>
      </c>
      <c r="EU267" s="315">
        <v>3473</v>
      </c>
      <c r="EV267" s="315">
        <v>2474</v>
      </c>
      <c r="EW267" s="315">
        <v>999</v>
      </c>
      <c r="EX267" s="315">
        <v>939</v>
      </c>
      <c r="EY267" s="315">
        <v>60</v>
      </c>
      <c r="EZ267" s="315">
        <v>921942</v>
      </c>
      <c r="FA267" s="315">
        <v>359656</v>
      </c>
      <c r="FB267" s="315">
        <v>562286</v>
      </c>
      <c r="FC267" s="315">
        <v>537014</v>
      </c>
      <c r="FD267" s="315">
        <v>25272</v>
      </c>
      <c r="FE267" s="315">
        <v>618885</v>
      </c>
      <c r="FF267" s="315">
        <v>305879</v>
      </c>
      <c r="FG267" s="315">
        <v>313006</v>
      </c>
      <c r="FH267" s="315">
        <v>319884</v>
      </c>
      <c r="FI267" s="315">
        <v>-6878</v>
      </c>
      <c r="FJ267" s="315">
        <v>103394</v>
      </c>
      <c r="FK267" s="315">
        <v>-15880</v>
      </c>
      <c r="FL267" s="315">
        <v>119274</v>
      </c>
      <c r="FM267" s="315">
        <v>119274</v>
      </c>
      <c r="FN267" s="315"/>
      <c r="FO267" s="315"/>
      <c r="FP267" s="315">
        <v>2139</v>
      </c>
      <c r="FQ267" s="315">
        <v>53</v>
      </c>
      <c r="FR267" s="315">
        <v>410348</v>
      </c>
      <c r="FS267" s="315">
        <v>-46860</v>
      </c>
      <c r="FT267" s="315">
        <v>363488</v>
      </c>
      <c r="FU267" s="315">
        <v>1264</v>
      </c>
      <c r="FV267" s="315">
        <v>1130</v>
      </c>
      <c r="FW267" s="315">
        <v>134</v>
      </c>
      <c r="FX267" s="315">
        <v>163818</v>
      </c>
      <c r="FY267" s="315">
        <v>35360</v>
      </c>
      <c r="FZ267" s="315"/>
      <c r="GA267" s="315"/>
      <c r="GB267" s="315">
        <v>13218</v>
      </c>
      <c r="GC267" s="315">
        <v>40788</v>
      </c>
      <c r="GD267" s="315">
        <v>-30261</v>
      </c>
      <c r="GE267" s="315">
        <v>296</v>
      </c>
      <c r="GF267" s="315">
        <v>70753</v>
      </c>
      <c r="GG267" s="315">
        <v>109040</v>
      </c>
      <c r="GH267" s="315">
        <v>10408</v>
      </c>
      <c r="GI267" s="315">
        <v>457</v>
      </c>
      <c r="GJ267" s="315">
        <v>98175</v>
      </c>
      <c r="GL267"/>
      <c r="GM267"/>
      <c r="GN267"/>
      <c r="GO267"/>
    </row>
    <row r="268" spans="1:197">
      <c r="A268" s="98" t="s">
        <v>34</v>
      </c>
      <c r="B268" s="98">
        <v>9</v>
      </c>
      <c r="C268" s="98" t="s">
        <v>225</v>
      </c>
      <c r="D268" s="315">
        <v>12258559</v>
      </c>
      <c r="E268" s="315">
        <v>-2644464</v>
      </c>
      <c r="F268" s="315">
        <v>-14599</v>
      </c>
      <c r="G268" s="315">
        <v>9599496</v>
      </c>
      <c r="H268" s="315">
        <v>3194878</v>
      </c>
      <c r="I268" s="315">
        <v>6404618</v>
      </c>
      <c r="J268" s="315">
        <v>6270500</v>
      </c>
      <c r="K268" s="315">
        <v>134118</v>
      </c>
      <c r="L268" s="315">
        <v>4226443</v>
      </c>
      <c r="M268" s="315">
        <v>3766268</v>
      </c>
      <c r="N268" s="315">
        <v>113348</v>
      </c>
      <c r="O268" s="315">
        <v>24421</v>
      </c>
      <c r="P268" s="315">
        <v>88927</v>
      </c>
      <c r="Q268" s="315">
        <v>83085</v>
      </c>
      <c r="R268" s="315">
        <v>263742</v>
      </c>
      <c r="S268" s="315">
        <v>-570865</v>
      </c>
      <c r="T268" s="315">
        <v>-551702</v>
      </c>
      <c r="U268" s="315">
        <v>-79606</v>
      </c>
      <c r="V268" s="315">
        <v>-23</v>
      </c>
      <c r="W268" s="315">
        <v>-445994</v>
      </c>
      <c r="X268" s="315">
        <v>0</v>
      </c>
      <c r="Y268" s="315">
        <v>-26079</v>
      </c>
      <c r="Z268" s="315">
        <v>-6572</v>
      </c>
      <c r="AA268" s="315">
        <v>-12591</v>
      </c>
      <c r="AB268" s="315">
        <v>0</v>
      </c>
      <c r="AC268" s="315">
        <v>-14599</v>
      </c>
      <c r="AD268" s="315">
        <v>3640979</v>
      </c>
      <c r="AE268" s="315">
        <v>789226</v>
      </c>
      <c r="AF268" s="315">
        <v>2851753</v>
      </c>
      <c r="AG268" s="315">
        <v>2787840</v>
      </c>
      <c r="AH268" s="315">
        <v>63913</v>
      </c>
      <c r="AI268" s="315">
        <v>3754514</v>
      </c>
      <c r="AJ268" s="315">
        <v>1529137</v>
      </c>
      <c r="AK268" s="315">
        <v>2167126</v>
      </c>
      <c r="AL268" s="315">
        <v>9811</v>
      </c>
      <c r="AM268" s="315">
        <v>150713</v>
      </c>
      <c r="AN268" s="315">
        <v>38055</v>
      </c>
      <c r="AO268" s="315">
        <v>19164</v>
      </c>
      <c r="AP268" s="315">
        <v>37893</v>
      </c>
      <c r="AQ268" s="315">
        <v>17080</v>
      </c>
      <c r="AR268" s="315">
        <v>-438354</v>
      </c>
      <c r="AS268" s="315">
        <v>76513</v>
      </c>
      <c r="AT268" s="315">
        <v>0</v>
      </c>
      <c r="AU268" s="315">
        <v>-14599</v>
      </c>
      <c r="AV268" s="315">
        <v>417481</v>
      </c>
      <c r="AW268" s="315">
        <v>3752</v>
      </c>
      <c r="AX268" s="315">
        <v>103593</v>
      </c>
      <c r="AY268" s="315">
        <v>10224</v>
      </c>
      <c r="AZ268" s="315">
        <v>39891</v>
      </c>
      <c r="BA268" s="315">
        <v>4683</v>
      </c>
      <c r="BB268" s="315">
        <v>48795</v>
      </c>
      <c r="BC268" s="315">
        <v>236011</v>
      </c>
      <c r="BD268" s="315">
        <v>74125</v>
      </c>
      <c r="BE268" s="315">
        <v>-47003</v>
      </c>
      <c r="BF268" s="315">
        <v>-45911</v>
      </c>
      <c r="BG268" s="315">
        <v>-24551</v>
      </c>
      <c r="BH268" s="315">
        <v>-21360</v>
      </c>
      <c r="BI268" s="315">
        <v>0</v>
      </c>
      <c r="BJ268" s="315">
        <v>-16492</v>
      </c>
      <c r="BK268" s="315">
        <v>-29419</v>
      </c>
      <c r="BL268" s="315">
        <v>-1092</v>
      </c>
      <c r="BM268" s="315">
        <v>0</v>
      </c>
      <c r="BN268" s="315">
        <v>370478</v>
      </c>
      <c r="BO268" s="315">
        <v>52052</v>
      </c>
      <c r="BP268" s="315">
        <v>13555</v>
      </c>
      <c r="BQ268" s="315">
        <v>8158</v>
      </c>
      <c r="BR268" s="315">
        <v>0</v>
      </c>
      <c r="BS268" s="315">
        <v>3457</v>
      </c>
      <c r="BT268" s="315">
        <v>34</v>
      </c>
      <c r="BU268" s="315">
        <v>6</v>
      </c>
      <c r="BV268" s="315">
        <v>152</v>
      </c>
      <c r="BW268" s="315">
        <v>3265</v>
      </c>
      <c r="BX268" s="315">
        <v>79042</v>
      </c>
      <c r="BY268" s="315">
        <v>214651</v>
      </c>
      <c r="BZ268" s="315">
        <v>-437</v>
      </c>
      <c r="CA268" s="315">
        <v>161430</v>
      </c>
      <c r="CB268" s="315">
        <v>-28255</v>
      </c>
      <c r="CC268" s="315">
        <v>-28255</v>
      </c>
      <c r="CD268" s="315">
        <v>0</v>
      </c>
      <c r="CE268" s="315">
        <v>133175</v>
      </c>
      <c r="CF268" s="315">
        <v>108198</v>
      </c>
      <c r="CG268" s="315">
        <v>0</v>
      </c>
      <c r="CH268" s="315">
        <v>24977</v>
      </c>
      <c r="CI268" s="315">
        <v>4783388</v>
      </c>
      <c r="CJ268" s="315">
        <v>1109058</v>
      </c>
      <c r="CK268" s="315">
        <v>3674330</v>
      </c>
      <c r="CL268" s="315">
        <v>3196690</v>
      </c>
      <c r="CM268" s="315">
        <v>47826</v>
      </c>
      <c r="CN268" s="315">
        <v>429814</v>
      </c>
      <c r="CO268" s="315">
        <v>0</v>
      </c>
      <c r="CP268" s="315">
        <v>0</v>
      </c>
      <c r="CQ268" s="315">
        <v>429814</v>
      </c>
      <c r="CR268" s="315">
        <v>-1920959</v>
      </c>
      <c r="CS268" s="315">
        <v>-326593</v>
      </c>
      <c r="CT268" s="315">
        <v>-232119</v>
      </c>
      <c r="CU268" s="315">
        <v>-11322</v>
      </c>
      <c r="CV268" s="315">
        <v>-89</v>
      </c>
      <c r="CW268" s="315">
        <v>-83063</v>
      </c>
      <c r="CX268" s="315">
        <v>-1402454</v>
      </c>
      <c r="CY268" s="315">
        <v>-1359036</v>
      </c>
      <c r="CZ268" s="315">
        <v>-40069</v>
      </c>
      <c r="DA268" s="315">
        <v>-3349</v>
      </c>
      <c r="DB268" s="315">
        <v>0</v>
      </c>
      <c r="DC268" s="315">
        <v>-191912</v>
      </c>
      <c r="DD268" s="315">
        <v>2862429</v>
      </c>
      <c r="DE268" s="315">
        <v>357245</v>
      </c>
      <c r="DF268" s="315">
        <v>2505184</v>
      </c>
      <c r="DG268" s="315">
        <v>2452746</v>
      </c>
      <c r="DH268" s="315">
        <v>52438</v>
      </c>
      <c r="DI268" s="315">
        <v>1819201</v>
      </c>
      <c r="DJ268" s="315">
        <v>78599</v>
      </c>
      <c r="DK268" s="315">
        <v>33092</v>
      </c>
      <c r="DL268" s="315">
        <v>1200</v>
      </c>
      <c r="DM268" s="315">
        <v>940471</v>
      </c>
      <c r="DN268" s="315">
        <v>650003</v>
      </c>
      <c r="DO268" s="315">
        <v>115805</v>
      </c>
      <c r="DP268" s="315"/>
      <c r="DQ268" s="315">
        <v>0</v>
      </c>
      <c r="DR268" s="315">
        <v>31</v>
      </c>
      <c r="DS268" s="315">
        <v>-24345</v>
      </c>
      <c r="DT268" s="315">
        <v>-1203</v>
      </c>
      <c r="DU268" s="315">
        <v>-180</v>
      </c>
      <c r="DV268" s="315">
        <v>-7</v>
      </c>
      <c r="DW268" s="315">
        <v>-22408</v>
      </c>
      <c r="DX268" s="315">
        <v>-11880</v>
      </c>
      <c r="DY268" s="315">
        <v>-466</v>
      </c>
      <c r="DZ268" s="315">
        <v>-10062</v>
      </c>
      <c r="EA268" s="315">
        <v>0</v>
      </c>
      <c r="EB268" s="315">
        <v>-445</v>
      </c>
      <c r="EC268" s="315"/>
      <c r="ED268" s="315">
        <v>0</v>
      </c>
      <c r="EE268" s="315">
        <v>-102</v>
      </c>
      <c r="EF268" s="315">
        <v>1794856</v>
      </c>
      <c r="EG268" s="315">
        <v>747175</v>
      </c>
      <c r="EH268" s="315">
        <v>1047681</v>
      </c>
      <c r="EI268" s="315">
        <v>1029914</v>
      </c>
      <c r="EJ268" s="315">
        <v>17767</v>
      </c>
      <c r="EK268" s="315">
        <v>77396</v>
      </c>
      <c r="EL268" s="315">
        <v>38725</v>
      </c>
      <c r="EM268" s="315">
        <v>38671</v>
      </c>
      <c r="EN268" s="315">
        <v>37869</v>
      </c>
      <c r="EO268" s="315">
        <v>802</v>
      </c>
      <c r="EP268" s="315">
        <v>32912</v>
      </c>
      <c r="EQ268" s="315">
        <v>17690</v>
      </c>
      <c r="ER268" s="315">
        <v>15222</v>
      </c>
      <c r="ES268" s="315">
        <v>14934</v>
      </c>
      <c r="ET268" s="315">
        <v>288</v>
      </c>
      <c r="EU268" s="315">
        <v>1193</v>
      </c>
      <c r="EV268" s="315">
        <v>237</v>
      </c>
      <c r="EW268" s="315">
        <v>956</v>
      </c>
      <c r="EX268" s="315">
        <v>939</v>
      </c>
      <c r="EY268" s="315">
        <v>17</v>
      </c>
      <c r="EZ268" s="315">
        <v>918063</v>
      </c>
      <c r="FA268" s="315">
        <v>371593</v>
      </c>
      <c r="FB268" s="315">
        <v>546470</v>
      </c>
      <c r="FC268" s="315">
        <v>537015</v>
      </c>
      <c r="FD268" s="315">
        <v>9455</v>
      </c>
      <c r="FE268" s="315">
        <v>650003</v>
      </c>
      <c r="FF268" s="315">
        <v>322914</v>
      </c>
      <c r="FG268" s="315">
        <v>327089</v>
      </c>
      <c r="FH268" s="315">
        <v>319884</v>
      </c>
      <c r="FI268" s="315">
        <v>7205</v>
      </c>
      <c r="FJ268" s="315">
        <v>115360</v>
      </c>
      <c r="FK268" s="315">
        <v>-3913</v>
      </c>
      <c r="FL268" s="315">
        <v>119273</v>
      </c>
      <c r="FM268" s="315">
        <v>119273</v>
      </c>
      <c r="FN268" s="315"/>
      <c r="FO268" s="315"/>
      <c r="FP268" s="315">
        <v>0</v>
      </c>
      <c r="FQ268" s="315">
        <v>-71</v>
      </c>
      <c r="FR268" s="315">
        <v>850616</v>
      </c>
      <c r="FS268" s="315">
        <v>-53037</v>
      </c>
      <c r="FT268" s="315">
        <v>797579</v>
      </c>
      <c r="FU268" s="315">
        <v>282397</v>
      </c>
      <c r="FV268" s="315">
        <v>243803</v>
      </c>
      <c r="FW268" s="315">
        <v>38594</v>
      </c>
      <c r="FX268" s="315">
        <v>165105</v>
      </c>
      <c r="FY268" s="315">
        <v>194358</v>
      </c>
      <c r="FZ268" s="315"/>
      <c r="GA268" s="315"/>
      <c r="GB268" s="315">
        <v>47</v>
      </c>
      <c r="GC268" s="315">
        <v>1523.0000000000002</v>
      </c>
      <c r="GD268" s="315">
        <v>-30683</v>
      </c>
      <c r="GE268" s="315">
        <v>98</v>
      </c>
      <c r="GF268" s="315">
        <v>32108</v>
      </c>
      <c r="GG268" s="315">
        <v>154149</v>
      </c>
      <c r="GH268" s="315">
        <v>6767</v>
      </c>
      <c r="GI268" s="315">
        <v>268</v>
      </c>
      <c r="GJ268" s="315">
        <v>147114</v>
      </c>
      <c r="GL268"/>
      <c r="GM268"/>
      <c r="GN268"/>
      <c r="GO268"/>
    </row>
    <row r="269" spans="1:197">
      <c r="A269" s="98" t="s">
        <v>34</v>
      </c>
      <c r="B269" s="98">
        <v>10</v>
      </c>
      <c r="C269" s="98" t="s">
        <v>226</v>
      </c>
      <c r="D269" s="315">
        <v>36054283</v>
      </c>
      <c r="E269" s="315">
        <v>-3058667</v>
      </c>
      <c r="F269" s="315">
        <v>-14598</v>
      </c>
      <c r="G269" s="315">
        <v>32981018</v>
      </c>
      <c r="H269" s="315">
        <v>26576404</v>
      </c>
      <c r="I269" s="315">
        <v>6404614</v>
      </c>
      <c r="J269" s="315">
        <v>6270498</v>
      </c>
      <c r="K269" s="315">
        <v>134116</v>
      </c>
      <c r="L269" s="315">
        <v>8909510</v>
      </c>
      <c r="M269" s="315">
        <v>7395068</v>
      </c>
      <c r="N269" s="315">
        <v>141767</v>
      </c>
      <c r="O269" s="315">
        <v>41054</v>
      </c>
      <c r="P269" s="315">
        <v>100713</v>
      </c>
      <c r="Q269" s="315">
        <v>62474</v>
      </c>
      <c r="R269" s="315">
        <v>1310201</v>
      </c>
      <c r="S269" s="315">
        <v>-696292</v>
      </c>
      <c r="T269" s="315">
        <v>-675185</v>
      </c>
      <c r="U269" s="315">
        <v>-85180</v>
      </c>
      <c r="V269" s="315">
        <v>-18</v>
      </c>
      <c r="W269" s="315">
        <v>-562202</v>
      </c>
      <c r="X269" s="315">
        <v>0</v>
      </c>
      <c r="Y269" s="315">
        <v>-27785</v>
      </c>
      <c r="Z269" s="315">
        <v>-6653</v>
      </c>
      <c r="AA269" s="315">
        <v>-14454</v>
      </c>
      <c r="AB269" s="315">
        <v>0</v>
      </c>
      <c r="AC269" s="315">
        <v>-14598</v>
      </c>
      <c r="AD269" s="315">
        <v>8198620</v>
      </c>
      <c r="AE269" s="315">
        <v>5343745</v>
      </c>
      <c r="AF269" s="315">
        <v>2854875</v>
      </c>
      <c r="AG269" s="315">
        <v>2787839</v>
      </c>
      <c r="AH269" s="315">
        <v>67036</v>
      </c>
      <c r="AI269" s="315">
        <v>7381873</v>
      </c>
      <c r="AJ269" s="315">
        <v>1598881</v>
      </c>
      <c r="AK269" s="315">
        <v>2283496</v>
      </c>
      <c r="AL269" s="315">
        <v>3455989</v>
      </c>
      <c r="AM269" s="315">
        <v>284920</v>
      </c>
      <c r="AN269" s="315">
        <v>360459</v>
      </c>
      <c r="AO269" s="315">
        <v>36340</v>
      </c>
      <c r="AP269" s="315">
        <v>13642</v>
      </c>
      <c r="AQ269" s="315">
        <v>613581</v>
      </c>
      <c r="AR269" s="315">
        <v>-533418</v>
      </c>
      <c r="AS269" s="315">
        <v>55821</v>
      </c>
      <c r="AT269" s="315">
        <v>0</v>
      </c>
      <c r="AU269" s="315">
        <v>-14598</v>
      </c>
      <c r="AV269" s="315">
        <v>13464734</v>
      </c>
      <c r="AW269" s="315">
        <v>12898380</v>
      </c>
      <c r="AX269" s="315">
        <v>103155</v>
      </c>
      <c r="AY269" s="315">
        <v>7855</v>
      </c>
      <c r="AZ269" s="315">
        <v>15025</v>
      </c>
      <c r="BA269" s="315">
        <v>7623</v>
      </c>
      <c r="BB269" s="315">
        <v>72652</v>
      </c>
      <c r="BC269" s="315">
        <v>175457</v>
      </c>
      <c r="BD269" s="315">
        <v>287742</v>
      </c>
      <c r="BE269" s="315">
        <v>-63149</v>
      </c>
      <c r="BF269" s="315">
        <v>-61819</v>
      </c>
      <c r="BG269" s="315">
        <v>-42554</v>
      </c>
      <c r="BH269" s="315">
        <v>-19265</v>
      </c>
      <c r="BI269" s="315">
        <v>-17036</v>
      </c>
      <c r="BJ269" s="315">
        <v>-14378</v>
      </c>
      <c r="BK269" s="315">
        <v>-30405</v>
      </c>
      <c r="BL269" s="315">
        <v>-1330</v>
      </c>
      <c r="BM269" s="315">
        <v>0</v>
      </c>
      <c r="BN269" s="315">
        <v>13401585</v>
      </c>
      <c r="BO269" s="315">
        <v>120859</v>
      </c>
      <c r="BP269" s="315">
        <v>149751</v>
      </c>
      <c r="BQ269" s="315">
        <v>15470</v>
      </c>
      <c r="BR269" s="315">
        <v>115</v>
      </c>
      <c r="BS269" s="315">
        <v>12897390</v>
      </c>
      <c r="BT269" s="315">
        <v>3872714</v>
      </c>
      <c r="BU269" s="315">
        <v>8086506</v>
      </c>
      <c r="BV269" s="315">
        <v>931256</v>
      </c>
      <c r="BW269" s="315">
        <v>6914</v>
      </c>
      <c r="BX269" s="315">
        <v>60601</v>
      </c>
      <c r="BY269" s="315">
        <v>156192</v>
      </c>
      <c r="BZ269" s="315">
        <v>1207</v>
      </c>
      <c r="CA269" s="315">
        <v>202667</v>
      </c>
      <c r="CB269" s="315">
        <v>-43344</v>
      </c>
      <c r="CC269" s="315">
        <v>-43344</v>
      </c>
      <c r="CD269" s="315">
        <v>0</v>
      </c>
      <c r="CE269" s="315">
        <v>159323</v>
      </c>
      <c r="CF269" s="315">
        <v>145231</v>
      </c>
      <c r="CG269" s="315">
        <v>28985</v>
      </c>
      <c r="CH269" s="315">
        <v>-14893</v>
      </c>
      <c r="CI269" s="315">
        <v>11080386</v>
      </c>
      <c r="CJ269" s="315">
        <v>1201310</v>
      </c>
      <c r="CK269" s="315">
        <v>9879076</v>
      </c>
      <c r="CL269" s="315">
        <v>3475155</v>
      </c>
      <c r="CM269" s="315">
        <v>5909554</v>
      </c>
      <c r="CN269" s="315">
        <v>494367</v>
      </c>
      <c r="CO269" s="315">
        <v>4948</v>
      </c>
      <c r="CP269" s="315">
        <v>0</v>
      </c>
      <c r="CQ269" s="315">
        <v>489419</v>
      </c>
      <c r="CR269" s="315">
        <v>-2100888</v>
      </c>
      <c r="CS269" s="315">
        <v>-303964</v>
      </c>
      <c r="CT269" s="315">
        <v>-213398</v>
      </c>
      <c r="CU269" s="315">
        <v>-5016</v>
      </c>
      <c r="CV269" s="315">
        <v>-402</v>
      </c>
      <c r="CW269" s="315">
        <v>-85148</v>
      </c>
      <c r="CX269" s="315">
        <v>-1356450</v>
      </c>
      <c r="CY269" s="315">
        <v>-1327827</v>
      </c>
      <c r="CZ269" s="315">
        <v>-24150</v>
      </c>
      <c r="DA269" s="315">
        <v>-4473</v>
      </c>
      <c r="DB269" s="315">
        <v>-440474</v>
      </c>
      <c r="DC269" s="315">
        <v>0</v>
      </c>
      <c r="DD269" s="315">
        <v>8979498</v>
      </c>
      <c r="DE269" s="315">
        <v>6476331</v>
      </c>
      <c r="DF269" s="315">
        <v>2503167</v>
      </c>
      <c r="DG269" s="315">
        <v>2452745</v>
      </c>
      <c r="DH269" s="315">
        <v>50422</v>
      </c>
      <c r="DI269" s="315">
        <v>1816081</v>
      </c>
      <c r="DJ269" s="315">
        <v>63870</v>
      </c>
      <c r="DK269" s="315">
        <v>34761</v>
      </c>
      <c r="DL269" s="315">
        <v>1210</v>
      </c>
      <c r="DM269" s="315">
        <v>937083</v>
      </c>
      <c r="DN269" s="315">
        <v>594640</v>
      </c>
      <c r="DO269" s="315">
        <v>114296</v>
      </c>
      <c r="DP269" s="315"/>
      <c r="DQ269" s="315">
        <v>70156</v>
      </c>
      <c r="DR269" s="315">
        <v>65</v>
      </c>
      <c r="DS269" s="315">
        <v>-66326</v>
      </c>
      <c r="DT269" s="315">
        <v>-7789</v>
      </c>
      <c r="DU269" s="315">
        <v>-3081</v>
      </c>
      <c r="DV269" s="315">
        <v>-19</v>
      </c>
      <c r="DW269" s="315">
        <v>-15742</v>
      </c>
      <c r="DX269" s="315">
        <v>-5273</v>
      </c>
      <c r="DY269" s="315">
        <v>-103</v>
      </c>
      <c r="DZ269" s="315">
        <v>-10366</v>
      </c>
      <c r="EA269" s="315">
        <v>-39609</v>
      </c>
      <c r="EB269" s="315">
        <v>-9</v>
      </c>
      <c r="EC269" s="315"/>
      <c r="ED269" s="315">
        <v>-41</v>
      </c>
      <c r="EE269" s="315">
        <v>-36</v>
      </c>
      <c r="EF269" s="315">
        <v>1749755</v>
      </c>
      <c r="EG269" s="315">
        <v>703183</v>
      </c>
      <c r="EH269" s="315">
        <v>1046572</v>
      </c>
      <c r="EI269" s="315">
        <v>1029914</v>
      </c>
      <c r="EJ269" s="315">
        <v>16658</v>
      </c>
      <c r="EK269" s="315">
        <v>56081</v>
      </c>
      <c r="EL269" s="315">
        <v>17418</v>
      </c>
      <c r="EM269" s="315">
        <v>38663</v>
      </c>
      <c r="EN269" s="315">
        <v>37869</v>
      </c>
      <c r="EO269" s="315">
        <v>794</v>
      </c>
      <c r="EP269" s="315">
        <v>31680</v>
      </c>
      <c r="EQ269" s="315">
        <v>16457</v>
      </c>
      <c r="ER269" s="315">
        <v>15223</v>
      </c>
      <c r="ES269" s="315">
        <v>14934</v>
      </c>
      <c r="ET269" s="315">
        <v>289</v>
      </c>
      <c r="EU269" s="315">
        <v>1191</v>
      </c>
      <c r="EV269" s="315">
        <v>233</v>
      </c>
      <c r="EW269" s="315">
        <v>958</v>
      </c>
      <c r="EX269" s="315">
        <v>940</v>
      </c>
      <c r="EY269" s="315">
        <v>18</v>
      </c>
      <c r="EZ269" s="315">
        <v>921341</v>
      </c>
      <c r="FA269" s="315">
        <v>374930</v>
      </c>
      <c r="FB269" s="315">
        <v>546411</v>
      </c>
      <c r="FC269" s="315">
        <v>537015</v>
      </c>
      <c r="FD269" s="315">
        <v>9396</v>
      </c>
      <c r="FE269" s="315">
        <v>555031</v>
      </c>
      <c r="FF269" s="315">
        <v>228987</v>
      </c>
      <c r="FG269" s="315">
        <v>326044</v>
      </c>
      <c r="FH269" s="315">
        <v>319883</v>
      </c>
      <c r="FI269" s="315">
        <v>6161</v>
      </c>
      <c r="FJ269" s="315">
        <v>114287</v>
      </c>
      <c r="FK269" s="315">
        <v>-4986</v>
      </c>
      <c r="FL269" s="315">
        <v>119273</v>
      </c>
      <c r="FM269" s="315">
        <v>119273</v>
      </c>
      <c r="FN269" s="315"/>
      <c r="FO269" s="315"/>
      <c r="FP269" s="315">
        <v>70115</v>
      </c>
      <c r="FQ269" s="315">
        <v>29</v>
      </c>
      <c r="FR269" s="315">
        <v>580905</v>
      </c>
      <c r="FS269" s="315">
        <v>-88668</v>
      </c>
      <c r="FT269" s="315">
        <v>492237</v>
      </c>
      <c r="FU269" s="315">
        <v>6784</v>
      </c>
      <c r="FV269" s="315">
        <v>5767</v>
      </c>
      <c r="FW269" s="315">
        <v>1017</v>
      </c>
      <c r="FX269" s="315">
        <v>185560</v>
      </c>
      <c r="FY269" s="315">
        <v>107306</v>
      </c>
      <c r="FZ269" s="315"/>
      <c r="GA269" s="315"/>
      <c r="GB269" s="315">
        <v>72</v>
      </c>
      <c r="GC269" s="315">
        <v>-3179.9999999999995</v>
      </c>
      <c r="GD269" s="315">
        <v>-30981</v>
      </c>
      <c r="GE269" s="315">
        <v>22443</v>
      </c>
      <c r="GF269" s="315">
        <v>5358</v>
      </c>
      <c r="GG269" s="315">
        <v>195695</v>
      </c>
      <c r="GH269" s="315">
        <v>42089</v>
      </c>
      <c r="GI269" s="315">
        <v>554</v>
      </c>
      <c r="GJ269" s="315">
        <v>153052</v>
      </c>
      <c r="GL269"/>
      <c r="GM269"/>
      <c r="GN269"/>
      <c r="GO269"/>
    </row>
    <row r="270" spans="1:197">
      <c r="A270" s="98" t="s">
        <v>34</v>
      </c>
      <c r="B270" s="98">
        <v>11</v>
      </c>
      <c r="C270" s="98" t="s">
        <v>227</v>
      </c>
      <c r="D270" s="315">
        <v>15353187</v>
      </c>
      <c r="E270" s="315">
        <v>-3654346</v>
      </c>
      <c r="F270" s="315">
        <v>-14599</v>
      </c>
      <c r="G270" s="315">
        <v>11684242</v>
      </c>
      <c r="H270" s="315">
        <v>5279627</v>
      </c>
      <c r="I270" s="315">
        <v>6404615</v>
      </c>
      <c r="J270" s="315">
        <v>6270499</v>
      </c>
      <c r="K270" s="315">
        <v>134116</v>
      </c>
      <c r="L270" s="315">
        <v>6768355</v>
      </c>
      <c r="M270" s="315">
        <v>3837623</v>
      </c>
      <c r="N270" s="315">
        <v>2621871</v>
      </c>
      <c r="O270" s="315">
        <v>2523006</v>
      </c>
      <c r="P270" s="315">
        <v>98865</v>
      </c>
      <c r="Q270" s="315">
        <v>74293</v>
      </c>
      <c r="R270" s="315">
        <v>234568</v>
      </c>
      <c r="S270" s="315">
        <v>-715606</v>
      </c>
      <c r="T270" s="315">
        <v>-706300</v>
      </c>
      <c r="U270" s="315">
        <v>-78754</v>
      </c>
      <c r="V270" s="315">
        <v>-11</v>
      </c>
      <c r="W270" s="315">
        <v>-597635</v>
      </c>
      <c r="X270" s="315">
        <v>0</v>
      </c>
      <c r="Y270" s="315">
        <v>-29900</v>
      </c>
      <c r="Z270" s="315">
        <v>-4554</v>
      </c>
      <c r="AA270" s="315">
        <v>-4752</v>
      </c>
      <c r="AB270" s="315">
        <v>0</v>
      </c>
      <c r="AC270" s="315">
        <v>-14599</v>
      </c>
      <c r="AD270" s="315">
        <v>6038150</v>
      </c>
      <c r="AE270" s="315">
        <v>3186398</v>
      </c>
      <c r="AF270" s="315">
        <v>2851752</v>
      </c>
      <c r="AG270" s="315">
        <v>2787840</v>
      </c>
      <c r="AH270" s="315">
        <v>63912</v>
      </c>
      <c r="AI270" s="315">
        <v>3833989</v>
      </c>
      <c r="AJ270" s="315">
        <v>1543971</v>
      </c>
      <c r="AK270" s="315">
        <v>2191078</v>
      </c>
      <c r="AL270" s="315">
        <v>37711</v>
      </c>
      <c r="AM270" s="315">
        <v>123260</v>
      </c>
      <c r="AN270" s="315">
        <v>44827</v>
      </c>
      <c r="AO270" s="315">
        <v>27437</v>
      </c>
      <c r="AP270" s="315">
        <v>18814</v>
      </c>
      <c r="AQ270" s="315">
        <v>19112</v>
      </c>
      <c r="AR270" s="315">
        <v>1915571</v>
      </c>
      <c r="AS270" s="315">
        <v>69739</v>
      </c>
      <c r="AT270" s="315">
        <v>0</v>
      </c>
      <c r="AU270" s="315">
        <v>-14599</v>
      </c>
      <c r="AV270" s="315">
        <v>666473</v>
      </c>
      <c r="AW270" s="315">
        <v>146435</v>
      </c>
      <c r="AX270" s="315">
        <v>106366</v>
      </c>
      <c r="AY270" s="315">
        <v>12043</v>
      </c>
      <c r="AZ270" s="315">
        <v>4920</v>
      </c>
      <c r="BA270" s="315">
        <v>7301</v>
      </c>
      <c r="BB270" s="315">
        <v>82102</v>
      </c>
      <c r="BC270" s="315">
        <v>334559</v>
      </c>
      <c r="BD270" s="315">
        <v>79113</v>
      </c>
      <c r="BE270" s="315">
        <v>-1186609</v>
      </c>
      <c r="BF270" s="315">
        <v>-1186051</v>
      </c>
      <c r="BG270" s="315">
        <v>-1138657</v>
      </c>
      <c r="BH270" s="315">
        <v>-47394</v>
      </c>
      <c r="BI270" s="315">
        <v>-1119278</v>
      </c>
      <c r="BJ270" s="315">
        <v>-9238.0000000000018</v>
      </c>
      <c r="BK270" s="315">
        <v>-57535</v>
      </c>
      <c r="BL270" s="315">
        <v>-558</v>
      </c>
      <c r="BM270" s="315">
        <v>0</v>
      </c>
      <c r="BN270" s="315">
        <v>-520136</v>
      </c>
      <c r="BO270" s="315">
        <v>48259</v>
      </c>
      <c r="BP270" s="315">
        <v>15956</v>
      </c>
      <c r="BQ270" s="315">
        <v>11660</v>
      </c>
      <c r="BR270" s="315">
        <v>720</v>
      </c>
      <c r="BS270" s="315">
        <v>146167</v>
      </c>
      <c r="BT270" s="315">
        <v>3149</v>
      </c>
      <c r="BU270" s="315">
        <v>1374</v>
      </c>
      <c r="BV270" s="315">
        <v>7007</v>
      </c>
      <c r="BW270" s="315">
        <v>134637</v>
      </c>
      <c r="BX270" s="315">
        <v>-1032291</v>
      </c>
      <c r="BY270" s="315">
        <v>287165</v>
      </c>
      <c r="BZ270" s="315">
        <v>2228</v>
      </c>
      <c r="CA270" s="315">
        <v>113662</v>
      </c>
      <c r="CB270" s="315">
        <v>-39956</v>
      </c>
      <c r="CC270" s="315">
        <v>-39956</v>
      </c>
      <c r="CD270" s="315">
        <v>0</v>
      </c>
      <c r="CE270" s="315">
        <v>73706</v>
      </c>
      <c r="CF270" s="315">
        <v>78100</v>
      </c>
      <c r="CG270" s="315">
        <v>20</v>
      </c>
      <c r="CH270" s="315">
        <v>-4414</v>
      </c>
      <c r="CI270" s="315">
        <v>5251899</v>
      </c>
      <c r="CJ270" s="315">
        <v>1178780</v>
      </c>
      <c r="CK270" s="315">
        <v>4073119</v>
      </c>
      <c r="CL270" s="315">
        <v>3458077</v>
      </c>
      <c r="CM270" s="315">
        <v>99109</v>
      </c>
      <c r="CN270" s="315">
        <v>515933</v>
      </c>
      <c r="CO270" s="315">
        <v>45900</v>
      </c>
      <c r="CP270" s="315">
        <v>0</v>
      </c>
      <c r="CQ270" s="315">
        <v>470033</v>
      </c>
      <c r="CR270" s="315">
        <v>-1646951</v>
      </c>
      <c r="CS270" s="315">
        <v>-299981</v>
      </c>
      <c r="CT270" s="315">
        <v>-144305</v>
      </c>
      <c r="CU270" s="315">
        <v>-3989</v>
      </c>
      <c r="CV270" s="315">
        <v>-470</v>
      </c>
      <c r="CW270" s="315">
        <v>-151217</v>
      </c>
      <c r="CX270" s="315">
        <v>-1305415</v>
      </c>
      <c r="CY270" s="315">
        <v>-1291856</v>
      </c>
      <c r="CZ270" s="315">
        <v>-9960</v>
      </c>
      <c r="DA270" s="315">
        <v>-3599</v>
      </c>
      <c r="DB270" s="315">
        <v>-41555</v>
      </c>
      <c r="DC270" s="315">
        <v>0</v>
      </c>
      <c r="DD270" s="315">
        <v>3604948</v>
      </c>
      <c r="DE270" s="315">
        <v>1099765</v>
      </c>
      <c r="DF270" s="315">
        <v>2505183</v>
      </c>
      <c r="DG270" s="315">
        <v>2452745</v>
      </c>
      <c r="DH270" s="315">
        <v>52438</v>
      </c>
      <c r="DI270" s="315">
        <v>1639030</v>
      </c>
      <c r="DJ270" s="315">
        <v>105844</v>
      </c>
      <c r="DK270" s="315">
        <v>36377</v>
      </c>
      <c r="DL270" s="315">
        <v>3159</v>
      </c>
      <c r="DM270" s="315">
        <v>854516</v>
      </c>
      <c r="DN270" s="315">
        <v>530222</v>
      </c>
      <c r="DO270" s="315">
        <v>108788</v>
      </c>
      <c r="DP270" s="315"/>
      <c r="DQ270" s="315">
        <v>80</v>
      </c>
      <c r="DR270" s="315">
        <v>44</v>
      </c>
      <c r="DS270" s="315">
        <v>-20369</v>
      </c>
      <c r="DT270" s="315">
        <v>-2482</v>
      </c>
      <c r="DU270" s="315">
        <v>-390</v>
      </c>
      <c r="DV270" s="315">
        <v>-18</v>
      </c>
      <c r="DW270" s="315">
        <v>-17415</v>
      </c>
      <c r="DX270" s="315">
        <v>-6406</v>
      </c>
      <c r="DY270" s="315">
        <v>-764</v>
      </c>
      <c r="DZ270" s="315">
        <v>-10245</v>
      </c>
      <c r="EA270" s="315">
        <v>0</v>
      </c>
      <c r="EB270" s="315">
        <v>-23</v>
      </c>
      <c r="EC270" s="315"/>
      <c r="ED270" s="315">
        <v>0</v>
      </c>
      <c r="EE270" s="315">
        <v>-41</v>
      </c>
      <c r="EF270" s="315">
        <v>1618661</v>
      </c>
      <c r="EG270" s="315">
        <v>570981</v>
      </c>
      <c r="EH270" s="315">
        <v>1047680</v>
      </c>
      <c r="EI270" s="315">
        <v>1029914</v>
      </c>
      <c r="EJ270" s="315">
        <v>17766</v>
      </c>
      <c r="EK270" s="315">
        <v>103362</v>
      </c>
      <c r="EL270" s="315">
        <v>64691</v>
      </c>
      <c r="EM270" s="315">
        <v>38671</v>
      </c>
      <c r="EN270" s="315">
        <v>37869</v>
      </c>
      <c r="EO270" s="315">
        <v>802</v>
      </c>
      <c r="EP270" s="315">
        <v>35987</v>
      </c>
      <c r="EQ270" s="315">
        <v>20765</v>
      </c>
      <c r="ER270" s="315">
        <v>15222</v>
      </c>
      <c r="ES270" s="315">
        <v>14934</v>
      </c>
      <c r="ET270" s="315">
        <v>288</v>
      </c>
      <c r="EU270" s="315">
        <v>3141</v>
      </c>
      <c r="EV270" s="315">
        <v>2185</v>
      </c>
      <c r="EW270" s="315">
        <v>956</v>
      </c>
      <c r="EX270" s="315">
        <v>939</v>
      </c>
      <c r="EY270" s="315">
        <v>17</v>
      </c>
      <c r="EZ270" s="315">
        <v>837101</v>
      </c>
      <c r="FA270" s="315">
        <v>290631</v>
      </c>
      <c r="FB270" s="315">
        <v>546470</v>
      </c>
      <c r="FC270" s="315">
        <v>537015</v>
      </c>
      <c r="FD270" s="315">
        <v>9455</v>
      </c>
      <c r="FE270" s="315">
        <v>530222</v>
      </c>
      <c r="FF270" s="315">
        <v>203134</v>
      </c>
      <c r="FG270" s="315">
        <v>327088</v>
      </c>
      <c r="FH270" s="315">
        <v>319884</v>
      </c>
      <c r="FI270" s="315">
        <v>7204</v>
      </c>
      <c r="FJ270" s="315">
        <v>108765</v>
      </c>
      <c r="FK270" s="315">
        <v>-10508</v>
      </c>
      <c r="FL270" s="315">
        <v>119273</v>
      </c>
      <c r="FM270" s="315">
        <v>119273</v>
      </c>
      <c r="FN270" s="315"/>
      <c r="FO270" s="315"/>
      <c r="FP270" s="315">
        <v>80</v>
      </c>
      <c r="FQ270" s="315">
        <v>3</v>
      </c>
      <c r="FR270" s="315">
        <v>913768</v>
      </c>
      <c r="FS270" s="315">
        <v>-44855</v>
      </c>
      <c r="FT270" s="315">
        <v>868913</v>
      </c>
      <c r="FU270" s="315">
        <v>373148</v>
      </c>
      <c r="FV270" s="315">
        <v>372981</v>
      </c>
      <c r="FW270" s="315">
        <v>167</v>
      </c>
      <c r="FX270" s="315">
        <v>158765</v>
      </c>
      <c r="FY270" s="315">
        <v>114797</v>
      </c>
      <c r="FZ270" s="315"/>
      <c r="GA270" s="315"/>
      <c r="GB270" s="315">
        <v>12013</v>
      </c>
      <c r="GC270" s="315">
        <v>50729</v>
      </c>
      <c r="GD270" s="315">
        <v>-31534</v>
      </c>
      <c r="GE270" s="315">
        <v>0</v>
      </c>
      <c r="GF270" s="315">
        <v>82263</v>
      </c>
      <c r="GG270" s="315">
        <v>159461</v>
      </c>
      <c r="GH270" s="315">
        <v>10493</v>
      </c>
      <c r="GI270" s="315">
        <v>557</v>
      </c>
      <c r="GJ270" s="315">
        <v>148411</v>
      </c>
      <c r="GL270"/>
      <c r="GM270"/>
      <c r="GN270"/>
      <c r="GO270"/>
    </row>
    <row r="271" spans="1:197">
      <c r="A271" s="98" t="s">
        <v>34</v>
      </c>
      <c r="B271" s="98">
        <v>12</v>
      </c>
      <c r="C271" s="98" t="s">
        <v>228</v>
      </c>
      <c r="D271" s="315">
        <v>17238830</v>
      </c>
      <c r="E271" s="315">
        <v>-4150883</v>
      </c>
      <c r="F271" s="315">
        <v>-14599</v>
      </c>
      <c r="G271" s="315">
        <v>13073348</v>
      </c>
      <c r="H271" s="315">
        <v>6668925</v>
      </c>
      <c r="I271" s="315">
        <v>6404423</v>
      </c>
      <c r="J271" s="315">
        <v>6270497</v>
      </c>
      <c r="K271" s="315">
        <v>133926</v>
      </c>
      <c r="L271" s="315">
        <v>5158538</v>
      </c>
      <c r="M271" s="315">
        <v>4723465</v>
      </c>
      <c r="N271" s="315">
        <v>123271</v>
      </c>
      <c r="O271" s="315">
        <v>41430</v>
      </c>
      <c r="P271" s="315">
        <v>81841</v>
      </c>
      <c r="Q271" s="315">
        <v>69411</v>
      </c>
      <c r="R271" s="315">
        <v>242391</v>
      </c>
      <c r="S271" s="315">
        <v>-551912</v>
      </c>
      <c r="T271" s="315">
        <v>-542666</v>
      </c>
      <c r="U271" s="315">
        <v>-82461</v>
      </c>
      <c r="V271" s="315">
        <v>-10</v>
      </c>
      <c r="W271" s="315">
        <v>-436126</v>
      </c>
      <c r="X271" s="315">
        <v>0</v>
      </c>
      <c r="Y271" s="315">
        <v>-24069</v>
      </c>
      <c r="Z271" s="315">
        <v>-4570</v>
      </c>
      <c r="AA271" s="315">
        <v>-3582</v>
      </c>
      <c r="AB271" s="315">
        <v>-1094</v>
      </c>
      <c r="AC271" s="315">
        <v>-14599</v>
      </c>
      <c r="AD271" s="315">
        <v>4592027</v>
      </c>
      <c r="AE271" s="315">
        <v>1739317</v>
      </c>
      <c r="AF271" s="315">
        <v>2852710</v>
      </c>
      <c r="AG271" s="315">
        <v>2787841</v>
      </c>
      <c r="AH271" s="315">
        <v>64869</v>
      </c>
      <c r="AI271" s="315">
        <v>4720994</v>
      </c>
      <c r="AJ271" s="315">
        <v>2272710</v>
      </c>
      <c r="AK271" s="315">
        <v>2386500</v>
      </c>
      <c r="AL271" s="315">
        <v>11960</v>
      </c>
      <c r="AM271" s="315">
        <v>123022</v>
      </c>
      <c r="AN271" s="315">
        <v>39280</v>
      </c>
      <c r="AO271" s="315">
        <v>37822</v>
      </c>
      <c r="AP271" s="315">
        <v>22452</v>
      </c>
      <c r="AQ271" s="315">
        <v>17610</v>
      </c>
      <c r="AR271" s="315">
        <v>-419395</v>
      </c>
      <c r="AS271" s="315">
        <v>64841</v>
      </c>
      <c r="AT271" s="315">
        <v>0</v>
      </c>
      <c r="AU271" s="315">
        <v>-14599</v>
      </c>
      <c r="AV271" s="315">
        <v>4381639</v>
      </c>
      <c r="AW271" s="315">
        <v>4106508</v>
      </c>
      <c r="AX271" s="315">
        <v>74825</v>
      </c>
      <c r="AY271" s="315">
        <v>9705</v>
      </c>
      <c r="AZ271" s="315">
        <v>7567</v>
      </c>
      <c r="BA271" s="315">
        <v>8830</v>
      </c>
      <c r="BB271" s="315">
        <v>48723</v>
      </c>
      <c r="BC271" s="315">
        <v>117581</v>
      </c>
      <c r="BD271" s="315">
        <v>82725</v>
      </c>
      <c r="BE271" s="315">
        <v>-1251715</v>
      </c>
      <c r="BF271" s="315">
        <v>-1247894</v>
      </c>
      <c r="BG271" s="315">
        <v>-1211644</v>
      </c>
      <c r="BH271" s="315">
        <v>-36250</v>
      </c>
      <c r="BI271" s="315">
        <v>-1187961</v>
      </c>
      <c r="BJ271" s="315">
        <v>-7346</v>
      </c>
      <c r="BK271" s="315">
        <v>-52587</v>
      </c>
      <c r="BL271" s="315">
        <v>-3821</v>
      </c>
      <c r="BM271" s="315">
        <v>0</v>
      </c>
      <c r="BN271" s="315">
        <v>3129924</v>
      </c>
      <c r="BO271" s="315">
        <v>51325</v>
      </c>
      <c r="BP271" s="315">
        <v>13983</v>
      </c>
      <c r="BQ271" s="315">
        <v>16097</v>
      </c>
      <c r="BR271" s="315">
        <v>852</v>
      </c>
      <c r="BS271" s="315">
        <v>4103078</v>
      </c>
      <c r="BT271" s="315">
        <v>1432999</v>
      </c>
      <c r="BU271" s="315">
        <v>1841010</v>
      </c>
      <c r="BV271" s="315">
        <v>722499</v>
      </c>
      <c r="BW271" s="315">
        <v>106570</v>
      </c>
      <c r="BX271" s="315">
        <v>-1136819</v>
      </c>
      <c r="BY271" s="315">
        <v>81331</v>
      </c>
      <c r="BZ271" s="315">
        <v>77</v>
      </c>
      <c r="CA271" s="315">
        <v>190240</v>
      </c>
      <c r="CB271" s="315">
        <v>-48587</v>
      </c>
      <c r="CC271" s="315">
        <v>-48587</v>
      </c>
      <c r="CD271" s="315">
        <v>0</v>
      </c>
      <c r="CE271" s="315">
        <v>141653</v>
      </c>
      <c r="CF271" s="315">
        <v>150040</v>
      </c>
      <c r="CG271" s="315">
        <v>12979</v>
      </c>
      <c r="CH271" s="315">
        <v>-21366</v>
      </c>
      <c r="CI271" s="315">
        <v>5194683</v>
      </c>
      <c r="CJ271" s="315">
        <v>1150086</v>
      </c>
      <c r="CK271" s="315">
        <v>4044597</v>
      </c>
      <c r="CL271" s="315">
        <v>3518641</v>
      </c>
      <c r="CM271" s="315">
        <v>64188</v>
      </c>
      <c r="CN271" s="315">
        <v>461768</v>
      </c>
      <c r="CO271" s="315">
        <v>0</v>
      </c>
      <c r="CP271" s="315">
        <v>45872</v>
      </c>
      <c r="CQ271" s="315">
        <v>415896</v>
      </c>
      <c r="CR271" s="315">
        <v>-2114760</v>
      </c>
      <c r="CS271" s="315">
        <v>-162693</v>
      </c>
      <c r="CT271" s="315">
        <v>-99066</v>
      </c>
      <c r="CU271" s="315">
        <v>-2514</v>
      </c>
      <c r="CV271" s="315">
        <v>-161</v>
      </c>
      <c r="CW271" s="315">
        <v>-60952</v>
      </c>
      <c r="CX271" s="315">
        <v>-1251437</v>
      </c>
      <c r="CY271" s="315">
        <v>-1242401</v>
      </c>
      <c r="CZ271" s="315">
        <v>-7451</v>
      </c>
      <c r="DA271" s="315">
        <v>-1585</v>
      </c>
      <c r="DB271" s="315">
        <v>-416886</v>
      </c>
      <c r="DC271" s="315">
        <v>-283744</v>
      </c>
      <c r="DD271" s="315">
        <v>3079923</v>
      </c>
      <c r="DE271" s="315">
        <v>575696</v>
      </c>
      <c r="DF271" s="315">
        <v>2504227</v>
      </c>
      <c r="DG271" s="315">
        <v>2452745</v>
      </c>
      <c r="DH271" s="315">
        <v>51482</v>
      </c>
      <c r="DI271" s="315">
        <v>1761438</v>
      </c>
      <c r="DJ271" s="315">
        <v>77666</v>
      </c>
      <c r="DK271" s="315">
        <v>28009</v>
      </c>
      <c r="DL271" s="315">
        <v>1116</v>
      </c>
      <c r="DM271" s="315">
        <v>936396</v>
      </c>
      <c r="DN271" s="315">
        <v>614941</v>
      </c>
      <c r="DO271" s="315">
        <v>102786</v>
      </c>
      <c r="DP271" s="315"/>
      <c r="DQ271" s="315">
        <v>462</v>
      </c>
      <c r="DR271" s="315">
        <v>62</v>
      </c>
      <c r="DS271" s="315">
        <v>-98337</v>
      </c>
      <c r="DT271" s="315">
        <v>-7112</v>
      </c>
      <c r="DU271" s="315">
        <v>-5651</v>
      </c>
      <c r="DV271" s="315">
        <v>-54</v>
      </c>
      <c r="DW271" s="315">
        <v>-62081</v>
      </c>
      <c r="DX271" s="315">
        <v>-4016</v>
      </c>
      <c r="DY271" s="315">
        <v>-148</v>
      </c>
      <c r="DZ271" s="315">
        <v>-57917</v>
      </c>
      <c r="EA271" s="315">
        <v>-20419</v>
      </c>
      <c r="EB271" s="315">
        <v>-2976</v>
      </c>
      <c r="EC271" s="315"/>
      <c r="ED271" s="315">
        <v>0</v>
      </c>
      <c r="EE271" s="315">
        <v>-44</v>
      </c>
      <c r="EF271" s="315">
        <v>1663101</v>
      </c>
      <c r="EG271" s="315">
        <v>615615</v>
      </c>
      <c r="EH271" s="315">
        <v>1047486</v>
      </c>
      <c r="EI271" s="315">
        <v>1029911</v>
      </c>
      <c r="EJ271" s="315">
        <v>17575</v>
      </c>
      <c r="EK271" s="315">
        <v>70554</v>
      </c>
      <c r="EL271" s="315">
        <v>31884</v>
      </c>
      <c r="EM271" s="315">
        <v>38670</v>
      </c>
      <c r="EN271" s="315">
        <v>37869</v>
      </c>
      <c r="EO271" s="315">
        <v>801</v>
      </c>
      <c r="EP271" s="315">
        <v>22358</v>
      </c>
      <c r="EQ271" s="315">
        <v>7139</v>
      </c>
      <c r="ER271" s="315">
        <v>15219</v>
      </c>
      <c r="ES271" s="315">
        <v>14932</v>
      </c>
      <c r="ET271" s="315">
        <v>287</v>
      </c>
      <c r="EU271" s="315">
        <v>1062</v>
      </c>
      <c r="EV271" s="315">
        <v>105</v>
      </c>
      <c r="EW271" s="315">
        <v>957</v>
      </c>
      <c r="EX271" s="315">
        <v>939</v>
      </c>
      <c r="EY271" s="315">
        <v>18</v>
      </c>
      <c r="EZ271" s="315">
        <v>874315</v>
      </c>
      <c r="FA271" s="315">
        <v>327844</v>
      </c>
      <c r="FB271" s="315">
        <v>546471</v>
      </c>
      <c r="FC271" s="315">
        <v>537015</v>
      </c>
      <c r="FD271" s="315">
        <v>9456</v>
      </c>
      <c r="FE271" s="315">
        <v>594522</v>
      </c>
      <c r="FF271" s="315">
        <v>267626</v>
      </c>
      <c r="FG271" s="315">
        <v>326896</v>
      </c>
      <c r="FH271" s="315">
        <v>319883</v>
      </c>
      <c r="FI271" s="315">
        <v>7013</v>
      </c>
      <c r="FJ271" s="315">
        <v>99810</v>
      </c>
      <c r="FK271" s="315">
        <v>-19463</v>
      </c>
      <c r="FL271" s="315">
        <v>119273</v>
      </c>
      <c r="FM271" s="315">
        <v>119273</v>
      </c>
      <c r="FN271" s="315"/>
      <c r="FO271" s="315"/>
      <c r="FP271" s="315">
        <v>462</v>
      </c>
      <c r="FQ271" s="315">
        <v>18</v>
      </c>
      <c r="FR271" s="315">
        <v>552292</v>
      </c>
      <c r="FS271" s="315">
        <v>-85572</v>
      </c>
      <c r="FT271" s="315">
        <v>466720</v>
      </c>
      <c r="FU271" s="315">
        <v>152052</v>
      </c>
      <c r="FV271" s="315">
        <v>151556</v>
      </c>
      <c r="FW271" s="315">
        <v>496</v>
      </c>
      <c r="FX271" s="315">
        <v>144868</v>
      </c>
      <c r="FY271" s="315">
        <v>112995</v>
      </c>
      <c r="FZ271" s="315"/>
      <c r="GA271" s="315"/>
      <c r="GB271" s="315">
        <v>237</v>
      </c>
      <c r="GC271" s="315">
        <v>-38535</v>
      </c>
      <c r="GD271" s="315">
        <v>-31565</v>
      </c>
      <c r="GE271" s="315">
        <v>761</v>
      </c>
      <c r="GF271" s="315">
        <v>-7731</v>
      </c>
      <c r="GG271" s="315">
        <v>95103</v>
      </c>
      <c r="GH271" s="315">
        <v>7985</v>
      </c>
      <c r="GI271" s="315">
        <v>391</v>
      </c>
      <c r="GJ271" s="315">
        <v>86727</v>
      </c>
      <c r="GL271"/>
      <c r="GM271"/>
      <c r="GN271"/>
      <c r="GO271"/>
    </row>
    <row r="272" spans="1:197">
      <c r="A272" s="96" t="s">
        <v>35</v>
      </c>
      <c r="B272" s="96">
        <v>1</v>
      </c>
      <c r="C272" s="97" t="s">
        <v>217</v>
      </c>
      <c r="D272" s="314">
        <v>16008154</v>
      </c>
      <c r="E272" s="314">
        <v>-6460740</v>
      </c>
      <c r="F272" s="314">
        <v>-104566</v>
      </c>
      <c r="G272" s="314">
        <v>9442848</v>
      </c>
      <c r="H272" s="314">
        <v>2719155</v>
      </c>
      <c r="I272" s="314">
        <v>6723693</v>
      </c>
      <c r="J272" s="314">
        <v>6588680</v>
      </c>
      <c r="K272" s="314">
        <v>135013</v>
      </c>
      <c r="L272" s="314">
        <v>11163240</v>
      </c>
      <c r="M272" s="314">
        <v>9612336</v>
      </c>
      <c r="N272" s="314">
        <v>116739</v>
      </c>
      <c r="O272" s="314">
        <v>0</v>
      </c>
      <c r="P272" s="314">
        <v>116739</v>
      </c>
      <c r="Q272" s="314">
        <v>45546</v>
      </c>
      <c r="R272" s="314">
        <v>1388619</v>
      </c>
      <c r="S272" s="314">
        <v>-294995</v>
      </c>
      <c r="T272" s="314">
        <v>-287739</v>
      </c>
      <c r="U272" s="314">
        <v>0</v>
      </c>
      <c r="V272" s="314">
        <v>-79290</v>
      </c>
      <c r="W272" s="314">
        <v>0</v>
      </c>
      <c r="X272" s="314">
        <v>-185671</v>
      </c>
      <c r="Y272" s="314">
        <v>-22778</v>
      </c>
      <c r="Z272" s="314">
        <v>-3809</v>
      </c>
      <c r="AA272" s="314">
        <v>-3435</v>
      </c>
      <c r="AB272" s="314">
        <v>-12</v>
      </c>
      <c r="AC272" s="314">
        <v>-104566</v>
      </c>
      <c r="AD272" s="314">
        <v>10763679</v>
      </c>
      <c r="AE272" s="314">
        <v>7703830</v>
      </c>
      <c r="AF272" s="314">
        <v>3059849</v>
      </c>
      <c r="AG272" s="314">
        <v>2995649</v>
      </c>
      <c r="AH272" s="314">
        <v>64200</v>
      </c>
      <c r="AI272" s="314">
        <v>9609325</v>
      </c>
      <c r="AJ272" s="314">
        <v>1914440</v>
      </c>
      <c r="AK272" s="314">
        <v>3519615</v>
      </c>
      <c r="AL272" s="314">
        <v>4138788</v>
      </c>
      <c r="AM272" s="314">
        <v>705693</v>
      </c>
      <c r="AN272" s="314">
        <v>361709</v>
      </c>
      <c r="AO272" s="314">
        <v>108602</v>
      </c>
      <c r="AP272" s="314">
        <v>155352</v>
      </c>
      <c r="AQ272" s="314">
        <v>56827</v>
      </c>
      <c r="AR272" s="314">
        <v>-171000</v>
      </c>
      <c r="AS272" s="314">
        <v>41737</v>
      </c>
      <c r="AT272" s="314">
        <v>0</v>
      </c>
      <c r="AU272" s="314">
        <v>-104566</v>
      </c>
      <c r="AV272" s="314">
        <v>723432</v>
      </c>
      <c r="AW272" s="314">
        <v>45521</v>
      </c>
      <c r="AX272" s="314">
        <v>78992</v>
      </c>
      <c r="AY272" s="314">
        <v>14405</v>
      </c>
      <c r="AZ272" s="314">
        <v>16051</v>
      </c>
      <c r="BA272" s="314">
        <v>9541</v>
      </c>
      <c r="BB272" s="314">
        <v>38995</v>
      </c>
      <c r="BC272" s="314">
        <v>99295</v>
      </c>
      <c r="BD272" s="314">
        <v>499624</v>
      </c>
      <c r="BE272" s="314">
        <v>-4543582</v>
      </c>
      <c r="BF272" s="314">
        <v>-4541880</v>
      </c>
      <c r="BG272" s="314">
        <v>-4502872</v>
      </c>
      <c r="BH272" s="314">
        <v>-39008</v>
      </c>
      <c r="BI272" s="314">
        <v>0</v>
      </c>
      <c r="BJ272" s="314">
        <v>-4479901</v>
      </c>
      <c r="BK272" s="314">
        <v>-61979</v>
      </c>
      <c r="BL272" s="314">
        <v>-1702</v>
      </c>
      <c r="BM272" s="314">
        <v>0</v>
      </c>
      <c r="BN272" s="314">
        <v>-3820150</v>
      </c>
      <c r="BO272" s="314">
        <v>299842</v>
      </c>
      <c r="BP272" s="314">
        <v>151395</v>
      </c>
      <c r="BQ272" s="314">
        <v>46235</v>
      </c>
      <c r="BR272" s="314">
        <v>1985</v>
      </c>
      <c r="BS272" s="314">
        <v>43917</v>
      </c>
      <c r="BT272" s="314">
        <v>8215</v>
      </c>
      <c r="BU272" s="314">
        <v>489</v>
      </c>
      <c r="BV272" s="314">
        <v>9518</v>
      </c>
      <c r="BW272" s="314">
        <v>25695</v>
      </c>
      <c r="BX272" s="314">
        <v>-4423880</v>
      </c>
      <c r="BY272" s="314">
        <v>60287</v>
      </c>
      <c r="BZ272" s="314">
        <v>69</v>
      </c>
      <c r="CA272" s="314">
        <v>294425</v>
      </c>
      <c r="CB272" s="314">
        <v>-67459</v>
      </c>
      <c r="CC272" s="314">
        <v>-67459</v>
      </c>
      <c r="CD272" s="314">
        <v>0</v>
      </c>
      <c r="CE272" s="314">
        <v>226966</v>
      </c>
      <c r="CF272" s="314">
        <v>240869</v>
      </c>
      <c r="CG272" s="314">
        <v>99</v>
      </c>
      <c r="CH272" s="314">
        <v>-14002</v>
      </c>
      <c r="CI272" s="314">
        <v>1536105</v>
      </c>
      <c r="CJ272" s="314">
        <v>1064151</v>
      </c>
      <c r="CK272" s="314">
        <v>471954</v>
      </c>
      <c r="CL272" s="314"/>
      <c r="CM272" s="314"/>
      <c r="CN272" s="314"/>
      <c r="CO272" s="314">
        <v>0</v>
      </c>
      <c r="CP272" s="314">
        <v>0</v>
      </c>
      <c r="CQ272" s="314">
        <v>0</v>
      </c>
      <c r="CR272" s="314">
        <v>-1499369</v>
      </c>
      <c r="CS272" s="314">
        <v>-153209</v>
      </c>
      <c r="CT272" s="314">
        <v>0</v>
      </c>
      <c r="CU272" s="314">
        <v>-70281</v>
      </c>
      <c r="CV272" s="314">
        <v>-82</v>
      </c>
      <c r="CW272" s="314">
        <v>-82846</v>
      </c>
      <c r="CX272" s="314">
        <v>-1346160</v>
      </c>
      <c r="CY272" s="314">
        <v>0</v>
      </c>
      <c r="CZ272" s="314">
        <v>-1339596</v>
      </c>
      <c r="DA272" s="314">
        <v>-6564</v>
      </c>
      <c r="DB272" s="314">
        <v>0</v>
      </c>
      <c r="DC272" s="314">
        <v>0</v>
      </c>
      <c r="DD272" s="314">
        <v>36736</v>
      </c>
      <c r="DE272" s="314">
        <v>-2575213</v>
      </c>
      <c r="DF272" s="314">
        <v>2611949</v>
      </c>
      <c r="DG272" s="314">
        <v>2558739</v>
      </c>
      <c r="DH272" s="314">
        <v>53210</v>
      </c>
      <c r="DI272" s="314">
        <v>1817611</v>
      </c>
      <c r="DJ272" s="314">
        <v>50472</v>
      </c>
      <c r="DK272" s="314">
        <v>21124</v>
      </c>
      <c r="DL272" s="314">
        <v>945</v>
      </c>
      <c r="DM272" s="314">
        <v>902960</v>
      </c>
      <c r="DN272" s="314">
        <v>643626</v>
      </c>
      <c r="DO272" s="314">
        <v>113154</v>
      </c>
      <c r="DP272" s="314"/>
      <c r="DQ272" s="314">
        <v>85252</v>
      </c>
      <c r="DR272" s="314">
        <v>78</v>
      </c>
      <c r="DS272" s="314">
        <v>-11224</v>
      </c>
      <c r="DT272" s="314">
        <v>-3759</v>
      </c>
      <c r="DU272" s="314">
        <v>-165</v>
      </c>
      <c r="DV272" s="314">
        <v>0</v>
      </c>
      <c r="DW272" s="314">
        <v>-7156</v>
      </c>
      <c r="DX272" s="314">
        <v>-3137</v>
      </c>
      <c r="DY272" s="314">
        <v>-99</v>
      </c>
      <c r="DZ272" s="314">
        <v>-3920</v>
      </c>
      <c r="EA272" s="314">
        <v>-3</v>
      </c>
      <c r="EB272" s="314">
        <v>-1</v>
      </c>
      <c r="EC272" s="314"/>
      <c r="ED272" s="314">
        <v>0</v>
      </c>
      <c r="EE272" s="314">
        <v>-140</v>
      </c>
      <c r="EF272" s="314">
        <v>1806387</v>
      </c>
      <c r="EG272" s="314">
        <v>754492</v>
      </c>
      <c r="EH272" s="314">
        <v>1051895</v>
      </c>
      <c r="EI272" s="314">
        <v>1034292</v>
      </c>
      <c r="EJ272" s="314">
        <v>17603</v>
      </c>
      <c r="EK272" s="314">
        <v>46713</v>
      </c>
      <c r="EL272" s="314">
        <v>7541</v>
      </c>
      <c r="EM272" s="314">
        <v>39172</v>
      </c>
      <c r="EN272" s="314">
        <v>38367</v>
      </c>
      <c r="EO272" s="314">
        <v>805</v>
      </c>
      <c r="EP272" s="314">
        <v>20959</v>
      </c>
      <c r="EQ272" s="314">
        <v>5703</v>
      </c>
      <c r="ER272" s="314">
        <v>15256</v>
      </c>
      <c r="ES272" s="314">
        <v>14968</v>
      </c>
      <c r="ET272" s="314">
        <v>288</v>
      </c>
      <c r="EU272" s="314">
        <v>945</v>
      </c>
      <c r="EV272" s="314">
        <v>-20</v>
      </c>
      <c r="EW272" s="314">
        <v>965</v>
      </c>
      <c r="EX272" s="314">
        <v>947</v>
      </c>
      <c r="EY272" s="314">
        <v>18</v>
      </c>
      <c r="EZ272" s="314">
        <v>895804</v>
      </c>
      <c r="FA272" s="314">
        <v>346697</v>
      </c>
      <c r="FB272" s="314">
        <v>549107</v>
      </c>
      <c r="FC272" s="314">
        <v>539637</v>
      </c>
      <c r="FD272" s="314">
        <v>9470</v>
      </c>
      <c r="FE272" s="314">
        <v>643623</v>
      </c>
      <c r="FF272" s="314">
        <v>315550</v>
      </c>
      <c r="FG272" s="314">
        <v>328073</v>
      </c>
      <c r="FH272" s="314">
        <v>321051</v>
      </c>
      <c r="FI272" s="314">
        <v>7022</v>
      </c>
      <c r="FJ272" s="314">
        <v>113153</v>
      </c>
      <c r="FK272" s="314">
        <v>-6169</v>
      </c>
      <c r="FL272" s="314">
        <v>119322</v>
      </c>
      <c r="FM272" s="314">
        <v>119322</v>
      </c>
      <c r="FN272" s="314"/>
      <c r="FO272" s="314"/>
      <c r="FP272" s="314">
        <v>85252</v>
      </c>
      <c r="FQ272" s="314">
        <v>-62</v>
      </c>
      <c r="FR272" s="314">
        <v>473341</v>
      </c>
      <c r="FS272" s="314">
        <v>-44111</v>
      </c>
      <c r="FT272" s="314">
        <v>429230</v>
      </c>
      <c r="FU272" s="314">
        <v>42979</v>
      </c>
      <c r="FV272" s="314">
        <v>8338</v>
      </c>
      <c r="FW272" s="314">
        <v>34641</v>
      </c>
      <c r="FX272" s="314">
        <v>158015</v>
      </c>
      <c r="FY272" s="314">
        <v>119136</v>
      </c>
      <c r="FZ272" s="314"/>
      <c r="GA272" s="314"/>
      <c r="GB272" s="314">
        <v>135</v>
      </c>
      <c r="GC272" s="314">
        <v>344</v>
      </c>
      <c r="GD272" s="314">
        <v>-31630</v>
      </c>
      <c r="GE272" s="314">
        <v>0</v>
      </c>
      <c r="GF272" s="314">
        <v>31974</v>
      </c>
      <c r="GG272" s="314">
        <v>108621</v>
      </c>
      <c r="GH272" s="314">
        <v>12470</v>
      </c>
      <c r="GI272" s="314">
        <v>660</v>
      </c>
      <c r="GJ272" s="314">
        <v>95491</v>
      </c>
      <c r="GL272"/>
      <c r="GM272"/>
      <c r="GN272"/>
      <c r="GO272"/>
    </row>
    <row r="273" spans="1:197">
      <c r="A273" s="98" t="s">
        <v>35</v>
      </c>
      <c r="B273" s="98">
        <v>2</v>
      </c>
      <c r="C273" s="98" t="s">
        <v>218</v>
      </c>
      <c r="D273" s="315">
        <v>24757163</v>
      </c>
      <c r="E273" s="315">
        <v>-2251493</v>
      </c>
      <c r="F273" s="315">
        <v>-14535</v>
      </c>
      <c r="G273" s="315">
        <v>22491135</v>
      </c>
      <c r="H273" s="315">
        <v>15767421</v>
      </c>
      <c r="I273" s="315">
        <v>6723714</v>
      </c>
      <c r="J273" s="315">
        <v>6588684</v>
      </c>
      <c r="K273" s="315">
        <v>135030</v>
      </c>
      <c r="L273" s="315">
        <v>5242704</v>
      </c>
      <c r="M273" s="315">
        <v>4105511</v>
      </c>
      <c r="N273" s="315">
        <v>100559</v>
      </c>
      <c r="O273" s="315">
        <v>0</v>
      </c>
      <c r="P273" s="315">
        <v>100559</v>
      </c>
      <c r="Q273" s="315">
        <v>67403</v>
      </c>
      <c r="R273" s="315">
        <v>969231</v>
      </c>
      <c r="S273" s="315">
        <v>-240380</v>
      </c>
      <c r="T273" s="315">
        <v>-233666</v>
      </c>
      <c r="U273" s="315">
        <v>-70821</v>
      </c>
      <c r="V273" s="315">
        <v>-6992</v>
      </c>
      <c r="W273" s="315">
        <v>0</v>
      </c>
      <c r="X273" s="315">
        <v>-126847</v>
      </c>
      <c r="Y273" s="315">
        <v>-29006</v>
      </c>
      <c r="Z273" s="315">
        <v>-2813</v>
      </c>
      <c r="AA273" s="315">
        <v>-3901</v>
      </c>
      <c r="AB273" s="315">
        <v>0</v>
      </c>
      <c r="AC273" s="315">
        <v>-14535</v>
      </c>
      <c r="AD273" s="315">
        <v>4987789</v>
      </c>
      <c r="AE273" s="315">
        <v>1927938</v>
      </c>
      <c r="AF273" s="315">
        <v>3059851</v>
      </c>
      <c r="AG273" s="315">
        <v>2995650</v>
      </c>
      <c r="AH273" s="315">
        <v>64201</v>
      </c>
      <c r="AI273" s="315">
        <v>4102588</v>
      </c>
      <c r="AJ273" s="315">
        <v>1504417</v>
      </c>
      <c r="AK273" s="315">
        <v>2418217</v>
      </c>
      <c r="AL273" s="315">
        <v>139896</v>
      </c>
      <c r="AM273" s="315">
        <v>198059</v>
      </c>
      <c r="AN273" s="315">
        <v>53712</v>
      </c>
      <c r="AO273" s="315">
        <v>37333</v>
      </c>
      <c r="AP273" s="315">
        <v>78582</v>
      </c>
      <c r="AQ273" s="315">
        <v>600567</v>
      </c>
      <c r="AR273" s="315">
        <v>-133107</v>
      </c>
      <c r="AS273" s="315">
        <v>64590</v>
      </c>
      <c r="AT273" s="315">
        <v>0</v>
      </c>
      <c r="AU273" s="315">
        <v>-14535</v>
      </c>
      <c r="AV273" s="315">
        <v>407201</v>
      </c>
      <c r="AW273" s="315">
        <v>33146</v>
      </c>
      <c r="AX273" s="315">
        <v>105363</v>
      </c>
      <c r="AY273" s="315">
        <v>40282</v>
      </c>
      <c r="AZ273" s="315">
        <v>16986</v>
      </c>
      <c r="BA273" s="315">
        <v>15188</v>
      </c>
      <c r="BB273" s="315">
        <v>32907</v>
      </c>
      <c r="BC273" s="315">
        <v>137819</v>
      </c>
      <c r="BD273" s="315">
        <v>130873</v>
      </c>
      <c r="BE273" s="315">
        <v>-492201</v>
      </c>
      <c r="BF273" s="315">
        <v>-486887</v>
      </c>
      <c r="BG273" s="315">
        <v>-460873</v>
      </c>
      <c r="BH273" s="315">
        <v>-26014</v>
      </c>
      <c r="BI273" s="315">
        <v>0</v>
      </c>
      <c r="BJ273" s="315">
        <v>-326355</v>
      </c>
      <c r="BK273" s="315">
        <v>-160532</v>
      </c>
      <c r="BL273" s="315">
        <v>-5314</v>
      </c>
      <c r="BM273" s="315">
        <v>0</v>
      </c>
      <c r="BN273" s="315">
        <v>-85000</v>
      </c>
      <c r="BO273" s="315">
        <v>79473</v>
      </c>
      <c r="BP273" s="315">
        <v>20582</v>
      </c>
      <c r="BQ273" s="315">
        <v>15893</v>
      </c>
      <c r="BR273" s="315">
        <v>14623</v>
      </c>
      <c r="BS273" s="315">
        <v>28081</v>
      </c>
      <c r="BT273" s="315">
        <v>894</v>
      </c>
      <c r="BU273" s="315">
        <v>2</v>
      </c>
      <c r="BV273" s="315">
        <v>2061</v>
      </c>
      <c r="BW273" s="315">
        <v>25124</v>
      </c>
      <c r="BX273" s="315">
        <v>-355510</v>
      </c>
      <c r="BY273" s="315">
        <v>111805</v>
      </c>
      <c r="BZ273" s="315">
        <v>53</v>
      </c>
      <c r="CA273" s="315">
        <v>175975</v>
      </c>
      <c r="CB273" s="315">
        <v>-27023</v>
      </c>
      <c r="CC273" s="315">
        <v>-27023</v>
      </c>
      <c r="CD273" s="315">
        <v>0</v>
      </c>
      <c r="CE273" s="315">
        <v>148952</v>
      </c>
      <c r="CF273" s="315">
        <v>155791</v>
      </c>
      <c r="CG273" s="315">
        <v>18</v>
      </c>
      <c r="CH273" s="315">
        <v>-6857</v>
      </c>
      <c r="CI273" s="315">
        <v>16657716</v>
      </c>
      <c r="CJ273" s="315">
        <v>1314519</v>
      </c>
      <c r="CK273" s="315">
        <v>15343197</v>
      </c>
      <c r="CL273" s="315">
        <v>8304941</v>
      </c>
      <c r="CM273" s="315">
        <v>6636690</v>
      </c>
      <c r="CN273" s="315">
        <v>873520</v>
      </c>
      <c r="CO273" s="315">
        <v>0</v>
      </c>
      <c r="CP273" s="315">
        <v>0</v>
      </c>
      <c r="CQ273" s="315">
        <v>873520</v>
      </c>
      <c r="CR273" s="315">
        <v>-1393912</v>
      </c>
      <c r="CS273" s="315">
        <v>-144823</v>
      </c>
      <c r="CT273" s="315">
        <v>0</v>
      </c>
      <c r="CU273" s="315">
        <v>-58584</v>
      </c>
      <c r="CV273" s="315">
        <v>-759</v>
      </c>
      <c r="CW273" s="315">
        <v>-85480</v>
      </c>
      <c r="CX273" s="315">
        <v>-1249089</v>
      </c>
      <c r="CY273" s="315">
        <v>-83</v>
      </c>
      <c r="CZ273" s="315">
        <v>-1247204</v>
      </c>
      <c r="DA273" s="315">
        <v>-1802</v>
      </c>
      <c r="DB273" s="315">
        <v>0</v>
      </c>
      <c r="DC273" s="315">
        <v>0</v>
      </c>
      <c r="DD273" s="315">
        <v>15263804</v>
      </c>
      <c r="DE273" s="315">
        <v>12651856</v>
      </c>
      <c r="DF273" s="315">
        <v>2611948</v>
      </c>
      <c r="DG273" s="315">
        <v>2558739</v>
      </c>
      <c r="DH273" s="315">
        <v>53209</v>
      </c>
      <c r="DI273" s="315">
        <v>1408648</v>
      </c>
      <c r="DJ273" s="315">
        <v>116239</v>
      </c>
      <c r="DK273" s="315">
        <v>27904</v>
      </c>
      <c r="DL273" s="315">
        <v>3756</v>
      </c>
      <c r="DM273" s="315">
        <v>841495</v>
      </c>
      <c r="DN273" s="315">
        <v>294894</v>
      </c>
      <c r="DO273" s="315">
        <v>116322</v>
      </c>
      <c r="DP273" s="315"/>
      <c r="DQ273" s="315">
        <v>7970</v>
      </c>
      <c r="DR273" s="315">
        <v>68</v>
      </c>
      <c r="DS273" s="315">
        <v>-21700</v>
      </c>
      <c r="DT273" s="315">
        <v>-1894</v>
      </c>
      <c r="DU273" s="315">
        <v>-368</v>
      </c>
      <c r="DV273" s="315">
        <v>-17</v>
      </c>
      <c r="DW273" s="315">
        <v>-15542</v>
      </c>
      <c r="DX273" s="315">
        <v>-3078</v>
      </c>
      <c r="DY273" s="315">
        <v>-751</v>
      </c>
      <c r="DZ273" s="315">
        <v>-11713</v>
      </c>
      <c r="EA273" s="315">
        <v>-3707</v>
      </c>
      <c r="EB273" s="315">
        <v>-45</v>
      </c>
      <c r="EC273" s="315"/>
      <c r="ED273" s="315">
        <v>0</v>
      </c>
      <c r="EE273" s="315">
        <v>-127</v>
      </c>
      <c r="EF273" s="315">
        <v>1386948</v>
      </c>
      <c r="EG273" s="315">
        <v>335033</v>
      </c>
      <c r="EH273" s="315">
        <v>1051915</v>
      </c>
      <c r="EI273" s="315">
        <v>1034295</v>
      </c>
      <c r="EJ273" s="315">
        <v>17620</v>
      </c>
      <c r="EK273" s="315">
        <v>114345</v>
      </c>
      <c r="EL273" s="315">
        <v>75172</v>
      </c>
      <c r="EM273" s="315">
        <v>39173</v>
      </c>
      <c r="EN273" s="315">
        <v>38367</v>
      </c>
      <c r="EO273" s="315">
        <v>806</v>
      </c>
      <c r="EP273" s="315">
        <v>27536</v>
      </c>
      <c r="EQ273" s="315">
        <v>12281</v>
      </c>
      <c r="ER273" s="315">
        <v>15255</v>
      </c>
      <c r="ES273" s="315">
        <v>14968</v>
      </c>
      <c r="ET273" s="315">
        <v>287</v>
      </c>
      <c r="EU273" s="315">
        <v>3739</v>
      </c>
      <c r="EV273" s="315">
        <v>2775</v>
      </c>
      <c r="EW273" s="315">
        <v>964</v>
      </c>
      <c r="EX273" s="315">
        <v>948</v>
      </c>
      <c r="EY273" s="315">
        <v>16</v>
      </c>
      <c r="EZ273" s="315">
        <v>825953</v>
      </c>
      <c r="FA273" s="315">
        <v>276844</v>
      </c>
      <c r="FB273" s="315">
        <v>549109</v>
      </c>
      <c r="FC273" s="315">
        <v>539637</v>
      </c>
      <c r="FD273" s="315">
        <v>9472</v>
      </c>
      <c r="FE273" s="315">
        <v>291187</v>
      </c>
      <c r="FF273" s="315">
        <v>-36904</v>
      </c>
      <c r="FG273" s="315">
        <v>328091</v>
      </c>
      <c r="FH273" s="315">
        <v>321052</v>
      </c>
      <c r="FI273" s="315">
        <v>7039</v>
      </c>
      <c r="FJ273" s="315">
        <v>116277</v>
      </c>
      <c r="FK273" s="315">
        <v>-3046</v>
      </c>
      <c r="FL273" s="315">
        <v>119323</v>
      </c>
      <c r="FM273" s="315">
        <v>119323</v>
      </c>
      <c r="FN273" s="315"/>
      <c r="FO273" s="315"/>
      <c r="FP273" s="315">
        <v>7970</v>
      </c>
      <c r="FQ273" s="315">
        <v>-59</v>
      </c>
      <c r="FR273" s="315">
        <v>864919</v>
      </c>
      <c r="FS273" s="315">
        <v>-76277</v>
      </c>
      <c r="FT273" s="315">
        <v>788642</v>
      </c>
      <c r="FU273" s="315">
        <v>375004</v>
      </c>
      <c r="FV273" s="315">
        <v>373840</v>
      </c>
      <c r="FW273" s="315">
        <v>1164</v>
      </c>
      <c r="FX273" s="315">
        <v>153512</v>
      </c>
      <c r="FY273" s="315">
        <v>129906</v>
      </c>
      <c r="FZ273" s="315"/>
      <c r="GA273" s="315"/>
      <c r="GB273" s="315">
        <v>15208</v>
      </c>
      <c r="GC273" s="315">
        <v>33820</v>
      </c>
      <c r="GD273" s="315">
        <v>-31376</v>
      </c>
      <c r="GE273" s="315">
        <v>116</v>
      </c>
      <c r="GF273" s="315">
        <v>65080</v>
      </c>
      <c r="GG273" s="315">
        <v>81192</v>
      </c>
      <c r="GH273" s="315">
        <v>11868</v>
      </c>
      <c r="GI273" s="315">
        <v>968</v>
      </c>
      <c r="GJ273" s="315">
        <v>68356</v>
      </c>
      <c r="GL273"/>
      <c r="GM273"/>
      <c r="GN273"/>
      <c r="GO273"/>
    </row>
    <row r="274" spans="1:197">
      <c r="A274" s="98" t="s">
        <v>35</v>
      </c>
      <c r="B274" s="98">
        <v>3</v>
      </c>
      <c r="C274" s="98" t="s">
        <v>219</v>
      </c>
      <c r="D274" s="315">
        <v>12250328</v>
      </c>
      <c r="E274" s="315">
        <v>-1979886</v>
      </c>
      <c r="F274" s="315">
        <v>-14534</v>
      </c>
      <c r="G274" s="315">
        <v>10255908</v>
      </c>
      <c r="H274" s="315">
        <v>3532191</v>
      </c>
      <c r="I274" s="315">
        <v>6723717</v>
      </c>
      <c r="J274" s="315">
        <v>6588680</v>
      </c>
      <c r="K274" s="315">
        <v>135037</v>
      </c>
      <c r="L274" s="315">
        <v>4646911</v>
      </c>
      <c r="M274" s="315">
        <v>4218571</v>
      </c>
      <c r="N274" s="315">
        <v>101721</v>
      </c>
      <c r="O274" s="315">
        <v>0</v>
      </c>
      <c r="P274" s="315">
        <v>101721</v>
      </c>
      <c r="Q274" s="315">
        <v>70146</v>
      </c>
      <c r="R274" s="315">
        <v>256473</v>
      </c>
      <c r="S274" s="315">
        <v>-385781</v>
      </c>
      <c r="T274" s="315">
        <v>-198893</v>
      </c>
      <c r="U274" s="315">
        <v>-82621</v>
      </c>
      <c r="V274" s="315">
        <v>-1243</v>
      </c>
      <c r="W274" s="315">
        <v>0</v>
      </c>
      <c r="X274" s="315">
        <v>-85872</v>
      </c>
      <c r="Y274" s="315">
        <v>-29157</v>
      </c>
      <c r="Z274" s="315">
        <v>-5175</v>
      </c>
      <c r="AA274" s="315">
        <v>-178193</v>
      </c>
      <c r="AB274" s="315">
        <v>-3520</v>
      </c>
      <c r="AC274" s="315">
        <v>-14534</v>
      </c>
      <c r="AD274" s="315">
        <v>4246596</v>
      </c>
      <c r="AE274" s="315">
        <v>1186747</v>
      </c>
      <c r="AF274" s="315">
        <v>3059849</v>
      </c>
      <c r="AG274" s="315">
        <v>2995649</v>
      </c>
      <c r="AH274" s="315">
        <v>64200</v>
      </c>
      <c r="AI274" s="315">
        <v>4213902</v>
      </c>
      <c r="AJ274" s="315">
        <v>1481172</v>
      </c>
      <c r="AK274" s="315">
        <v>2683148</v>
      </c>
      <c r="AL274" s="315">
        <v>10111</v>
      </c>
      <c r="AM274" s="315">
        <v>-40534</v>
      </c>
      <c r="AN274" s="315">
        <v>40802</v>
      </c>
      <c r="AO274" s="315">
        <v>49131</v>
      </c>
      <c r="AP274" s="315">
        <v>17861</v>
      </c>
      <c r="AQ274" s="315">
        <v>12169</v>
      </c>
      <c r="AR274" s="315">
        <v>-97172</v>
      </c>
      <c r="AS274" s="315">
        <v>64971</v>
      </c>
      <c r="AT274" s="315">
        <v>0</v>
      </c>
      <c r="AU274" s="315">
        <v>-14534</v>
      </c>
      <c r="AV274" s="315">
        <v>270529</v>
      </c>
      <c r="AW274" s="315">
        <v>16391</v>
      </c>
      <c r="AX274" s="315">
        <v>61484</v>
      </c>
      <c r="AY274" s="315">
        <v>13668</v>
      </c>
      <c r="AZ274" s="315">
        <v>3873</v>
      </c>
      <c r="BA274" s="315">
        <v>12722</v>
      </c>
      <c r="BB274" s="315">
        <v>31221</v>
      </c>
      <c r="BC274" s="315">
        <v>99119</v>
      </c>
      <c r="BD274" s="315">
        <v>93535</v>
      </c>
      <c r="BE274" s="315">
        <v>-301444</v>
      </c>
      <c r="BF274" s="315">
        <v>-226295</v>
      </c>
      <c r="BG274" s="315">
        <v>-182938</v>
      </c>
      <c r="BH274" s="315">
        <v>-43357</v>
      </c>
      <c r="BI274" s="315">
        <v>0</v>
      </c>
      <c r="BJ274" s="315">
        <v>-163913</v>
      </c>
      <c r="BK274" s="315">
        <v>-62382</v>
      </c>
      <c r="BL274" s="315">
        <v>-75149</v>
      </c>
      <c r="BM274" s="315">
        <v>0</v>
      </c>
      <c r="BN274" s="315">
        <v>-30915</v>
      </c>
      <c r="BO274" s="315">
        <v>-16229</v>
      </c>
      <c r="BP274" s="315">
        <v>14404</v>
      </c>
      <c r="BQ274" s="315">
        <v>20916</v>
      </c>
      <c r="BR274" s="315">
        <v>26</v>
      </c>
      <c r="BS274" s="315">
        <v>14907</v>
      </c>
      <c r="BT274" s="315">
        <v>1752</v>
      </c>
      <c r="BU274" s="315">
        <v>0</v>
      </c>
      <c r="BV274" s="315">
        <v>1119</v>
      </c>
      <c r="BW274" s="315">
        <v>12036</v>
      </c>
      <c r="BX274" s="315">
        <v>-121454</v>
      </c>
      <c r="BY274" s="315">
        <v>55762</v>
      </c>
      <c r="BZ274" s="315">
        <v>753</v>
      </c>
      <c r="CA274" s="315">
        <v>320644</v>
      </c>
      <c r="CB274" s="315">
        <v>-45661</v>
      </c>
      <c r="CC274" s="315">
        <v>-45661</v>
      </c>
      <c r="CD274" s="315">
        <v>0</v>
      </c>
      <c r="CE274" s="315">
        <v>274983</v>
      </c>
      <c r="CF274" s="315">
        <v>149752</v>
      </c>
      <c r="CG274" s="315">
        <v>7</v>
      </c>
      <c r="CH274" s="315">
        <v>125224</v>
      </c>
      <c r="CI274" s="315">
        <v>4974528</v>
      </c>
      <c r="CJ274" s="315">
        <v>1188588</v>
      </c>
      <c r="CK274" s="315">
        <v>3785940</v>
      </c>
      <c r="CL274" s="315">
        <v>3332633</v>
      </c>
      <c r="CM274" s="315">
        <v>68582</v>
      </c>
      <c r="CN274" s="315">
        <v>384725</v>
      </c>
      <c r="CO274" s="315">
        <v>0</v>
      </c>
      <c r="CP274" s="315">
        <v>0</v>
      </c>
      <c r="CQ274" s="315">
        <v>384725</v>
      </c>
      <c r="CR274" s="315">
        <v>-1174451</v>
      </c>
      <c r="CS274" s="315">
        <v>-192223</v>
      </c>
      <c r="CT274" s="315">
        <v>-60266</v>
      </c>
      <c r="CU274" s="315">
        <v>-34690</v>
      </c>
      <c r="CV274" s="315">
        <v>-669</v>
      </c>
      <c r="CW274" s="315">
        <v>-96598</v>
      </c>
      <c r="CX274" s="315">
        <v>-774301</v>
      </c>
      <c r="CY274" s="315">
        <v>-134925</v>
      </c>
      <c r="CZ274" s="315">
        <v>-636099</v>
      </c>
      <c r="DA274" s="315">
        <v>-3277</v>
      </c>
      <c r="DB274" s="315">
        <v>0</v>
      </c>
      <c r="DC274" s="315">
        <v>-207927</v>
      </c>
      <c r="DD274" s="315">
        <v>3800077</v>
      </c>
      <c r="DE274" s="315">
        <v>1188128</v>
      </c>
      <c r="DF274" s="315">
        <v>2611949</v>
      </c>
      <c r="DG274" s="315">
        <v>2558739</v>
      </c>
      <c r="DH274" s="315">
        <v>53210</v>
      </c>
      <c r="DI274" s="315">
        <v>1499283</v>
      </c>
      <c r="DJ274" s="315">
        <v>101351</v>
      </c>
      <c r="DK274" s="315">
        <v>24303</v>
      </c>
      <c r="DL274" s="315">
        <v>1724</v>
      </c>
      <c r="DM274" s="315">
        <v>832533</v>
      </c>
      <c r="DN274" s="315">
        <v>418765</v>
      </c>
      <c r="DO274" s="315">
        <v>120499</v>
      </c>
      <c r="DP274" s="315"/>
      <c r="DQ274" s="315">
        <v>53</v>
      </c>
      <c r="DR274" s="315">
        <v>55</v>
      </c>
      <c r="DS274" s="315">
        <v>-21301</v>
      </c>
      <c r="DT274" s="315">
        <v>-1879</v>
      </c>
      <c r="DU274" s="315">
        <v>-248</v>
      </c>
      <c r="DV274" s="315">
        <v>-6</v>
      </c>
      <c r="DW274" s="315">
        <v>-14900</v>
      </c>
      <c r="DX274" s="315">
        <v>-2375</v>
      </c>
      <c r="DY274" s="315">
        <v>-228</v>
      </c>
      <c r="DZ274" s="315">
        <v>-12297</v>
      </c>
      <c r="EA274" s="315">
        <v>-4214</v>
      </c>
      <c r="EB274" s="315">
        <v>-39</v>
      </c>
      <c r="EC274" s="315"/>
      <c r="ED274" s="315">
        <v>0</v>
      </c>
      <c r="EE274" s="315">
        <v>-15</v>
      </c>
      <c r="EF274" s="315">
        <v>1477982</v>
      </c>
      <c r="EG274" s="315">
        <v>426063</v>
      </c>
      <c r="EH274" s="315">
        <v>1051919</v>
      </c>
      <c r="EI274" s="315">
        <v>1034292</v>
      </c>
      <c r="EJ274" s="315">
        <v>17627</v>
      </c>
      <c r="EK274" s="315">
        <v>99472</v>
      </c>
      <c r="EL274" s="315">
        <v>60299</v>
      </c>
      <c r="EM274" s="315">
        <v>39173</v>
      </c>
      <c r="EN274" s="315">
        <v>38367</v>
      </c>
      <c r="EO274" s="315">
        <v>806</v>
      </c>
      <c r="EP274" s="315">
        <v>24055</v>
      </c>
      <c r="EQ274" s="315">
        <v>8800</v>
      </c>
      <c r="ER274" s="315">
        <v>15255</v>
      </c>
      <c r="ES274" s="315">
        <v>14968</v>
      </c>
      <c r="ET274" s="315">
        <v>287</v>
      </c>
      <c r="EU274" s="315">
        <v>1718</v>
      </c>
      <c r="EV274" s="315">
        <v>753</v>
      </c>
      <c r="EW274" s="315">
        <v>965</v>
      </c>
      <c r="EX274" s="315">
        <v>947</v>
      </c>
      <c r="EY274" s="315">
        <v>18</v>
      </c>
      <c r="EZ274" s="315">
        <v>817633</v>
      </c>
      <c r="FA274" s="315">
        <v>268527</v>
      </c>
      <c r="FB274" s="315">
        <v>549106</v>
      </c>
      <c r="FC274" s="315">
        <v>539637</v>
      </c>
      <c r="FD274" s="315">
        <v>9469</v>
      </c>
      <c r="FE274" s="315">
        <v>414551</v>
      </c>
      <c r="FF274" s="315">
        <v>86453</v>
      </c>
      <c r="FG274" s="315">
        <v>328098</v>
      </c>
      <c r="FH274" s="315">
        <v>321051</v>
      </c>
      <c r="FI274" s="315">
        <v>7047</v>
      </c>
      <c r="FJ274" s="315">
        <v>120460</v>
      </c>
      <c r="FK274" s="315">
        <v>1138</v>
      </c>
      <c r="FL274" s="315">
        <v>119322</v>
      </c>
      <c r="FM274" s="315">
        <v>119322</v>
      </c>
      <c r="FN274" s="315"/>
      <c r="FO274" s="315"/>
      <c r="FP274" s="315">
        <v>53</v>
      </c>
      <c r="FQ274" s="315">
        <v>40</v>
      </c>
      <c r="FR274" s="315">
        <v>538433</v>
      </c>
      <c r="FS274" s="315">
        <v>-51248</v>
      </c>
      <c r="FT274" s="315">
        <v>487185</v>
      </c>
      <c r="FU274" s="315">
        <v>3926</v>
      </c>
      <c r="FV274" s="315">
        <v>2778</v>
      </c>
      <c r="FW274" s="315">
        <v>1148</v>
      </c>
      <c r="FX274" s="315">
        <v>158614</v>
      </c>
      <c r="FY274" s="315">
        <v>114517</v>
      </c>
      <c r="FZ274" s="315"/>
      <c r="GA274" s="315"/>
      <c r="GB274" s="315">
        <v>144</v>
      </c>
      <c r="GC274" s="315">
        <v>74167</v>
      </c>
      <c r="GD274" s="315">
        <v>-31061</v>
      </c>
      <c r="GE274" s="315">
        <v>2</v>
      </c>
      <c r="GF274" s="315">
        <v>105226</v>
      </c>
      <c r="GG274" s="315">
        <v>135817</v>
      </c>
      <c r="GH274" s="315">
        <v>12663</v>
      </c>
      <c r="GI274" s="315">
        <v>6671</v>
      </c>
      <c r="GJ274" s="315">
        <v>116483</v>
      </c>
      <c r="GL274"/>
      <c r="GM274"/>
      <c r="GN274"/>
      <c r="GO274"/>
    </row>
    <row r="275" spans="1:197">
      <c r="A275" s="98" t="s">
        <v>35</v>
      </c>
      <c r="B275" s="98">
        <v>4</v>
      </c>
      <c r="C275" s="98" t="s">
        <v>220</v>
      </c>
      <c r="D275" s="315">
        <v>29938004</v>
      </c>
      <c r="E275" s="315">
        <v>-4949462</v>
      </c>
      <c r="F275" s="315">
        <v>-14534</v>
      </c>
      <c r="G275" s="315">
        <v>24974008</v>
      </c>
      <c r="H275" s="315">
        <v>18250290</v>
      </c>
      <c r="I275" s="315">
        <v>6723718</v>
      </c>
      <c r="J275" s="315">
        <v>6588680</v>
      </c>
      <c r="K275" s="315">
        <v>135038</v>
      </c>
      <c r="L275" s="315">
        <v>9661382</v>
      </c>
      <c r="M275" s="315">
        <v>8162326</v>
      </c>
      <c r="N275" s="315">
        <v>112903</v>
      </c>
      <c r="O275" s="315">
        <v>0</v>
      </c>
      <c r="P275" s="315">
        <v>112903</v>
      </c>
      <c r="Q275" s="315">
        <v>65046</v>
      </c>
      <c r="R275" s="315">
        <v>1321107</v>
      </c>
      <c r="S275" s="315">
        <v>-1824562</v>
      </c>
      <c r="T275" s="315">
        <v>-1803489</v>
      </c>
      <c r="U275" s="315">
        <v>-73285</v>
      </c>
      <c r="V275" s="315">
        <v>-149</v>
      </c>
      <c r="W275" s="315">
        <v>-1668665</v>
      </c>
      <c r="X275" s="315">
        <v>0</v>
      </c>
      <c r="Y275" s="315">
        <v>-61390</v>
      </c>
      <c r="Z275" s="315">
        <v>-16198</v>
      </c>
      <c r="AA275" s="315">
        <v>-4771</v>
      </c>
      <c r="AB275" s="315">
        <v>-104</v>
      </c>
      <c r="AC275" s="315">
        <v>-14534</v>
      </c>
      <c r="AD275" s="315">
        <v>7822286</v>
      </c>
      <c r="AE275" s="315">
        <v>4762438</v>
      </c>
      <c r="AF275" s="315">
        <v>3059848</v>
      </c>
      <c r="AG275" s="315">
        <v>2995649</v>
      </c>
      <c r="AH275" s="315">
        <v>64199</v>
      </c>
      <c r="AI275" s="315">
        <v>8158646</v>
      </c>
      <c r="AJ275" s="315">
        <v>1480338</v>
      </c>
      <c r="AK275" s="315">
        <v>3008370</v>
      </c>
      <c r="AL275" s="315">
        <v>3616121</v>
      </c>
      <c r="AM275" s="315">
        <v>266240</v>
      </c>
      <c r="AN275" s="315">
        <v>352500</v>
      </c>
      <c r="AO275" s="315">
        <v>60414</v>
      </c>
      <c r="AP275" s="315">
        <v>25289</v>
      </c>
      <c r="AQ275" s="315">
        <v>615469</v>
      </c>
      <c r="AR275" s="315">
        <v>-1690586</v>
      </c>
      <c r="AS275" s="315">
        <v>48848</v>
      </c>
      <c r="AT275" s="315">
        <v>0</v>
      </c>
      <c r="AU275" s="315">
        <v>-14534</v>
      </c>
      <c r="AV275" s="315">
        <v>6088882</v>
      </c>
      <c r="AW275" s="315">
        <v>5581875</v>
      </c>
      <c r="AX275" s="315">
        <v>100271</v>
      </c>
      <c r="AY275" s="315">
        <v>27908</v>
      </c>
      <c r="AZ275" s="315">
        <v>21930</v>
      </c>
      <c r="BA275" s="315">
        <v>20327</v>
      </c>
      <c r="BB275" s="315">
        <v>30106</v>
      </c>
      <c r="BC275" s="315">
        <v>121306</v>
      </c>
      <c r="BD275" s="315">
        <v>285430</v>
      </c>
      <c r="BE275" s="315">
        <v>-121485</v>
      </c>
      <c r="BF275" s="315">
        <v>-120743</v>
      </c>
      <c r="BG275" s="315">
        <v>-75105</v>
      </c>
      <c r="BH275" s="315">
        <v>-45638</v>
      </c>
      <c r="BI275" s="315">
        <v>0</v>
      </c>
      <c r="BJ275" s="315">
        <v>-62814</v>
      </c>
      <c r="BK275" s="315">
        <v>-57929</v>
      </c>
      <c r="BL275" s="315">
        <v>-742</v>
      </c>
      <c r="BM275" s="315">
        <v>0</v>
      </c>
      <c r="BN275" s="315">
        <v>5967397</v>
      </c>
      <c r="BO275" s="315">
        <v>112238</v>
      </c>
      <c r="BP275" s="315">
        <v>146978</v>
      </c>
      <c r="BQ275" s="315">
        <v>25719</v>
      </c>
      <c r="BR275" s="315">
        <v>29</v>
      </c>
      <c r="BS275" s="315">
        <v>5581523</v>
      </c>
      <c r="BT275" s="315">
        <v>1695645</v>
      </c>
      <c r="BU275" s="315">
        <v>3173621</v>
      </c>
      <c r="BV275" s="315">
        <v>703406</v>
      </c>
      <c r="BW275" s="315">
        <v>8851</v>
      </c>
      <c r="BX275" s="315">
        <v>25166</v>
      </c>
      <c r="BY275" s="315">
        <v>75668</v>
      </c>
      <c r="BZ275" s="315">
        <v>76</v>
      </c>
      <c r="CA275" s="315">
        <v>174848</v>
      </c>
      <c r="CB275" s="315">
        <v>-47557</v>
      </c>
      <c r="CC275" s="315">
        <v>-47557</v>
      </c>
      <c r="CD275" s="315">
        <v>0</v>
      </c>
      <c r="CE275" s="315">
        <v>127291</v>
      </c>
      <c r="CF275" s="315">
        <v>129153</v>
      </c>
      <c r="CG275" s="315">
        <v>14473</v>
      </c>
      <c r="CH275" s="315">
        <v>-16335</v>
      </c>
      <c r="CI275" s="315">
        <v>11566261</v>
      </c>
      <c r="CJ275" s="315">
        <v>1442314</v>
      </c>
      <c r="CK275" s="315">
        <v>10123947</v>
      </c>
      <c r="CL275" s="315">
        <v>3742649</v>
      </c>
      <c r="CM275" s="315">
        <v>5948566</v>
      </c>
      <c r="CN275" s="315">
        <v>432732</v>
      </c>
      <c r="CO275" s="315">
        <v>0</v>
      </c>
      <c r="CP275" s="315">
        <v>0</v>
      </c>
      <c r="CQ275" s="315">
        <v>432732</v>
      </c>
      <c r="CR275" s="315">
        <v>-2769970</v>
      </c>
      <c r="CS275" s="315">
        <v>-937937</v>
      </c>
      <c r="CT275" s="315">
        <v>-783385</v>
      </c>
      <c r="CU275" s="315">
        <v>-18127</v>
      </c>
      <c r="CV275" s="315">
        <v>-106</v>
      </c>
      <c r="CW275" s="315">
        <v>-136319</v>
      </c>
      <c r="CX275" s="315">
        <v>-1408275</v>
      </c>
      <c r="CY275" s="315">
        <v>-668933</v>
      </c>
      <c r="CZ275" s="315">
        <v>-736942</v>
      </c>
      <c r="DA275" s="315">
        <v>-2400</v>
      </c>
      <c r="DB275" s="315">
        <v>-423758</v>
      </c>
      <c r="DC275" s="315">
        <v>0</v>
      </c>
      <c r="DD275" s="315">
        <v>8796291</v>
      </c>
      <c r="DE275" s="315">
        <v>6184340</v>
      </c>
      <c r="DF275" s="315">
        <v>2611951</v>
      </c>
      <c r="DG275" s="315">
        <v>2558740</v>
      </c>
      <c r="DH275" s="315">
        <v>53211</v>
      </c>
      <c r="DI275" s="315">
        <v>1942496</v>
      </c>
      <c r="DJ275" s="315">
        <v>32220</v>
      </c>
      <c r="DK275" s="315">
        <v>19840</v>
      </c>
      <c r="DL275" s="315">
        <v>697</v>
      </c>
      <c r="DM275" s="315">
        <v>1133963</v>
      </c>
      <c r="DN275" s="315">
        <v>569795</v>
      </c>
      <c r="DO275" s="315">
        <v>113630</v>
      </c>
      <c r="DP275" s="315"/>
      <c r="DQ275" s="315">
        <v>72272</v>
      </c>
      <c r="DR275" s="315">
        <v>79</v>
      </c>
      <c r="DS275" s="315">
        <v>-76537</v>
      </c>
      <c r="DT275" s="315">
        <v>-34616</v>
      </c>
      <c r="DU275" s="315">
        <v>-11993</v>
      </c>
      <c r="DV275" s="315">
        <v>-352</v>
      </c>
      <c r="DW275" s="315">
        <v>-7445</v>
      </c>
      <c r="DX275" s="315">
        <v>-779</v>
      </c>
      <c r="DY275" s="315">
        <v>-56</v>
      </c>
      <c r="DZ275" s="315">
        <v>-6610</v>
      </c>
      <c r="EA275" s="315">
        <v>-22113</v>
      </c>
      <c r="EB275" s="315">
        <v>-10</v>
      </c>
      <c r="EC275" s="315"/>
      <c r="ED275" s="315">
        <v>0</v>
      </c>
      <c r="EE275" s="315">
        <v>-8</v>
      </c>
      <c r="EF275" s="315">
        <v>1865959</v>
      </c>
      <c r="EG275" s="315">
        <v>814040</v>
      </c>
      <c r="EH275" s="315">
        <v>1051919</v>
      </c>
      <c r="EI275" s="315">
        <v>1034291</v>
      </c>
      <c r="EJ275" s="315">
        <v>17628</v>
      </c>
      <c r="EK275" s="315">
        <v>-2396</v>
      </c>
      <c r="EL275" s="315">
        <v>-41568</v>
      </c>
      <c r="EM275" s="315">
        <v>39172</v>
      </c>
      <c r="EN275" s="315">
        <v>38367</v>
      </c>
      <c r="EO275" s="315">
        <v>805</v>
      </c>
      <c r="EP275" s="315">
        <v>7847</v>
      </c>
      <c r="EQ275" s="315">
        <v>-7407</v>
      </c>
      <c r="ER275" s="315">
        <v>15254</v>
      </c>
      <c r="ES275" s="315">
        <v>14967</v>
      </c>
      <c r="ET275" s="315">
        <v>287</v>
      </c>
      <c r="EU275" s="315">
        <v>345</v>
      </c>
      <c r="EV275" s="315">
        <v>-620</v>
      </c>
      <c r="EW275" s="315">
        <v>965</v>
      </c>
      <c r="EX275" s="315">
        <v>947</v>
      </c>
      <c r="EY275" s="315">
        <v>18</v>
      </c>
      <c r="EZ275" s="315">
        <v>1126518</v>
      </c>
      <c r="FA275" s="315">
        <v>577409</v>
      </c>
      <c r="FB275" s="315">
        <v>549109</v>
      </c>
      <c r="FC275" s="315">
        <v>539637</v>
      </c>
      <c r="FD275" s="315">
        <v>9472</v>
      </c>
      <c r="FE275" s="315">
        <v>547682</v>
      </c>
      <c r="FF275" s="315">
        <v>219585</v>
      </c>
      <c r="FG275" s="315">
        <v>328097</v>
      </c>
      <c r="FH275" s="315">
        <v>321051</v>
      </c>
      <c r="FI275" s="315">
        <v>7046</v>
      </c>
      <c r="FJ275" s="315">
        <v>113620</v>
      </c>
      <c r="FK275" s="315">
        <v>-5702</v>
      </c>
      <c r="FL275" s="315">
        <v>119322</v>
      </c>
      <c r="FM275" s="315">
        <v>119322</v>
      </c>
      <c r="FN275" s="315"/>
      <c r="FO275" s="315"/>
      <c r="FP275" s="315">
        <v>72272</v>
      </c>
      <c r="FQ275" s="315">
        <v>71</v>
      </c>
      <c r="FR275" s="315">
        <v>504135</v>
      </c>
      <c r="FS275" s="315">
        <v>-109351</v>
      </c>
      <c r="FT275" s="315">
        <v>394784</v>
      </c>
      <c r="FU275" s="315">
        <v>6705</v>
      </c>
      <c r="FV275" s="315">
        <v>6307</v>
      </c>
      <c r="FW275" s="315">
        <v>398</v>
      </c>
      <c r="FX275" s="315">
        <v>159253</v>
      </c>
      <c r="FY275" s="315">
        <v>129322</v>
      </c>
      <c r="FZ275" s="315"/>
      <c r="GA275" s="315"/>
      <c r="GB275" s="315">
        <v>192</v>
      </c>
      <c r="GC275" s="315">
        <v>-18832</v>
      </c>
      <c r="GD275" s="315">
        <v>3608</v>
      </c>
      <c r="GE275" s="315">
        <v>2</v>
      </c>
      <c r="GF275" s="315">
        <v>-22442</v>
      </c>
      <c r="GG275" s="315">
        <v>118144</v>
      </c>
      <c r="GH275" s="315">
        <v>8690</v>
      </c>
      <c r="GI275" s="315">
        <v>565</v>
      </c>
      <c r="GJ275" s="315">
        <v>108889</v>
      </c>
      <c r="GL275"/>
      <c r="GM275"/>
      <c r="GN275"/>
      <c r="GO275"/>
    </row>
    <row r="276" spans="1:197">
      <c r="A276" s="98" t="s">
        <v>35</v>
      </c>
      <c r="B276" s="98">
        <v>5</v>
      </c>
      <c r="C276" s="98" t="s">
        <v>221</v>
      </c>
      <c r="D276" s="315">
        <v>13052370</v>
      </c>
      <c r="E276" s="315">
        <v>-4673209</v>
      </c>
      <c r="F276" s="315">
        <v>-14535</v>
      </c>
      <c r="G276" s="315">
        <v>8364626</v>
      </c>
      <c r="H276" s="315">
        <v>1640760</v>
      </c>
      <c r="I276" s="315">
        <v>6723866</v>
      </c>
      <c r="J276" s="315">
        <v>6588681</v>
      </c>
      <c r="K276" s="315">
        <v>135185</v>
      </c>
      <c r="L276" s="315">
        <v>4560820</v>
      </c>
      <c r="M276" s="315">
        <v>4033711</v>
      </c>
      <c r="N276" s="315">
        <v>150653</v>
      </c>
      <c r="O276" s="315">
        <v>65429</v>
      </c>
      <c r="P276" s="315">
        <v>85224</v>
      </c>
      <c r="Q276" s="315">
        <v>66825</v>
      </c>
      <c r="R276" s="315">
        <v>309631</v>
      </c>
      <c r="S276" s="315">
        <v>-2455979</v>
      </c>
      <c r="T276" s="315">
        <v>-2438254</v>
      </c>
      <c r="U276" s="315">
        <v>-86824</v>
      </c>
      <c r="V276" s="315">
        <v>-70</v>
      </c>
      <c r="W276" s="315">
        <v>-2300477</v>
      </c>
      <c r="X276" s="315">
        <v>0</v>
      </c>
      <c r="Y276" s="315">
        <v>-50883</v>
      </c>
      <c r="Z276" s="315">
        <v>-5900</v>
      </c>
      <c r="AA276" s="315">
        <v>-11825</v>
      </c>
      <c r="AB276" s="315">
        <v>0</v>
      </c>
      <c r="AC276" s="315">
        <v>-14535</v>
      </c>
      <c r="AD276" s="315">
        <v>2090306</v>
      </c>
      <c r="AE276" s="315">
        <v>-969545</v>
      </c>
      <c r="AF276" s="315">
        <v>3059851</v>
      </c>
      <c r="AG276" s="315">
        <v>2995649</v>
      </c>
      <c r="AH276" s="315">
        <v>64202</v>
      </c>
      <c r="AI276" s="315">
        <v>4026099</v>
      </c>
      <c r="AJ276" s="315">
        <v>1492113</v>
      </c>
      <c r="AK276" s="315">
        <v>2470406</v>
      </c>
      <c r="AL276" s="315">
        <v>22620</v>
      </c>
      <c r="AM276" s="315">
        <v>177403</v>
      </c>
      <c r="AN276" s="315">
        <v>49716</v>
      </c>
      <c r="AO276" s="315">
        <v>42035</v>
      </c>
      <c r="AP276" s="315">
        <v>11025</v>
      </c>
      <c r="AQ276" s="315">
        <v>25239</v>
      </c>
      <c r="AR276" s="315">
        <v>-2287601</v>
      </c>
      <c r="AS276" s="315">
        <v>60925</v>
      </c>
      <c r="AT276" s="315">
        <v>0</v>
      </c>
      <c r="AU276" s="315">
        <v>-14535</v>
      </c>
      <c r="AV276" s="315">
        <v>316647</v>
      </c>
      <c r="AW276" s="315">
        <v>25383</v>
      </c>
      <c r="AX276" s="315">
        <v>61030</v>
      </c>
      <c r="AY276" s="315">
        <v>20044</v>
      </c>
      <c r="AZ276" s="315">
        <v>3734</v>
      </c>
      <c r="BA276" s="315">
        <v>13219</v>
      </c>
      <c r="BB276" s="315">
        <v>24033</v>
      </c>
      <c r="BC276" s="315">
        <v>119168</v>
      </c>
      <c r="BD276" s="315">
        <v>111066</v>
      </c>
      <c r="BE276" s="315">
        <v>-135421</v>
      </c>
      <c r="BF276" s="315">
        <v>-132348</v>
      </c>
      <c r="BG276" s="315">
        <v>-106997</v>
      </c>
      <c r="BH276" s="315">
        <v>-25351</v>
      </c>
      <c r="BI276" s="315">
        <v>0</v>
      </c>
      <c r="BJ276" s="315">
        <v>-86193</v>
      </c>
      <c r="BK276" s="315">
        <v>-46155</v>
      </c>
      <c r="BL276" s="315">
        <v>-3073</v>
      </c>
      <c r="BM276" s="315">
        <v>0</v>
      </c>
      <c r="BN276" s="315">
        <v>181226</v>
      </c>
      <c r="BO276" s="315">
        <v>75182</v>
      </c>
      <c r="BP276" s="315">
        <v>16167</v>
      </c>
      <c r="BQ276" s="315">
        <v>17893</v>
      </c>
      <c r="BR276" s="315">
        <v>21</v>
      </c>
      <c r="BS276" s="315">
        <v>23994</v>
      </c>
      <c r="BT276" s="315">
        <v>4748</v>
      </c>
      <c r="BU276" s="315">
        <v>489</v>
      </c>
      <c r="BV276" s="315">
        <v>2979</v>
      </c>
      <c r="BW276" s="315">
        <v>15778</v>
      </c>
      <c r="BX276" s="315">
        <v>-45967</v>
      </c>
      <c r="BY276" s="315">
        <v>93817</v>
      </c>
      <c r="BZ276" s="315">
        <v>119</v>
      </c>
      <c r="CA276" s="315">
        <v>129417</v>
      </c>
      <c r="CB276" s="315">
        <v>-30663</v>
      </c>
      <c r="CC276" s="315">
        <v>-30663</v>
      </c>
      <c r="CD276" s="315">
        <v>0</v>
      </c>
      <c r="CE276" s="315">
        <v>98754</v>
      </c>
      <c r="CF276" s="315">
        <v>114158</v>
      </c>
      <c r="CG276" s="315">
        <v>42</v>
      </c>
      <c r="CH276" s="315">
        <v>-15446</v>
      </c>
      <c r="CI276" s="315">
        <v>5142562</v>
      </c>
      <c r="CJ276" s="315">
        <v>1204803</v>
      </c>
      <c r="CK276" s="315">
        <v>3937759</v>
      </c>
      <c r="CL276" s="315">
        <v>3360012</v>
      </c>
      <c r="CM276" s="315">
        <v>115427</v>
      </c>
      <c r="CN276" s="315">
        <v>462320</v>
      </c>
      <c r="CO276" s="315">
        <v>0</v>
      </c>
      <c r="CP276" s="315">
        <v>0</v>
      </c>
      <c r="CQ276" s="315">
        <v>462320</v>
      </c>
      <c r="CR276" s="315">
        <v>-1990454</v>
      </c>
      <c r="CS276" s="315">
        <v>-744579</v>
      </c>
      <c r="CT276" s="315">
        <v>-638129</v>
      </c>
      <c r="CU276" s="315">
        <v>-12221</v>
      </c>
      <c r="CV276" s="315">
        <v>-307</v>
      </c>
      <c r="CW276" s="315">
        <v>-93922</v>
      </c>
      <c r="CX276" s="315">
        <v>-1245875</v>
      </c>
      <c r="CY276" s="315">
        <v>-679868</v>
      </c>
      <c r="CZ276" s="315">
        <v>-563339</v>
      </c>
      <c r="DA276" s="315">
        <v>-2668</v>
      </c>
      <c r="DB276" s="315">
        <v>0</v>
      </c>
      <c r="DC276" s="315">
        <v>0</v>
      </c>
      <c r="DD276" s="315">
        <v>3152108</v>
      </c>
      <c r="DE276" s="315">
        <v>540160</v>
      </c>
      <c r="DF276" s="315">
        <v>2611948</v>
      </c>
      <c r="DG276" s="315">
        <v>2558739</v>
      </c>
      <c r="DH276" s="315">
        <v>53209</v>
      </c>
      <c r="DI276" s="315">
        <v>1562708</v>
      </c>
      <c r="DJ276" s="315">
        <v>65784</v>
      </c>
      <c r="DK276" s="315">
        <v>22495</v>
      </c>
      <c r="DL276" s="315">
        <v>2699</v>
      </c>
      <c r="DM276" s="315">
        <v>863590</v>
      </c>
      <c r="DN276" s="315">
        <v>515042</v>
      </c>
      <c r="DO276" s="315">
        <v>92766</v>
      </c>
      <c r="DP276" s="315"/>
      <c r="DQ276" s="315">
        <v>263</v>
      </c>
      <c r="DR276" s="315">
        <v>69</v>
      </c>
      <c r="DS276" s="315">
        <v>-12083</v>
      </c>
      <c r="DT276" s="315">
        <v>-1996</v>
      </c>
      <c r="DU276" s="315">
        <v>-311</v>
      </c>
      <c r="DV276" s="315">
        <v>-95</v>
      </c>
      <c r="DW276" s="315">
        <v>-6721</v>
      </c>
      <c r="DX276" s="315">
        <v>-698</v>
      </c>
      <c r="DY276" s="315">
        <v>-767</v>
      </c>
      <c r="DZ276" s="315">
        <v>-5256</v>
      </c>
      <c r="EA276" s="315">
        <v>-2415</v>
      </c>
      <c r="EB276" s="315">
        <v>-543</v>
      </c>
      <c r="EC276" s="315"/>
      <c r="ED276" s="315">
        <v>0</v>
      </c>
      <c r="EE276" s="315">
        <v>-2</v>
      </c>
      <c r="EF276" s="315">
        <v>1550625</v>
      </c>
      <c r="EG276" s="315">
        <v>498558</v>
      </c>
      <c r="EH276" s="315">
        <v>1052067</v>
      </c>
      <c r="EI276" s="315">
        <v>1034293</v>
      </c>
      <c r="EJ276" s="315">
        <v>17774</v>
      </c>
      <c r="EK276" s="315">
        <v>63788</v>
      </c>
      <c r="EL276" s="315">
        <v>24616</v>
      </c>
      <c r="EM276" s="315">
        <v>39172</v>
      </c>
      <c r="EN276" s="315">
        <v>38367</v>
      </c>
      <c r="EO276" s="315">
        <v>805</v>
      </c>
      <c r="EP276" s="315">
        <v>22184</v>
      </c>
      <c r="EQ276" s="315">
        <v>6929</v>
      </c>
      <c r="ER276" s="315">
        <v>15255</v>
      </c>
      <c r="ES276" s="315">
        <v>14968</v>
      </c>
      <c r="ET276" s="315">
        <v>287</v>
      </c>
      <c r="EU276" s="315">
        <v>2604</v>
      </c>
      <c r="EV276" s="315">
        <v>1639</v>
      </c>
      <c r="EW276" s="315">
        <v>965</v>
      </c>
      <c r="EX276" s="315">
        <v>948</v>
      </c>
      <c r="EY276" s="315">
        <v>17</v>
      </c>
      <c r="EZ276" s="315">
        <v>856869</v>
      </c>
      <c r="FA276" s="315">
        <v>307762</v>
      </c>
      <c r="FB276" s="315">
        <v>549107</v>
      </c>
      <c r="FC276" s="315">
        <v>539637</v>
      </c>
      <c r="FD276" s="315">
        <v>9470</v>
      </c>
      <c r="FE276" s="315">
        <v>512627</v>
      </c>
      <c r="FF276" s="315">
        <v>184381</v>
      </c>
      <c r="FG276" s="315">
        <v>328246</v>
      </c>
      <c r="FH276" s="315">
        <v>321051</v>
      </c>
      <c r="FI276" s="315">
        <v>7195</v>
      </c>
      <c r="FJ276" s="315">
        <v>92223</v>
      </c>
      <c r="FK276" s="315">
        <v>-27099</v>
      </c>
      <c r="FL276" s="315">
        <v>119322</v>
      </c>
      <c r="FM276" s="315">
        <v>119322</v>
      </c>
      <c r="FN276" s="315"/>
      <c r="FO276" s="315"/>
      <c r="FP276" s="315">
        <v>263</v>
      </c>
      <c r="FQ276" s="315">
        <v>67</v>
      </c>
      <c r="FR276" s="315">
        <v>1340216</v>
      </c>
      <c r="FS276" s="315">
        <v>-48609</v>
      </c>
      <c r="FT276" s="315">
        <v>1291607</v>
      </c>
      <c r="FU276" s="315">
        <v>395853</v>
      </c>
      <c r="FV276" s="315">
        <v>369214</v>
      </c>
      <c r="FW276" s="315">
        <v>26639</v>
      </c>
      <c r="FX276" s="315">
        <v>142715</v>
      </c>
      <c r="FY276" s="315">
        <v>120806</v>
      </c>
      <c r="FZ276" s="315"/>
      <c r="GA276" s="315"/>
      <c r="GB276" s="315">
        <v>16305</v>
      </c>
      <c r="GC276" s="315">
        <v>469313</v>
      </c>
      <c r="GD276" s="315">
        <v>304399</v>
      </c>
      <c r="GE276" s="315">
        <v>57168</v>
      </c>
      <c r="GF276" s="315">
        <v>107746</v>
      </c>
      <c r="GG276" s="315">
        <v>146615</v>
      </c>
      <c r="GH276" s="315">
        <v>11557</v>
      </c>
      <c r="GI276" s="315">
        <v>723</v>
      </c>
      <c r="GJ276" s="315">
        <v>134335</v>
      </c>
      <c r="GL276"/>
      <c r="GM276"/>
      <c r="GN276"/>
      <c r="GO276"/>
    </row>
    <row r="277" spans="1:197">
      <c r="A277" s="98" t="s">
        <v>35</v>
      </c>
      <c r="B277" s="98">
        <v>6</v>
      </c>
      <c r="C277" s="98" t="s">
        <v>222</v>
      </c>
      <c r="D277" s="315">
        <v>13651708</v>
      </c>
      <c r="E277" s="315">
        <v>-5579800</v>
      </c>
      <c r="F277" s="315">
        <v>-14987</v>
      </c>
      <c r="G277" s="315">
        <v>8056921</v>
      </c>
      <c r="H277" s="315">
        <v>1333030</v>
      </c>
      <c r="I277" s="315">
        <v>6723891</v>
      </c>
      <c r="J277" s="315">
        <v>6588683</v>
      </c>
      <c r="K277" s="315">
        <v>135208</v>
      </c>
      <c r="L277" s="315">
        <v>4931865</v>
      </c>
      <c r="M277" s="315">
        <v>4191434</v>
      </c>
      <c r="N277" s="315">
        <v>262846</v>
      </c>
      <c r="O277" s="315">
        <v>177860</v>
      </c>
      <c r="P277" s="315">
        <v>84986</v>
      </c>
      <c r="Q277" s="315">
        <v>85015</v>
      </c>
      <c r="R277" s="315">
        <v>392570</v>
      </c>
      <c r="S277" s="315">
        <v>-2664422</v>
      </c>
      <c r="T277" s="315">
        <v>-2651644</v>
      </c>
      <c r="U277" s="315">
        <v>-80101</v>
      </c>
      <c r="V277" s="315">
        <v>-28</v>
      </c>
      <c r="W277" s="315">
        <v>-2532978</v>
      </c>
      <c r="X277" s="315">
        <v>0</v>
      </c>
      <c r="Y277" s="315">
        <v>-38537</v>
      </c>
      <c r="Z277" s="315">
        <v>-8404</v>
      </c>
      <c r="AA277" s="315">
        <v>-4374</v>
      </c>
      <c r="AB277" s="315">
        <v>0</v>
      </c>
      <c r="AC277" s="315">
        <v>-14987</v>
      </c>
      <c r="AD277" s="315">
        <v>2252456</v>
      </c>
      <c r="AE277" s="315">
        <v>-807393</v>
      </c>
      <c r="AF277" s="315">
        <v>3059849</v>
      </c>
      <c r="AG277" s="315">
        <v>2995650</v>
      </c>
      <c r="AH277" s="315">
        <v>64199</v>
      </c>
      <c r="AI277" s="315">
        <v>4187922</v>
      </c>
      <c r="AJ277" s="315">
        <v>1732059</v>
      </c>
      <c r="AK277" s="315">
        <v>2389275</v>
      </c>
      <c r="AL277" s="315">
        <v>15987</v>
      </c>
      <c r="AM277" s="315">
        <v>248291</v>
      </c>
      <c r="AN277" s="315">
        <v>42267</v>
      </c>
      <c r="AO277" s="315">
        <v>49800</v>
      </c>
      <c r="AP277" s="315">
        <v>28370</v>
      </c>
      <c r="AQ277" s="315">
        <v>22980</v>
      </c>
      <c r="AR277" s="315">
        <v>-2388798</v>
      </c>
      <c r="AS277" s="315">
        <v>76611</v>
      </c>
      <c r="AT277" s="315">
        <v>0</v>
      </c>
      <c r="AU277" s="315">
        <v>-14987</v>
      </c>
      <c r="AV277" s="315">
        <v>415424</v>
      </c>
      <c r="AW277" s="315">
        <v>37964</v>
      </c>
      <c r="AX277" s="315">
        <v>45853</v>
      </c>
      <c r="AY277" s="315">
        <v>9381</v>
      </c>
      <c r="AZ277" s="315">
        <v>2944</v>
      </c>
      <c r="BA277" s="315">
        <v>11141</v>
      </c>
      <c r="BB277" s="315">
        <v>22387</v>
      </c>
      <c r="BC277" s="315">
        <v>192279</v>
      </c>
      <c r="BD277" s="315">
        <v>139328</v>
      </c>
      <c r="BE277" s="315">
        <v>-76170</v>
      </c>
      <c r="BF277" s="315">
        <v>-71599</v>
      </c>
      <c r="BG277" s="315">
        <v>-48748</v>
      </c>
      <c r="BH277" s="315">
        <v>-22851</v>
      </c>
      <c r="BI277" s="315">
        <v>0</v>
      </c>
      <c r="BJ277" s="315">
        <v>-37490</v>
      </c>
      <c r="BK277" s="315">
        <v>-34109</v>
      </c>
      <c r="BL277" s="315">
        <v>-4571</v>
      </c>
      <c r="BM277" s="315">
        <v>0</v>
      </c>
      <c r="BN277" s="315">
        <v>339254</v>
      </c>
      <c r="BO277" s="315">
        <v>102942</v>
      </c>
      <c r="BP277" s="315">
        <v>14778</v>
      </c>
      <c r="BQ277" s="315">
        <v>21200</v>
      </c>
      <c r="BR277" s="315">
        <v>66</v>
      </c>
      <c r="BS277" s="315">
        <v>33669</v>
      </c>
      <c r="BT277" s="315">
        <v>18538</v>
      </c>
      <c r="BU277" s="315">
        <v>8419</v>
      </c>
      <c r="BV277" s="315">
        <v>1239</v>
      </c>
      <c r="BW277" s="315">
        <v>5473</v>
      </c>
      <c r="BX277" s="315">
        <v>-2895</v>
      </c>
      <c r="BY277" s="315">
        <v>169428</v>
      </c>
      <c r="BZ277" s="315">
        <v>66</v>
      </c>
      <c r="CA277" s="315">
        <v>215922</v>
      </c>
      <c r="CB277" s="315">
        <v>-35000</v>
      </c>
      <c r="CC277" s="315">
        <v>-35000</v>
      </c>
      <c r="CD277" s="315">
        <v>0</v>
      </c>
      <c r="CE277" s="315">
        <v>180922</v>
      </c>
      <c r="CF277" s="315">
        <v>188776</v>
      </c>
      <c r="CG277" s="315">
        <v>114</v>
      </c>
      <c r="CH277" s="315">
        <v>-7968</v>
      </c>
      <c r="CI277" s="315">
        <v>5609800</v>
      </c>
      <c r="CJ277" s="315">
        <v>1490053</v>
      </c>
      <c r="CK277" s="315">
        <v>4119747</v>
      </c>
      <c r="CL277" s="315">
        <v>3550770</v>
      </c>
      <c r="CM277" s="315">
        <v>60726</v>
      </c>
      <c r="CN277" s="315">
        <v>508251</v>
      </c>
      <c r="CO277" s="315">
        <v>0</v>
      </c>
      <c r="CP277" s="315">
        <v>0</v>
      </c>
      <c r="CQ277" s="315">
        <v>508251</v>
      </c>
      <c r="CR277" s="315">
        <v>-2742530</v>
      </c>
      <c r="CS277" s="315">
        <v>-645897</v>
      </c>
      <c r="CT277" s="315">
        <v>-531428</v>
      </c>
      <c r="CU277" s="315">
        <v>-7870</v>
      </c>
      <c r="CV277" s="315">
        <v>-278</v>
      </c>
      <c r="CW277" s="315">
        <v>-106321</v>
      </c>
      <c r="CX277" s="315">
        <v>-1862949</v>
      </c>
      <c r="CY277" s="315">
        <v>-1563255</v>
      </c>
      <c r="CZ277" s="315">
        <v>-289638</v>
      </c>
      <c r="DA277" s="315">
        <v>-10056</v>
      </c>
      <c r="DB277" s="315">
        <v>0</v>
      </c>
      <c r="DC277" s="315">
        <v>-233684</v>
      </c>
      <c r="DD277" s="315">
        <v>2867270</v>
      </c>
      <c r="DE277" s="315">
        <v>255322</v>
      </c>
      <c r="DF277" s="315">
        <v>2611948</v>
      </c>
      <c r="DG277" s="315">
        <v>2558739</v>
      </c>
      <c r="DH277" s="315">
        <v>53209</v>
      </c>
      <c r="DI277" s="315">
        <v>1738812</v>
      </c>
      <c r="DJ277" s="315">
        <v>66259</v>
      </c>
      <c r="DK277" s="315">
        <v>27873</v>
      </c>
      <c r="DL277" s="315">
        <v>1286</v>
      </c>
      <c r="DM277" s="315">
        <v>931409</v>
      </c>
      <c r="DN277" s="315">
        <v>610518</v>
      </c>
      <c r="DO277" s="315">
        <v>101353</v>
      </c>
      <c r="DP277" s="315"/>
      <c r="DQ277" s="315">
        <v>45</v>
      </c>
      <c r="DR277" s="315">
        <v>69</v>
      </c>
      <c r="DS277" s="315">
        <v>-11372</v>
      </c>
      <c r="DT277" s="315">
        <v>-2509</v>
      </c>
      <c r="DU277" s="315">
        <v>-276</v>
      </c>
      <c r="DV277" s="315">
        <v>-8</v>
      </c>
      <c r="DW277" s="315">
        <v>-7296</v>
      </c>
      <c r="DX277" s="315">
        <v>-560</v>
      </c>
      <c r="DY277" s="315">
        <v>-317</v>
      </c>
      <c r="DZ277" s="315">
        <v>-6419</v>
      </c>
      <c r="EA277" s="315">
        <v>-985</v>
      </c>
      <c r="EB277" s="315">
        <v>-296</v>
      </c>
      <c r="EC277" s="315"/>
      <c r="ED277" s="315">
        <v>0</v>
      </c>
      <c r="EE277" s="315">
        <v>-2</v>
      </c>
      <c r="EF277" s="315">
        <v>1727440</v>
      </c>
      <c r="EG277" s="315">
        <v>675346</v>
      </c>
      <c r="EH277" s="315">
        <v>1052094</v>
      </c>
      <c r="EI277" s="315">
        <v>1034294</v>
      </c>
      <c r="EJ277" s="315">
        <v>17800</v>
      </c>
      <c r="EK277" s="315">
        <v>63750</v>
      </c>
      <c r="EL277" s="315">
        <v>24577</v>
      </c>
      <c r="EM277" s="315">
        <v>39173</v>
      </c>
      <c r="EN277" s="315">
        <v>38367</v>
      </c>
      <c r="EO277" s="315">
        <v>806</v>
      </c>
      <c r="EP277" s="315">
        <v>27597</v>
      </c>
      <c r="EQ277" s="315">
        <v>12342</v>
      </c>
      <c r="ER277" s="315">
        <v>15255</v>
      </c>
      <c r="ES277" s="315">
        <v>14968</v>
      </c>
      <c r="ET277" s="315">
        <v>287</v>
      </c>
      <c r="EU277" s="315">
        <v>1278</v>
      </c>
      <c r="EV277" s="315">
        <v>314</v>
      </c>
      <c r="EW277" s="315">
        <v>964</v>
      </c>
      <c r="EX277" s="315">
        <v>947</v>
      </c>
      <c r="EY277" s="315">
        <v>17</v>
      </c>
      <c r="EZ277" s="315">
        <v>924113</v>
      </c>
      <c r="FA277" s="315">
        <v>375004</v>
      </c>
      <c r="FB277" s="315">
        <v>549109</v>
      </c>
      <c r="FC277" s="315">
        <v>539637</v>
      </c>
      <c r="FD277" s="315">
        <v>9472</v>
      </c>
      <c r="FE277" s="315">
        <v>609533</v>
      </c>
      <c r="FF277" s="315">
        <v>281263</v>
      </c>
      <c r="FG277" s="315">
        <v>328270</v>
      </c>
      <c r="FH277" s="315">
        <v>321052</v>
      </c>
      <c r="FI277" s="315">
        <v>7218</v>
      </c>
      <c r="FJ277" s="315">
        <v>101057</v>
      </c>
      <c r="FK277" s="315">
        <v>-18266</v>
      </c>
      <c r="FL277" s="315">
        <v>119323</v>
      </c>
      <c r="FM277" s="315">
        <v>119323</v>
      </c>
      <c r="FN277" s="315"/>
      <c r="FO277" s="315"/>
      <c r="FP277" s="315">
        <v>45</v>
      </c>
      <c r="FQ277" s="315">
        <v>67</v>
      </c>
      <c r="FR277" s="315">
        <v>739885</v>
      </c>
      <c r="FS277" s="315">
        <v>-50306</v>
      </c>
      <c r="FT277" s="315">
        <v>689579</v>
      </c>
      <c r="FU277" s="315">
        <v>141765</v>
      </c>
      <c r="FV277" s="315">
        <v>141154</v>
      </c>
      <c r="FW277" s="315">
        <v>611</v>
      </c>
      <c r="FX277" s="315">
        <v>149748</v>
      </c>
      <c r="FY277" s="315">
        <v>124384</v>
      </c>
      <c r="FZ277" s="315"/>
      <c r="GA277" s="315"/>
      <c r="GB277" s="315">
        <v>97</v>
      </c>
      <c r="GC277" s="315">
        <v>128567</v>
      </c>
      <c r="GD277" s="315">
        <v>-27531</v>
      </c>
      <c r="GE277" s="315">
        <v>113054</v>
      </c>
      <c r="GF277" s="315">
        <v>43044</v>
      </c>
      <c r="GG277" s="315">
        <v>145018</v>
      </c>
      <c r="GH277" s="315">
        <v>23990</v>
      </c>
      <c r="GI277" s="315">
        <v>456</v>
      </c>
      <c r="GJ277" s="315">
        <v>120572</v>
      </c>
      <c r="GL277"/>
      <c r="GM277"/>
      <c r="GN277"/>
      <c r="GO277"/>
    </row>
    <row r="278" spans="1:197">
      <c r="A278" s="98" t="s">
        <v>35</v>
      </c>
      <c r="B278" s="98">
        <v>7</v>
      </c>
      <c r="C278" s="98" t="s">
        <v>223</v>
      </c>
      <c r="D278" s="315">
        <v>33179877</v>
      </c>
      <c r="E278" s="315">
        <v>-4175180</v>
      </c>
      <c r="F278" s="315">
        <v>-14534</v>
      </c>
      <c r="G278" s="315">
        <v>28990163</v>
      </c>
      <c r="H278" s="315">
        <v>17887945</v>
      </c>
      <c r="I278" s="315">
        <v>11102218</v>
      </c>
      <c r="J278" s="315">
        <v>10953373</v>
      </c>
      <c r="K278" s="315">
        <v>148845</v>
      </c>
      <c r="L278" s="315">
        <v>17093807</v>
      </c>
      <c r="M278" s="315">
        <v>9652589</v>
      </c>
      <c r="N278" s="315">
        <v>5798584</v>
      </c>
      <c r="O278" s="315">
        <v>5696512</v>
      </c>
      <c r="P278" s="315">
        <v>102072</v>
      </c>
      <c r="Q278" s="315">
        <v>85698</v>
      </c>
      <c r="R278" s="315">
        <v>1556936</v>
      </c>
      <c r="S278" s="315">
        <v>-997436</v>
      </c>
      <c r="T278" s="315">
        <v>-987710</v>
      </c>
      <c r="U278" s="315">
        <v>-82185</v>
      </c>
      <c r="V278" s="315">
        <v>-14</v>
      </c>
      <c r="W278" s="315">
        <v>-875089</v>
      </c>
      <c r="X278" s="315">
        <v>0</v>
      </c>
      <c r="Y278" s="315">
        <v>-30422</v>
      </c>
      <c r="Z278" s="315">
        <v>-4167</v>
      </c>
      <c r="AA278" s="315">
        <v>-5559</v>
      </c>
      <c r="AB278" s="315">
        <v>0</v>
      </c>
      <c r="AC278" s="315">
        <v>-14534</v>
      </c>
      <c r="AD278" s="315">
        <v>16081837</v>
      </c>
      <c r="AE278" s="315">
        <v>9838061</v>
      </c>
      <c r="AF278" s="315">
        <v>6243776</v>
      </c>
      <c r="AG278" s="315">
        <v>6173942</v>
      </c>
      <c r="AH278" s="315">
        <v>69834</v>
      </c>
      <c r="AI278" s="315">
        <v>9649828</v>
      </c>
      <c r="AJ278" s="315">
        <v>2434985</v>
      </c>
      <c r="AK278" s="315">
        <v>3221202</v>
      </c>
      <c r="AL278" s="315">
        <v>3934431</v>
      </c>
      <c r="AM278" s="315">
        <v>444763</v>
      </c>
      <c r="AN278" s="315">
        <v>363600</v>
      </c>
      <c r="AO278" s="315">
        <v>60212</v>
      </c>
      <c r="AP278" s="315">
        <v>19102</v>
      </c>
      <c r="AQ278" s="315">
        <v>666461</v>
      </c>
      <c r="AR278" s="315">
        <v>4810874</v>
      </c>
      <c r="AS278" s="315">
        <v>81531</v>
      </c>
      <c r="AT278" s="315">
        <v>0</v>
      </c>
      <c r="AU278" s="315">
        <v>-14534</v>
      </c>
      <c r="AV278" s="315">
        <v>763417</v>
      </c>
      <c r="AW278" s="315">
        <v>20321</v>
      </c>
      <c r="AX278" s="315">
        <v>269143</v>
      </c>
      <c r="AY278" s="315">
        <v>104265</v>
      </c>
      <c r="AZ278" s="315">
        <v>30602</v>
      </c>
      <c r="BA278" s="315">
        <v>105545</v>
      </c>
      <c r="BB278" s="315">
        <v>28731</v>
      </c>
      <c r="BC278" s="315">
        <v>108342</v>
      </c>
      <c r="BD278" s="315">
        <v>365611</v>
      </c>
      <c r="BE278" s="315">
        <v>-93554</v>
      </c>
      <c r="BF278" s="315">
        <v>-86469</v>
      </c>
      <c r="BG278" s="315">
        <v>-45357</v>
      </c>
      <c r="BH278" s="315">
        <v>-41112</v>
      </c>
      <c r="BI278" s="315">
        <v>0</v>
      </c>
      <c r="BJ278" s="315">
        <v>-29436.999999999996</v>
      </c>
      <c r="BK278" s="315">
        <v>-57032</v>
      </c>
      <c r="BL278" s="315">
        <v>-7085</v>
      </c>
      <c r="BM278" s="315">
        <v>0</v>
      </c>
      <c r="BN278" s="315">
        <v>669863</v>
      </c>
      <c r="BO278" s="315">
        <v>188293</v>
      </c>
      <c r="BP278" s="315">
        <v>151297</v>
      </c>
      <c r="BQ278" s="315">
        <v>25629</v>
      </c>
      <c r="BR278" s="315">
        <v>61</v>
      </c>
      <c r="BS278" s="315">
        <v>13488</v>
      </c>
      <c r="BT278" s="315">
        <v>897</v>
      </c>
      <c r="BU278" s="315">
        <v>700</v>
      </c>
      <c r="BV278" s="315">
        <v>6862</v>
      </c>
      <c r="BW278" s="315">
        <v>5029</v>
      </c>
      <c r="BX278" s="315">
        <v>223786</v>
      </c>
      <c r="BY278" s="315">
        <v>67230</v>
      </c>
      <c r="BZ278" s="315">
        <v>79</v>
      </c>
      <c r="CA278" s="315">
        <v>360061</v>
      </c>
      <c r="CB278" s="315">
        <v>-24352</v>
      </c>
      <c r="CC278" s="315">
        <v>-24352</v>
      </c>
      <c r="CD278" s="315">
        <v>0</v>
      </c>
      <c r="CE278" s="315">
        <v>335709</v>
      </c>
      <c r="CF278" s="315">
        <v>320060</v>
      </c>
      <c r="CG278" s="315">
        <v>43</v>
      </c>
      <c r="CH278" s="315">
        <v>15606</v>
      </c>
      <c r="CI278" s="315">
        <v>12512821</v>
      </c>
      <c r="CJ278" s="315">
        <v>1272778</v>
      </c>
      <c r="CK278" s="315">
        <v>11240043</v>
      </c>
      <c r="CL278" s="315">
        <v>4290550</v>
      </c>
      <c r="CM278" s="315">
        <v>6494637</v>
      </c>
      <c r="CN278" s="315">
        <v>454856</v>
      </c>
      <c r="CO278" s="315">
        <v>0</v>
      </c>
      <c r="CP278" s="315">
        <v>0</v>
      </c>
      <c r="CQ278" s="315">
        <v>454856</v>
      </c>
      <c r="CR278" s="315">
        <v>-2931958</v>
      </c>
      <c r="CS278" s="315">
        <v>-819535</v>
      </c>
      <c r="CT278" s="315">
        <v>-714526</v>
      </c>
      <c r="CU278" s="315">
        <v>-23908</v>
      </c>
      <c r="CV278" s="315">
        <v>-210</v>
      </c>
      <c r="CW278" s="315">
        <v>-80891</v>
      </c>
      <c r="CX278" s="315">
        <v>-1706648</v>
      </c>
      <c r="CY278" s="315">
        <v>-1595250</v>
      </c>
      <c r="CZ278" s="315">
        <v>-108036</v>
      </c>
      <c r="DA278" s="315">
        <v>-3362</v>
      </c>
      <c r="DB278" s="315">
        <v>-405775</v>
      </c>
      <c r="DC278" s="315">
        <v>0</v>
      </c>
      <c r="DD278" s="315">
        <v>9580863</v>
      </c>
      <c r="DE278" s="315">
        <v>5942621</v>
      </c>
      <c r="DF278" s="315">
        <v>3638242</v>
      </c>
      <c r="DG278" s="315">
        <v>3575779</v>
      </c>
      <c r="DH278" s="315">
        <v>62463</v>
      </c>
      <c r="DI278" s="315">
        <v>1877477</v>
      </c>
      <c r="DJ278" s="315">
        <v>46520</v>
      </c>
      <c r="DK278" s="315">
        <v>27828</v>
      </c>
      <c r="DL278" s="315">
        <v>1210</v>
      </c>
      <c r="DM278" s="315">
        <v>1005689</v>
      </c>
      <c r="DN278" s="315">
        <v>618445</v>
      </c>
      <c r="DO278" s="315">
        <v>106230</v>
      </c>
      <c r="DP278" s="315"/>
      <c r="DQ278" s="315">
        <v>71416</v>
      </c>
      <c r="DR278" s="315">
        <v>139</v>
      </c>
      <c r="DS278" s="315">
        <v>-38566</v>
      </c>
      <c r="DT278" s="315">
        <v>-8231</v>
      </c>
      <c r="DU278" s="315">
        <v>-2321</v>
      </c>
      <c r="DV278" s="315">
        <v>-2</v>
      </c>
      <c r="DW278" s="315">
        <v>-18908</v>
      </c>
      <c r="DX278" s="315">
        <v>-13429</v>
      </c>
      <c r="DY278" s="315">
        <v>-118</v>
      </c>
      <c r="DZ278" s="315">
        <v>-5361</v>
      </c>
      <c r="EA278" s="315">
        <v>-9103</v>
      </c>
      <c r="EB278" s="315">
        <v>0</v>
      </c>
      <c r="EC278" s="315"/>
      <c r="ED278" s="315">
        <v>0</v>
      </c>
      <c r="EE278" s="315">
        <v>-1</v>
      </c>
      <c r="EF278" s="315">
        <v>1838911</v>
      </c>
      <c r="EG278" s="315">
        <v>618711</v>
      </c>
      <c r="EH278" s="315">
        <v>1220200</v>
      </c>
      <c r="EI278" s="315">
        <v>1203652</v>
      </c>
      <c r="EJ278" s="315">
        <v>16548</v>
      </c>
      <c r="EK278" s="315">
        <v>38289</v>
      </c>
      <c r="EL278" s="315">
        <v>-6588</v>
      </c>
      <c r="EM278" s="315">
        <v>44877</v>
      </c>
      <c r="EN278" s="315">
        <v>43996</v>
      </c>
      <c r="EO278" s="315">
        <v>881</v>
      </c>
      <c r="EP278" s="315">
        <v>25507</v>
      </c>
      <c r="EQ278" s="315">
        <v>5460</v>
      </c>
      <c r="ER278" s="315">
        <v>20047</v>
      </c>
      <c r="ES278" s="315">
        <v>19753</v>
      </c>
      <c r="ET278" s="315">
        <v>294</v>
      </c>
      <c r="EU278" s="315">
        <v>1208</v>
      </c>
      <c r="EV278" s="315">
        <v>-570</v>
      </c>
      <c r="EW278" s="315">
        <v>1778</v>
      </c>
      <c r="EX278" s="315">
        <v>1751</v>
      </c>
      <c r="EY278" s="315">
        <v>27</v>
      </c>
      <c r="EZ278" s="315">
        <v>986781</v>
      </c>
      <c r="FA278" s="315">
        <v>427637</v>
      </c>
      <c r="FB278" s="315">
        <v>559144</v>
      </c>
      <c r="FC278" s="315">
        <v>548815</v>
      </c>
      <c r="FD278" s="315">
        <v>10329</v>
      </c>
      <c r="FE278" s="315">
        <v>609342</v>
      </c>
      <c r="FF278" s="315">
        <v>89248</v>
      </c>
      <c r="FG278" s="315">
        <v>520094</v>
      </c>
      <c r="FH278" s="315">
        <v>515077</v>
      </c>
      <c r="FI278" s="315">
        <v>5017</v>
      </c>
      <c r="FJ278" s="315">
        <v>106230</v>
      </c>
      <c r="FK278" s="315">
        <v>31970</v>
      </c>
      <c r="FL278" s="315">
        <v>74260</v>
      </c>
      <c r="FM278" s="315">
        <v>74260</v>
      </c>
      <c r="FN278" s="315"/>
      <c r="FO278" s="315"/>
      <c r="FP278" s="315">
        <v>71416</v>
      </c>
      <c r="FQ278" s="315">
        <v>138</v>
      </c>
      <c r="FR278" s="315">
        <v>572294</v>
      </c>
      <c r="FS278" s="315">
        <v>-89314</v>
      </c>
      <c r="FT278" s="315">
        <v>482980</v>
      </c>
      <c r="FU278" s="315">
        <v>6844</v>
      </c>
      <c r="FV278" s="315">
        <v>6503</v>
      </c>
      <c r="FW278" s="315">
        <v>341</v>
      </c>
      <c r="FX278" s="315">
        <v>154973</v>
      </c>
      <c r="FY278" s="315">
        <v>126999</v>
      </c>
      <c r="FZ278" s="315"/>
      <c r="GA278" s="315"/>
      <c r="GB278" s="315">
        <v>101</v>
      </c>
      <c r="GC278" s="315">
        <v>11408.000000000002</v>
      </c>
      <c r="GD278" s="315">
        <v>-20315</v>
      </c>
      <c r="GE278" s="315">
        <v>25827</v>
      </c>
      <c r="GF278" s="315">
        <v>5896</v>
      </c>
      <c r="GG278" s="315">
        <v>182655</v>
      </c>
      <c r="GH278" s="315">
        <v>46855</v>
      </c>
      <c r="GI278" s="315">
        <v>601</v>
      </c>
      <c r="GJ278" s="315">
        <v>135199</v>
      </c>
      <c r="GL278"/>
      <c r="GM278"/>
      <c r="GN278"/>
      <c r="GO278"/>
    </row>
    <row r="279" spans="1:197">
      <c r="A279" s="98" t="s">
        <v>35</v>
      </c>
      <c r="B279" s="98">
        <v>8</v>
      </c>
      <c r="C279" s="98" t="s">
        <v>224</v>
      </c>
      <c r="D279" s="315">
        <v>14780163</v>
      </c>
      <c r="E279" s="315">
        <v>-1947996</v>
      </c>
      <c r="F279" s="315">
        <v>-14535</v>
      </c>
      <c r="G279" s="315">
        <v>12817632</v>
      </c>
      <c r="H279" s="315">
        <v>5342249</v>
      </c>
      <c r="I279" s="315">
        <v>7475383</v>
      </c>
      <c r="J279" s="315">
        <v>7215943</v>
      </c>
      <c r="K279" s="315">
        <v>259440</v>
      </c>
      <c r="L279" s="315">
        <v>5027493</v>
      </c>
      <c r="M279" s="315">
        <v>4424729</v>
      </c>
      <c r="N279" s="315">
        <v>103015</v>
      </c>
      <c r="O279" s="315">
        <v>23898</v>
      </c>
      <c r="P279" s="315">
        <v>79117</v>
      </c>
      <c r="Q279" s="315">
        <v>72629</v>
      </c>
      <c r="R279" s="315">
        <v>427120</v>
      </c>
      <c r="S279" s="315">
        <v>-239055</v>
      </c>
      <c r="T279" s="315">
        <v>-223662</v>
      </c>
      <c r="U279" s="315">
        <v>-76423</v>
      </c>
      <c r="V279" s="315">
        <v>-7</v>
      </c>
      <c r="W279" s="315">
        <v>-128714</v>
      </c>
      <c r="X279" s="315">
        <v>0</v>
      </c>
      <c r="Y279" s="315">
        <v>-18518</v>
      </c>
      <c r="Z279" s="315">
        <v>-13226</v>
      </c>
      <c r="AA279" s="315">
        <v>-2167</v>
      </c>
      <c r="AB279" s="315">
        <v>0</v>
      </c>
      <c r="AC279" s="315">
        <v>-14535</v>
      </c>
      <c r="AD279" s="315">
        <v>4773903</v>
      </c>
      <c r="AE279" s="315">
        <v>1450778</v>
      </c>
      <c r="AF279" s="315">
        <v>3323125</v>
      </c>
      <c r="AG279" s="315">
        <v>3200957</v>
      </c>
      <c r="AH279" s="315">
        <v>122168</v>
      </c>
      <c r="AI279" s="315">
        <v>4423330</v>
      </c>
      <c r="AJ279" s="315">
        <v>1582754</v>
      </c>
      <c r="AK279" s="315">
        <v>2795390</v>
      </c>
      <c r="AL279" s="315">
        <v>8309</v>
      </c>
      <c r="AM279" s="315">
        <v>278436</v>
      </c>
      <c r="AN279" s="315">
        <v>43731</v>
      </c>
      <c r="AO279" s="315">
        <v>67634</v>
      </c>
      <c r="AP279" s="315">
        <v>19031</v>
      </c>
      <c r="AQ279" s="315">
        <v>17520</v>
      </c>
      <c r="AR279" s="315">
        <v>-120647</v>
      </c>
      <c r="AS279" s="315">
        <v>59403</v>
      </c>
      <c r="AT279" s="315">
        <v>0</v>
      </c>
      <c r="AU279" s="315">
        <v>-14535</v>
      </c>
      <c r="AV279" s="315">
        <v>5299938</v>
      </c>
      <c r="AW279" s="315">
        <v>4712</v>
      </c>
      <c r="AX279" s="315">
        <v>4935293</v>
      </c>
      <c r="AY279" s="315">
        <v>1431104</v>
      </c>
      <c r="AZ279" s="315">
        <v>618364</v>
      </c>
      <c r="BA279" s="315">
        <v>2842333</v>
      </c>
      <c r="BB279" s="315">
        <v>43492</v>
      </c>
      <c r="BC279" s="315">
        <v>200631</v>
      </c>
      <c r="BD279" s="315">
        <v>159302</v>
      </c>
      <c r="BE279" s="315">
        <v>-69437</v>
      </c>
      <c r="BF279" s="315">
        <v>-68959</v>
      </c>
      <c r="BG279" s="315">
        <v>-23193</v>
      </c>
      <c r="BH279" s="315">
        <v>-45766</v>
      </c>
      <c r="BI279" s="315">
        <v>0</v>
      </c>
      <c r="BJ279" s="315">
        <v>-14716.000000000002</v>
      </c>
      <c r="BK279" s="315">
        <v>-54243</v>
      </c>
      <c r="BL279" s="315">
        <v>-478</v>
      </c>
      <c r="BM279" s="315">
        <v>0</v>
      </c>
      <c r="BN279" s="315">
        <v>5230501</v>
      </c>
      <c r="BO279" s="315">
        <v>113738</v>
      </c>
      <c r="BP279" s="315">
        <v>16451</v>
      </c>
      <c r="BQ279" s="315">
        <v>28769</v>
      </c>
      <c r="BR279" s="315">
        <v>19</v>
      </c>
      <c r="BS279" s="315">
        <v>4486</v>
      </c>
      <c r="BT279" s="315">
        <v>32</v>
      </c>
      <c r="BU279" s="315">
        <v>12</v>
      </c>
      <c r="BV279" s="315">
        <v>272</v>
      </c>
      <c r="BW279" s="315">
        <v>4170</v>
      </c>
      <c r="BX279" s="315">
        <v>4912100</v>
      </c>
      <c r="BY279" s="315">
        <v>154865</v>
      </c>
      <c r="BZ279" s="315">
        <v>73</v>
      </c>
      <c r="CA279" s="315">
        <v>291753</v>
      </c>
      <c r="CB279" s="315">
        <v>-49050</v>
      </c>
      <c r="CC279" s="315">
        <v>-49050</v>
      </c>
      <c r="CD279" s="315">
        <v>0</v>
      </c>
      <c r="CE279" s="315">
        <v>242703</v>
      </c>
      <c r="CF279" s="315">
        <v>203115</v>
      </c>
      <c r="CG279" s="315">
        <v>0</v>
      </c>
      <c r="CH279" s="315">
        <v>39588</v>
      </c>
      <c r="CI279" s="315">
        <v>1941508</v>
      </c>
      <c r="CJ279" s="315">
        <v>1322153</v>
      </c>
      <c r="CK279" s="315">
        <v>619355</v>
      </c>
      <c r="CL279" s="315">
        <v>184532</v>
      </c>
      <c r="CM279" s="315">
        <v>83572</v>
      </c>
      <c r="CN279" s="315">
        <v>351251</v>
      </c>
      <c r="CO279" s="315">
        <v>0</v>
      </c>
      <c r="CP279" s="315">
        <v>0</v>
      </c>
      <c r="CQ279" s="315">
        <v>351251</v>
      </c>
      <c r="CR279" s="315">
        <v>-1527460</v>
      </c>
      <c r="CS279" s="315">
        <v>-401980</v>
      </c>
      <c r="CT279" s="315">
        <v>-340891</v>
      </c>
      <c r="CU279" s="315">
        <v>-3038</v>
      </c>
      <c r="CV279" s="315">
        <v>-79</v>
      </c>
      <c r="CW279" s="315">
        <v>-57972</v>
      </c>
      <c r="CX279" s="315">
        <v>-1125480</v>
      </c>
      <c r="CY279" s="315">
        <v>-1090906</v>
      </c>
      <c r="CZ279" s="315">
        <v>-31434</v>
      </c>
      <c r="DA279" s="315">
        <v>-3140</v>
      </c>
      <c r="DB279" s="315">
        <v>0</v>
      </c>
      <c r="DC279" s="315">
        <v>0</v>
      </c>
      <c r="DD279" s="315">
        <v>414048</v>
      </c>
      <c r="DE279" s="315">
        <v>-2634992</v>
      </c>
      <c r="DF279" s="315">
        <v>3049040</v>
      </c>
      <c r="DG279" s="315">
        <v>2950739</v>
      </c>
      <c r="DH279" s="315">
        <v>98301</v>
      </c>
      <c r="DI279" s="315">
        <v>1795357</v>
      </c>
      <c r="DJ279" s="315">
        <v>96623</v>
      </c>
      <c r="DK279" s="315">
        <v>34161</v>
      </c>
      <c r="DL279" s="315">
        <v>3453</v>
      </c>
      <c r="DM279" s="315">
        <v>960972</v>
      </c>
      <c r="DN279" s="315">
        <v>593008</v>
      </c>
      <c r="DO279" s="315">
        <v>106597</v>
      </c>
      <c r="DP279" s="315"/>
      <c r="DQ279" s="315">
        <v>479</v>
      </c>
      <c r="DR279" s="315">
        <v>64</v>
      </c>
      <c r="DS279" s="315">
        <v>-23676</v>
      </c>
      <c r="DT279" s="315">
        <v>-1543</v>
      </c>
      <c r="DU279" s="315">
        <v>-170</v>
      </c>
      <c r="DV279" s="315">
        <v>-71</v>
      </c>
      <c r="DW279" s="315">
        <v>-21694</v>
      </c>
      <c r="DX279" s="315">
        <v>-18273</v>
      </c>
      <c r="DY279" s="315">
        <v>-548</v>
      </c>
      <c r="DZ279" s="315">
        <v>-2873</v>
      </c>
      <c r="EA279" s="315">
        <v>0</v>
      </c>
      <c r="EB279" s="315">
        <v>-195</v>
      </c>
      <c r="EC279" s="315"/>
      <c r="ED279" s="315">
        <v>0</v>
      </c>
      <c r="EE279" s="315">
        <v>-3</v>
      </c>
      <c r="EF279" s="315">
        <v>1771681</v>
      </c>
      <c r="EG279" s="315">
        <v>668463</v>
      </c>
      <c r="EH279" s="315">
        <v>1103218</v>
      </c>
      <c r="EI279" s="315">
        <v>1064247</v>
      </c>
      <c r="EJ279" s="315">
        <v>38971</v>
      </c>
      <c r="EK279" s="315">
        <v>95080</v>
      </c>
      <c r="EL279" s="315">
        <v>48880</v>
      </c>
      <c r="EM279" s="315">
        <v>46200</v>
      </c>
      <c r="EN279" s="315">
        <v>45378</v>
      </c>
      <c r="EO279" s="315">
        <v>822</v>
      </c>
      <c r="EP279" s="315">
        <v>33991</v>
      </c>
      <c r="EQ279" s="315">
        <v>18589</v>
      </c>
      <c r="ER279" s="315">
        <v>15402</v>
      </c>
      <c r="ES279" s="315">
        <v>14873</v>
      </c>
      <c r="ET279" s="315">
        <v>529</v>
      </c>
      <c r="EU279" s="315">
        <v>3382</v>
      </c>
      <c r="EV279" s="315">
        <v>2009</v>
      </c>
      <c r="EW279" s="315">
        <v>1373</v>
      </c>
      <c r="EX279" s="315">
        <v>1326</v>
      </c>
      <c r="EY279" s="315">
        <v>47</v>
      </c>
      <c r="EZ279" s="315">
        <v>939278</v>
      </c>
      <c r="FA279" s="315">
        <v>368344</v>
      </c>
      <c r="FB279" s="315">
        <v>570934</v>
      </c>
      <c r="FC279" s="315">
        <v>552514</v>
      </c>
      <c r="FD279" s="315">
        <v>18420</v>
      </c>
      <c r="FE279" s="315">
        <v>593008</v>
      </c>
      <c r="FF279" s="315">
        <v>238783</v>
      </c>
      <c r="FG279" s="315">
        <v>354225</v>
      </c>
      <c r="FH279" s="315">
        <v>335072</v>
      </c>
      <c r="FI279" s="315">
        <v>19153</v>
      </c>
      <c r="FJ279" s="315">
        <v>106402</v>
      </c>
      <c r="FK279" s="315">
        <v>-8682</v>
      </c>
      <c r="FL279" s="315">
        <v>115084</v>
      </c>
      <c r="FM279" s="315">
        <v>115084</v>
      </c>
      <c r="FN279" s="315"/>
      <c r="FO279" s="315"/>
      <c r="FP279" s="315">
        <v>479</v>
      </c>
      <c r="FQ279" s="315">
        <v>61</v>
      </c>
      <c r="FR279" s="315">
        <v>424114</v>
      </c>
      <c r="FS279" s="315">
        <v>-39318</v>
      </c>
      <c r="FT279" s="315">
        <v>384796</v>
      </c>
      <c r="FU279" s="315">
        <v>8095</v>
      </c>
      <c r="FV279" s="315">
        <v>7676</v>
      </c>
      <c r="FW279" s="315">
        <v>419</v>
      </c>
      <c r="FX279" s="315">
        <v>169566</v>
      </c>
      <c r="FY279" s="315">
        <v>28364</v>
      </c>
      <c r="FZ279" s="315"/>
      <c r="GA279" s="315"/>
      <c r="GB279" s="315">
        <v>11184</v>
      </c>
      <c r="GC279" s="315">
        <v>55087</v>
      </c>
      <c r="GD279" s="315">
        <v>-30606</v>
      </c>
      <c r="GE279" s="315">
        <v>572</v>
      </c>
      <c r="GF279" s="315">
        <v>85121</v>
      </c>
      <c r="GG279" s="315">
        <v>112500</v>
      </c>
      <c r="GH279" s="315">
        <v>14055</v>
      </c>
      <c r="GI279" s="315">
        <v>594</v>
      </c>
      <c r="GJ279" s="315">
        <v>97851</v>
      </c>
      <c r="GL279"/>
      <c r="GM279"/>
      <c r="GN279"/>
      <c r="GO279"/>
    </row>
    <row r="280" spans="1:197">
      <c r="A280" s="98" t="s">
        <v>35</v>
      </c>
      <c r="B280" s="98">
        <v>9</v>
      </c>
      <c r="C280" s="98" t="s">
        <v>225</v>
      </c>
      <c r="D280" s="315">
        <v>13065818</v>
      </c>
      <c r="E280" s="315">
        <v>-3153620</v>
      </c>
      <c r="F280" s="315">
        <v>-14534</v>
      </c>
      <c r="G280" s="315">
        <v>9897664</v>
      </c>
      <c r="H280" s="315">
        <v>2575112</v>
      </c>
      <c r="I280" s="315">
        <v>7322552</v>
      </c>
      <c r="J280" s="315">
        <v>7173705</v>
      </c>
      <c r="K280" s="315">
        <v>148847</v>
      </c>
      <c r="L280" s="315">
        <v>4213835</v>
      </c>
      <c r="M280" s="315">
        <v>3808339</v>
      </c>
      <c r="N280" s="315">
        <v>109163</v>
      </c>
      <c r="O280" s="315">
        <v>16033</v>
      </c>
      <c r="P280" s="315">
        <v>93130</v>
      </c>
      <c r="Q280" s="315">
        <v>69870</v>
      </c>
      <c r="R280" s="315">
        <v>226463</v>
      </c>
      <c r="S280" s="315">
        <v>-492360</v>
      </c>
      <c r="T280" s="315">
        <v>-481892</v>
      </c>
      <c r="U280" s="315">
        <v>-84297</v>
      </c>
      <c r="V280" s="315">
        <v>-8</v>
      </c>
      <c r="W280" s="315">
        <v>-373154</v>
      </c>
      <c r="X280" s="315">
        <v>0</v>
      </c>
      <c r="Y280" s="315">
        <v>-24433</v>
      </c>
      <c r="Z280" s="315">
        <v>-1279</v>
      </c>
      <c r="AA280" s="315">
        <v>-5737</v>
      </c>
      <c r="AB280" s="315">
        <v>-3452</v>
      </c>
      <c r="AC280" s="315">
        <v>-14534</v>
      </c>
      <c r="AD280" s="315">
        <v>3706941</v>
      </c>
      <c r="AE280" s="315">
        <v>478387</v>
      </c>
      <c r="AF280" s="315">
        <v>3228554</v>
      </c>
      <c r="AG280" s="315">
        <v>3158719</v>
      </c>
      <c r="AH280" s="315">
        <v>69835</v>
      </c>
      <c r="AI280" s="315">
        <v>3803571</v>
      </c>
      <c r="AJ280" s="315">
        <v>1504913</v>
      </c>
      <c r="AK280" s="315">
        <v>2252391</v>
      </c>
      <c r="AL280" s="315">
        <v>9788</v>
      </c>
      <c r="AM280" s="315">
        <v>124549</v>
      </c>
      <c r="AN280" s="315">
        <v>39823</v>
      </c>
      <c r="AO280" s="315">
        <v>22751</v>
      </c>
      <c r="AP280" s="315">
        <v>16778</v>
      </c>
      <c r="AQ280" s="315">
        <v>18141</v>
      </c>
      <c r="AR280" s="315">
        <v>-372729</v>
      </c>
      <c r="AS280" s="315">
        <v>68591</v>
      </c>
      <c r="AT280" s="315">
        <v>0</v>
      </c>
      <c r="AU280" s="315">
        <v>-14534</v>
      </c>
      <c r="AV280" s="315">
        <v>330858</v>
      </c>
      <c r="AW280" s="315">
        <v>5861</v>
      </c>
      <c r="AX280" s="315">
        <v>155132</v>
      </c>
      <c r="AY280" s="315">
        <v>12531</v>
      </c>
      <c r="AZ280" s="315">
        <v>93198</v>
      </c>
      <c r="BA280" s="315">
        <v>5122</v>
      </c>
      <c r="BB280" s="315">
        <v>44281</v>
      </c>
      <c r="BC280" s="315">
        <v>90944</v>
      </c>
      <c r="BD280" s="315">
        <v>78921</v>
      </c>
      <c r="BE280" s="315">
        <v>-78235</v>
      </c>
      <c r="BF280" s="315">
        <v>-77546</v>
      </c>
      <c r="BG280" s="315">
        <v>-61311</v>
      </c>
      <c r="BH280" s="315">
        <v>-16235</v>
      </c>
      <c r="BI280" s="315">
        <v>0</v>
      </c>
      <c r="BJ280" s="315">
        <v>-53198</v>
      </c>
      <c r="BK280" s="315">
        <v>-24348</v>
      </c>
      <c r="BL280" s="315">
        <v>-689</v>
      </c>
      <c r="BM280" s="315">
        <v>0</v>
      </c>
      <c r="BN280" s="315">
        <v>252623</v>
      </c>
      <c r="BO280" s="315">
        <v>54101</v>
      </c>
      <c r="BP280" s="315">
        <v>14210</v>
      </c>
      <c r="BQ280" s="315">
        <v>9684</v>
      </c>
      <c r="BR280" s="315">
        <v>458</v>
      </c>
      <c r="BS280" s="315">
        <v>5506</v>
      </c>
      <c r="BT280" s="315">
        <v>266</v>
      </c>
      <c r="BU280" s="315">
        <v>0</v>
      </c>
      <c r="BV280" s="315">
        <v>1172</v>
      </c>
      <c r="BW280" s="315">
        <v>4068</v>
      </c>
      <c r="BX280" s="315">
        <v>93821</v>
      </c>
      <c r="BY280" s="315">
        <v>74709</v>
      </c>
      <c r="BZ280" s="315">
        <v>134</v>
      </c>
      <c r="CA280" s="315">
        <v>164784</v>
      </c>
      <c r="CB280" s="315">
        <v>-31962</v>
      </c>
      <c r="CC280" s="315">
        <v>-31962</v>
      </c>
      <c r="CD280" s="315">
        <v>0</v>
      </c>
      <c r="CE280" s="315">
        <v>132822</v>
      </c>
      <c r="CF280" s="315">
        <v>142380</v>
      </c>
      <c r="CG280" s="315">
        <v>5</v>
      </c>
      <c r="CH280" s="315">
        <v>-9563</v>
      </c>
      <c r="CI280" s="315">
        <v>5618396</v>
      </c>
      <c r="CJ280" s="315">
        <v>1264683</v>
      </c>
      <c r="CK280" s="315">
        <v>4353713</v>
      </c>
      <c r="CL280" s="315">
        <v>3916295</v>
      </c>
      <c r="CM280" s="315">
        <v>49106</v>
      </c>
      <c r="CN280" s="315">
        <v>388312</v>
      </c>
      <c r="CO280" s="315">
        <v>0</v>
      </c>
      <c r="CP280" s="315">
        <v>0</v>
      </c>
      <c r="CQ280" s="315">
        <v>388312</v>
      </c>
      <c r="CR280" s="315">
        <v>-2477345</v>
      </c>
      <c r="CS280" s="315">
        <v>-285680</v>
      </c>
      <c r="CT280" s="315">
        <v>-206658</v>
      </c>
      <c r="CU280" s="315">
        <v>-3286</v>
      </c>
      <c r="CV280" s="315">
        <v>-162</v>
      </c>
      <c r="CW280" s="315">
        <v>-75574</v>
      </c>
      <c r="CX280" s="315">
        <v>-2023599</v>
      </c>
      <c r="CY280" s="315">
        <v>-1988994</v>
      </c>
      <c r="CZ280" s="315">
        <v>-28658</v>
      </c>
      <c r="DA280" s="315">
        <v>-5947</v>
      </c>
      <c r="DB280" s="315">
        <v>0</v>
      </c>
      <c r="DC280" s="315">
        <v>-168066</v>
      </c>
      <c r="DD280" s="315">
        <v>3141051</v>
      </c>
      <c r="DE280" s="315">
        <v>127848</v>
      </c>
      <c r="DF280" s="315">
        <v>3013203</v>
      </c>
      <c r="DG280" s="315">
        <v>2950739</v>
      </c>
      <c r="DH280" s="315">
        <v>62464</v>
      </c>
      <c r="DI280" s="315">
        <v>1839531</v>
      </c>
      <c r="DJ280" s="315">
        <v>85854</v>
      </c>
      <c r="DK280" s="315">
        <v>35602</v>
      </c>
      <c r="DL280" s="315">
        <v>1248</v>
      </c>
      <c r="DM280" s="315">
        <v>958859</v>
      </c>
      <c r="DN280" s="315">
        <v>636761</v>
      </c>
      <c r="DO280" s="315">
        <v>117211</v>
      </c>
      <c r="DP280" s="315"/>
      <c r="DQ280" s="315">
        <v>3946</v>
      </c>
      <c r="DR280" s="315">
        <v>50</v>
      </c>
      <c r="DS280" s="315">
        <v>-30009</v>
      </c>
      <c r="DT280" s="315">
        <v>-1760</v>
      </c>
      <c r="DU280" s="315">
        <v>-221</v>
      </c>
      <c r="DV280" s="315">
        <v>-5</v>
      </c>
      <c r="DW280" s="315">
        <v>-23369</v>
      </c>
      <c r="DX280" s="315">
        <v>-18659</v>
      </c>
      <c r="DY280" s="315">
        <v>-364</v>
      </c>
      <c r="DZ280" s="315">
        <v>-4346</v>
      </c>
      <c r="EA280" s="315">
        <v>-4607</v>
      </c>
      <c r="EB280" s="315">
        <v>-45</v>
      </c>
      <c r="EC280" s="315"/>
      <c r="ED280" s="315">
        <v>0</v>
      </c>
      <c r="EE280" s="315">
        <v>-2</v>
      </c>
      <c r="EF280" s="315">
        <v>1809522</v>
      </c>
      <c r="EG280" s="315">
        <v>728727</v>
      </c>
      <c r="EH280" s="315">
        <v>1080795</v>
      </c>
      <c r="EI280" s="315">
        <v>1064247</v>
      </c>
      <c r="EJ280" s="315">
        <v>16548</v>
      </c>
      <c r="EK280" s="315">
        <v>84094</v>
      </c>
      <c r="EL280" s="315">
        <v>37835</v>
      </c>
      <c r="EM280" s="315">
        <v>46259</v>
      </c>
      <c r="EN280" s="315">
        <v>45377</v>
      </c>
      <c r="EO280" s="315">
        <v>882</v>
      </c>
      <c r="EP280" s="315">
        <v>35381</v>
      </c>
      <c r="EQ280" s="315">
        <v>20213</v>
      </c>
      <c r="ER280" s="315">
        <v>15168</v>
      </c>
      <c r="ES280" s="315">
        <v>14873</v>
      </c>
      <c r="ET280" s="315">
        <v>295</v>
      </c>
      <c r="EU280" s="315">
        <v>1243</v>
      </c>
      <c r="EV280" s="315">
        <v>-109</v>
      </c>
      <c r="EW280" s="315">
        <v>1352</v>
      </c>
      <c r="EX280" s="315">
        <v>1327</v>
      </c>
      <c r="EY280" s="315">
        <v>25</v>
      </c>
      <c r="EZ280" s="315">
        <v>935490</v>
      </c>
      <c r="FA280" s="315">
        <v>372646</v>
      </c>
      <c r="FB280" s="315">
        <v>562844</v>
      </c>
      <c r="FC280" s="315">
        <v>552514</v>
      </c>
      <c r="FD280" s="315">
        <v>10330</v>
      </c>
      <c r="FE280" s="315">
        <v>632154</v>
      </c>
      <c r="FF280" s="315">
        <v>292066</v>
      </c>
      <c r="FG280" s="315">
        <v>340088</v>
      </c>
      <c r="FH280" s="315">
        <v>335072</v>
      </c>
      <c r="FI280" s="315">
        <v>5016</v>
      </c>
      <c r="FJ280" s="315">
        <v>117166</v>
      </c>
      <c r="FK280" s="315">
        <v>2082</v>
      </c>
      <c r="FL280" s="315">
        <v>115084</v>
      </c>
      <c r="FM280" s="315">
        <v>115084</v>
      </c>
      <c r="FN280" s="315"/>
      <c r="FO280" s="315"/>
      <c r="FP280" s="315">
        <v>3946</v>
      </c>
      <c r="FQ280" s="315">
        <v>48</v>
      </c>
      <c r="FR280" s="315">
        <v>898414</v>
      </c>
      <c r="FS280" s="315">
        <v>-43709</v>
      </c>
      <c r="FT280" s="315">
        <v>854705</v>
      </c>
      <c r="FU280" s="315">
        <v>366627</v>
      </c>
      <c r="FV280" s="315">
        <v>313798</v>
      </c>
      <c r="FW280" s="315">
        <v>52829</v>
      </c>
      <c r="FX280" s="315">
        <v>175820</v>
      </c>
      <c r="FY280" s="315">
        <v>212308</v>
      </c>
      <c r="FZ280" s="315"/>
      <c r="GA280" s="315"/>
      <c r="GB280" s="315">
        <v>281</v>
      </c>
      <c r="GC280" s="315">
        <v>-2419</v>
      </c>
      <c r="GD280" s="315">
        <v>-31386</v>
      </c>
      <c r="GE280" s="315">
        <v>0</v>
      </c>
      <c r="GF280" s="315">
        <v>28967</v>
      </c>
      <c r="GG280" s="315">
        <v>102088</v>
      </c>
      <c r="GH280" s="315">
        <v>5754</v>
      </c>
      <c r="GI280" s="315">
        <v>408</v>
      </c>
      <c r="GJ280" s="315">
        <v>95926</v>
      </c>
      <c r="GL280"/>
      <c r="GM280"/>
      <c r="GN280"/>
      <c r="GO280"/>
    </row>
    <row r="281" spans="1:197">
      <c r="A281" s="98" t="s">
        <v>35</v>
      </c>
      <c r="B281" s="98">
        <v>10</v>
      </c>
      <c r="C281" s="98" t="s">
        <v>226</v>
      </c>
      <c r="D281" s="315">
        <v>35300911</v>
      </c>
      <c r="E281" s="315">
        <v>-3041302</v>
      </c>
      <c r="F281" s="315">
        <v>-14535</v>
      </c>
      <c r="G281" s="315">
        <v>32245074</v>
      </c>
      <c r="H281" s="315">
        <v>25508935</v>
      </c>
      <c r="I281" s="315">
        <v>6736139</v>
      </c>
      <c r="J281" s="315">
        <v>6587292</v>
      </c>
      <c r="K281" s="315">
        <v>148847</v>
      </c>
      <c r="L281" s="315">
        <v>9315860</v>
      </c>
      <c r="M281" s="315">
        <v>7758948</v>
      </c>
      <c r="N281" s="315">
        <v>132946</v>
      </c>
      <c r="O281" s="315">
        <v>26629</v>
      </c>
      <c r="P281" s="315">
        <v>106317</v>
      </c>
      <c r="Q281" s="315">
        <v>85083</v>
      </c>
      <c r="R281" s="315">
        <v>1338883</v>
      </c>
      <c r="S281" s="315">
        <v>-745783</v>
      </c>
      <c r="T281" s="315">
        <v>-737467</v>
      </c>
      <c r="U281" s="315">
        <v>-82288</v>
      </c>
      <c r="V281" s="315">
        <v>-7</v>
      </c>
      <c r="W281" s="315">
        <v>-626722</v>
      </c>
      <c r="X281" s="315">
        <v>0</v>
      </c>
      <c r="Y281" s="315">
        <v>-28450</v>
      </c>
      <c r="Z281" s="315">
        <v>-4172</v>
      </c>
      <c r="AA281" s="315">
        <v>-4144</v>
      </c>
      <c r="AB281" s="315">
        <v>0</v>
      </c>
      <c r="AC281" s="315">
        <v>-14535</v>
      </c>
      <c r="AD281" s="315">
        <v>8555542</v>
      </c>
      <c r="AE281" s="315">
        <v>5913402</v>
      </c>
      <c r="AF281" s="315">
        <v>2642140</v>
      </c>
      <c r="AG281" s="315">
        <v>2572306</v>
      </c>
      <c r="AH281" s="315">
        <v>69834</v>
      </c>
      <c r="AI281" s="315">
        <v>7755348</v>
      </c>
      <c r="AJ281" s="315">
        <v>1574818</v>
      </c>
      <c r="AK281" s="315">
        <v>2367312</v>
      </c>
      <c r="AL281" s="315">
        <v>3767702</v>
      </c>
      <c r="AM281" s="315">
        <v>254494</v>
      </c>
      <c r="AN281" s="315">
        <v>372592</v>
      </c>
      <c r="AO281" s="315">
        <v>35443</v>
      </c>
      <c r="AP281" s="315">
        <v>13701</v>
      </c>
      <c r="AQ281" s="315">
        <v>662109</v>
      </c>
      <c r="AR281" s="315">
        <v>-604521</v>
      </c>
      <c r="AS281" s="315">
        <v>80911</v>
      </c>
      <c r="AT281" s="315">
        <v>0</v>
      </c>
      <c r="AU281" s="315">
        <v>-14535</v>
      </c>
      <c r="AV281" s="315">
        <v>11573554</v>
      </c>
      <c r="AW281" s="315">
        <v>11087128</v>
      </c>
      <c r="AX281" s="315">
        <v>118134</v>
      </c>
      <c r="AY281" s="315">
        <v>11590</v>
      </c>
      <c r="AZ281" s="315">
        <v>19695</v>
      </c>
      <c r="BA281" s="315">
        <v>8950</v>
      </c>
      <c r="BB281" s="315">
        <v>77899</v>
      </c>
      <c r="BC281" s="315">
        <v>89612</v>
      </c>
      <c r="BD281" s="315">
        <v>278680</v>
      </c>
      <c r="BE281" s="315">
        <v>-184612</v>
      </c>
      <c r="BF281" s="315">
        <v>-184271</v>
      </c>
      <c r="BG281" s="315">
        <v>-136753</v>
      </c>
      <c r="BH281" s="315">
        <v>-47518</v>
      </c>
      <c r="BI281" s="315">
        <v>-118278</v>
      </c>
      <c r="BJ281" s="315">
        <v>-18142</v>
      </c>
      <c r="BK281" s="315">
        <v>-47851</v>
      </c>
      <c r="BL281" s="315">
        <v>-341</v>
      </c>
      <c r="BM281" s="315">
        <v>0</v>
      </c>
      <c r="BN281" s="315">
        <v>11388942</v>
      </c>
      <c r="BO281" s="315">
        <v>108056</v>
      </c>
      <c r="BP281" s="315">
        <v>155323</v>
      </c>
      <c r="BQ281" s="315">
        <v>15085</v>
      </c>
      <c r="BR281" s="315">
        <v>7</v>
      </c>
      <c r="BS281" s="315">
        <v>11086941</v>
      </c>
      <c r="BT281" s="315">
        <v>3757167</v>
      </c>
      <c r="BU281" s="315">
        <v>6244473</v>
      </c>
      <c r="BV281" s="315">
        <v>1078574</v>
      </c>
      <c r="BW281" s="315">
        <v>6727</v>
      </c>
      <c r="BX281" s="315">
        <v>-18619</v>
      </c>
      <c r="BY281" s="315">
        <v>42094</v>
      </c>
      <c r="BZ281" s="315">
        <v>55</v>
      </c>
      <c r="CA281" s="315">
        <v>235995</v>
      </c>
      <c r="CB281" s="315">
        <v>-25589</v>
      </c>
      <c r="CC281" s="315">
        <v>-25589</v>
      </c>
      <c r="CD281" s="315">
        <v>0</v>
      </c>
      <c r="CE281" s="315">
        <v>210406</v>
      </c>
      <c r="CF281" s="315">
        <v>156451</v>
      </c>
      <c r="CG281" s="315">
        <v>29184</v>
      </c>
      <c r="CH281" s="315">
        <v>24771</v>
      </c>
      <c r="CI281" s="315">
        <v>11891411</v>
      </c>
      <c r="CJ281" s="315">
        <v>1346510</v>
      </c>
      <c r="CK281" s="315">
        <v>10544901</v>
      </c>
      <c r="CL281" s="315">
        <v>3509729</v>
      </c>
      <c r="CM281" s="315">
        <v>6517223</v>
      </c>
      <c r="CN281" s="315">
        <v>517949</v>
      </c>
      <c r="CO281" s="315">
        <v>10313</v>
      </c>
      <c r="CP281" s="315">
        <v>0</v>
      </c>
      <c r="CQ281" s="315">
        <v>507636</v>
      </c>
      <c r="CR281" s="315">
        <v>-1953229</v>
      </c>
      <c r="CS281" s="315">
        <v>-347935</v>
      </c>
      <c r="CT281" s="315">
        <v>-252419</v>
      </c>
      <c r="CU281" s="315">
        <v>-10547</v>
      </c>
      <c r="CV281" s="315">
        <v>-477</v>
      </c>
      <c r="CW281" s="315">
        <v>-84492</v>
      </c>
      <c r="CX281" s="315">
        <v>-1171720</v>
      </c>
      <c r="CY281" s="315">
        <v>-1143895</v>
      </c>
      <c r="CZ281" s="315">
        <v>-11916</v>
      </c>
      <c r="DA281" s="315">
        <v>-15909</v>
      </c>
      <c r="DB281" s="315">
        <v>-433574</v>
      </c>
      <c r="DC281" s="315">
        <v>0</v>
      </c>
      <c r="DD281" s="315">
        <v>9938182</v>
      </c>
      <c r="DE281" s="315">
        <v>6924980</v>
      </c>
      <c r="DF281" s="315">
        <v>3013202</v>
      </c>
      <c r="DG281" s="315">
        <v>2950739</v>
      </c>
      <c r="DH281" s="315">
        <v>62463</v>
      </c>
      <c r="DI281" s="315">
        <v>1797430</v>
      </c>
      <c r="DJ281" s="315">
        <v>66476</v>
      </c>
      <c r="DK281" s="315">
        <v>34584</v>
      </c>
      <c r="DL281" s="315">
        <v>1232</v>
      </c>
      <c r="DM281" s="315">
        <v>945367</v>
      </c>
      <c r="DN281" s="315">
        <v>564766</v>
      </c>
      <c r="DO281" s="315">
        <v>110441</v>
      </c>
      <c r="DP281" s="315"/>
      <c r="DQ281" s="315">
        <v>70125</v>
      </c>
      <c r="DR281" s="315">
        <v>4439</v>
      </c>
      <c r="DS281" s="315">
        <v>-30287</v>
      </c>
      <c r="DT281" s="315">
        <v>-7960</v>
      </c>
      <c r="DU281" s="315">
        <v>-2788</v>
      </c>
      <c r="DV281" s="315">
        <v>-13</v>
      </c>
      <c r="DW281" s="315">
        <v>-10106</v>
      </c>
      <c r="DX281" s="315">
        <v>-6233</v>
      </c>
      <c r="DY281" s="315">
        <v>-180</v>
      </c>
      <c r="DZ281" s="315">
        <v>-3693</v>
      </c>
      <c r="EA281" s="315">
        <v>-9068</v>
      </c>
      <c r="EB281" s="315">
        <v>-102</v>
      </c>
      <c r="EC281" s="315"/>
      <c r="ED281" s="315">
        <v>0</v>
      </c>
      <c r="EE281" s="315">
        <v>-250</v>
      </c>
      <c r="EF281" s="315">
        <v>1767143</v>
      </c>
      <c r="EG281" s="315">
        <v>686346</v>
      </c>
      <c r="EH281" s="315">
        <v>1080797</v>
      </c>
      <c r="EI281" s="315">
        <v>1064247</v>
      </c>
      <c r="EJ281" s="315">
        <v>16550</v>
      </c>
      <c r="EK281" s="315">
        <v>58516</v>
      </c>
      <c r="EL281" s="315">
        <v>12258</v>
      </c>
      <c r="EM281" s="315">
        <v>46258</v>
      </c>
      <c r="EN281" s="315">
        <v>45377</v>
      </c>
      <c r="EO281" s="315">
        <v>881</v>
      </c>
      <c r="EP281" s="315">
        <v>31796</v>
      </c>
      <c r="EQ281" s="315">
        <v>16629</v>
      </c>
      <c r="ER281" s="315">
        <v>15167</v>
      </c>
      <c r="ES281" s="315">
        <v>14873</v>
      </c>
      <c r="ET281" s="315">
        <v>294</v>
      </c>
      <c r="EU281" s="315">
        <v>1219</v>
      </c>
      <c r="EV281" s="315">
        <v>-133</v>
      </c>
      <c r="EW281" s="315">
        <v>1352</v>
      </c>
      <c r="EX281" s="315">
        <v>1326</v>
      </c>
      <c r="EY281" s="315">
        <v>26</v>
      </c>
      <c r="EZ281" s="315">
        <v>935261</v>
      </c>
      <c r="FA281" s="315">
        <v>372414</v>
      </c>
      <c r="FB281" s="315">
        <v>562847</v>
      </c>
      <c r="FC281" s="315">
        <v>552515</v>
      </c>
      <c r="FD281" s="315">
        <v>10332</v>
      </c>
      <c r="FE281" s="315">
        <v>555698</v>
      </c>
      <c r="FF281" s="315">
        <v>215609</v>
      </c>
      <c r="FG281" s="315">
        <v>340089</v>
      </c>
      <c r="FH281" s="315">
        <v>335072</v>
      </c>
      <c r="FI281" s="315">
        <v>5017</v>
      </c>
      <c r="FJ281" s="315">
        <v>110339</v>
      </c>
      <c r="FK281" s="315">
        <v>-4745</v>
      </c>
      <c r="FL281" s="315">
        <v>115084</v>
      </c>
      <c r="FM281" s="315">
        <v>115084</v>
      </c>
      <c r="FN281" s="315"/>
      <c r="FO281" s="315"/>
      <c r="FP281" s="315">
        <v>70125</v>
      </c>
      <c r="FQ281" s="315">
        <v>4189</v>
      </c>
      <c r="FR281" s="315">
        <v>486661</v>
      </c>
      <c r="FS281" s="315">
        <v>-101802</v>
      </c>
      <c r="FT281" s="315">
        <v>384859</v>
      </c>
      <c r="FU281" s="315">
        <v>3344</v>
      </c>
      <c r="FV281" s="315">
        <v>2660</v>
      </c>
      <c r="FW281" s="315">
        <v>684</v>
      </c>
      <c r="FX281" s="315">
        <v>184444</v>
      </c>
      <c r="FY281" s="315">
        <v>106199</v>
      </c>
      <c r="FZ281" s="315"/>
      <c r="GA281" s="315"/>
      <c r="GB281" s="315">
        <v>89</v>
      </c>
      <c r="GC281" s="315">
        <v>-36230</v>
      </c>
      <c r="GD281" s="315">
        <v>-31640</v>
      </c>
      <c r="GE281" s="315">
        <v>8</v>
      </c>
      <c r="GF281" s="315">
        <v>-4598</v>
      </c>
      <c r="GG281" s="315">
        <v>127013</v>
      </c>
      <c r="GH281" s="315">
        <v>12689</v>
      </c>
      <c r="GI281" s="315">
        <v>436</v>
      </c>
      <c r="GJ281" s="315">
        <v>113888</v>
      </c>
      <c r="GL281"/>
      <c r="GM281"/>
      <c r="GN281"/>
      <c r="GO281"/>
    </row>
    <row r="282" spans="1:197">
      <c r="A282" s="98" t="s">
        <v>35</v>
      </c>
      <c r="B282" s="98">
        <v>11</v>
      </c>
      <c r="C282" s="98" t="s">
        <v>227</v>
      </c>
      <c r="D282" s="315">
        <v>16314392</v>
      </c>
      <c r="E282" s="315">
        <v>-3500501</v>
      </c>
      <c r="F282" s="315">
        <v>-14534</v>
      </c>
      <c r="G282" s="315">
        <v>12799357</v>
      </c>
      <c r="H282" s="315">
        <v>5764410</v>
      </c>
      <c r="I282" s="315">
        <v>7034947</v>
      </c>
      <c r="J282" s="315">
        <v>6886103</v>
      </c>
      <c r="K282" s="315">
        <v>148844</v>
      </c>
      <c r="L282" s="315">
        <v>7446922</v>
      </c>
      <c r="M282" s="315">
        <v>4004456</v>
      </c>
      <c r="N282" s="315">
        <v>2999667</v>
      </c>
      <c r="O282" s="315">
        <v>2898482</v>
      </c>
      <c r="P282" s="315">
        <v>101185</v>
      </c>
      <c r="Q282" s="315">
        <v>73611</v>
      </c>
      <c r="R282" s="315">
        <v>369188</v>
      </c>
      <c r="S282" s="315">
        <v>-544320</v>
      </c>
      <c r="T282" s="315">
        <v>-527376</v>
      </c>
      <c r="U282" s="315">
        <v>-81459</v>
      </c>
      <c r="V282" s="315">
        <v>-5</v>
      </c>
      <c r="W282" s="315">
        <v>-416688</v>
      </c>
      <c r="X282" s="315">
        <v>0</v>
      </c>
      <c r="Y282" s="315">
        <v>-29224</v>
      </c>
      <c r="Z282" s="315">
        <v>-11821</v>
      </c>
      <c r="AA282" s="315">
        <v>-5123</v>
      </c>
      <c r="AB282" s="315">
        <v>0</v>
      </c>
      <c r="AC282" s="315">
        <v>-14534</v>
      </c>
      <c r="AD282" s="315">
        <v>6888068</v>
      </c>
      <c r="AE282" s="315">
        <v>3665396</v>
      </c>
      <c r="AF282" s="315">
        <v>3222672</v>
      </c>
      <c r="AG282" s="315">
        <v>3152839</v>
      </c>
      <c r="AH282" s="315">
        <v>69833</v>
      </c>
      <c r="AI282" s="315">
        <v>4000321</v>
      </c>
      <c r="AJ282" s="315">
        <v>1588979</v>
      </c>
      <c r="AK282" s="315">
        <v>2344386</v>
      </c>
      <c r="AL282" s="315">
        <v>31770</v>
      </c>
      <c r="AM282" s="315">
        <v>212204</v>
      </c>
      <c r="AN282" s="315">
        <v>45127</v>
      </c>
      <c r="AO282" s="315">
        <v>43294</v>
      </c>
      <c r="AP282" s="315">
        <v>49014</v>
      </c>
      <c r="AQ282" s="315">
        <v>18561</v>
      </c>
      <c r="AR282" s="315">
        <v>2472291</v>
      </c>
      <c r="AS282" s="315">
        <v>61790</v>
      </c>
      <c r="AT282" s="315">
        <v>0</v>
      </c>
      <c r="AU282" s="315">
        <v>-14534</v>
      </c>
      <c r="AV282" s="315">
        <v>768783</v>
      </c>
      <c r="AW282" s="315">
        <v>40900</v>
      </c>
      <c r="AX282" s="315">
        <v>116243</v>
      </c>
      <c r="AY282" s="315">
        <v>20469</v>
      </c>
      <c r="AZ282" s="315">
        <v>7330</v>
      </c>
      <c r="BA282" s="315">
        <v>9488</v>
      </c>
      <c r="BB282" s="315">
        <v>78956</v>
      </c>
      <c r="BC282" s="315">
        <v>519032</v>
      </c>
      <c r="BD282" s="315">
        <v>92608</v>
      </c>
      <c r="BE282" s="315">
        <v>-1322397</v>
      </c>
      <c r="BF282" s="315">
        <v>-1321431</v>
      </c>
      <c r="BG282" s="315">
        <v>-1253730</v>
      </c>
      <c r="BH282" s="315">
        <v>-67701</v>
      </c>
      <c r="BI282" s="315">
        <v>-1219008</v>
      </c>
      <c r="BJ282" s="315">
        <v>-6277</v>
      </c>
      <c r="BK282" s="315">
        <v>-96146</v>
      </c>
      <c r="BL282" s="315">
        <v>-966</v>
      </c>
      <c r="BM282" s="315">
        <v>0</v>
      </c>
      <c r="BN282" s="315">
        <v>-553614</v>
      </c>
      <c r="BO282" s="315">
        <v>57093</v>
      </c>
      <c r="BP282" s="315">
        <v>16677</v>
      </c>
      <c r="BQ282" s="315">
        <v>18420</v>
      </c>
      <c r="BR282" s="315">
        <v>0</v>
      </c>
      <c r="BS282" s="315">
        <v>40253</v>
      </c>
      <c r="BT282" s="315">
        <v>14014</v>
      </c>
      <c r="BU282" s="315">
        <v>2776</v>
      </c>
      <c r="BV282" s="315">
        <v>3250</v>
      </c>
      <c r="BW282" s="315">
        <v>20213</v>
      </c>
      <c r="BX282" s="315">
        <v>-1137487</v>
      </c>
      <c r="BY282" s="315">
        <v>451331</v>
      </c>
      <c r="BZ282" s="315">
        <v>99</v>
      </c>
      <c r="CA282" s="315">
        <v>165024</v>
      </c>
      <c r="CB282" s="315">
        <v>-42790</v>
      </c>
      <c r="CC282" s="315">
        <v>-42790</v>
      </c>
      <c r="CD282" s="315">
        <v>0</v>
      </c>
      <c r="CE282" s="315">
        <v>122234</v>
      </c>
      <c r="CF282" s="315">
        <v>141939</v>
      </c>
      <c r="CG282" s="315">
        <v>97</v>
      </c>
      <c r="CH282" s="315">
        <v>-19802</v>
      </c>
      <c r="CI282" s="315">
        <v>5264939</v>
      </c>
      <c r="CJ282" s="315">
        <v>1351010</v>
      </c>
      <c r="CK282" s="315">
        <v>3913929</v>
      </c>
      <c r="CL282" s="315">
        <v>3438413</v>
      </c>
      <c r="CM282" s="315">
        <v>99011</v>
      </c>
      <c r="CN282" s="315">
        <v>376505</v>
      </c>
      <c r="CO282" s="315">
        <v>0</v>
      </c>
      <c r="CP282" s="315">
        <v>101</v>
      </c>
      <c r="CQ282" s="315">
        <v>376404</v>
      </c>
      <c r="CR282" s="315">
        <v>-1528595</v>
      </c>
      <c r="CS282" s="315">
        <v>-263343</v>
      </c>
      <c r="CT282" s="315">
        <v>-164476</v>
      </c>
      <c r="CU282" s="315">
        <v>-7501</v>
      </c>
      <c r="CV282" s="315">
        <v>-424</v>
      </c>
      <c r="CW282" s="315">
        <v>-90942</v>
      </c>
      <c r="CX282" s="315">
        <v>-1255252</v>
      </c>
      <c r="CY282" s="315">
        <v>-1197344</v>
      </c>
      <c r="CZ282" s="315">
        <v>-56405</v>
      </c>
      <c r="DA282" s="315">
        <v>-1503</v>
      </c>
      <c r="DB282" s="315">
        <v>0</v>
      </c>
      <c r="DC282" s="315">
        <v>-10000</v>
      </c>
      <c r="DD282" s="315">
        <v>3736344</v>
      </c>
      <c r="DE282" s="315">
        <v>804905</v>
      </c>
      <c r="DF282" s="315">
        <v>2931439</v>
      </c>
      <c r="DG282" s="315">
        <v>2868975</v>
      </c>
      <c r="DH282" s="315">
        <v>62464</v>
      </c>
      <c r="DI282" s="315">
        <v>1703965</v>
      </c>
      <c r="DJ282" s="315">
        <v>102893</v>
      </c>
      <c r="DK282" s="315">
        <v>28474</v>
      </c>
      <c r="DL282" s="315">
        <v>2917</v>
      </c>
      <c r="DM282" s="315">
        <v>899082</v>
      </c>
      <c r="DN282" s="315">
        <v>567283</v>
      </c>
      <c r="DO282" s="315">
        <v>103086</v>
      </c>
      <c r="DP282" s="315"/>
      <c r="DQ282" s="315">
        <v>167</v>
      </c>
      <c r="DR282" s="315">
        <v>63</v>
      </c>
      <c r="DS282" s="315">
        <v>-12649</v>
      </c>
      <c r="DT282" s="315">
        <v>-1695</v>
      </c>
      <c r="DU282" s="315">
        <v>-179</v>
      </c>
      <c r="DV282" s="315">
        <v>-4</v>
      </c>
      <c r="DW282" s="315">
        <v>-10031</v>
      </c>
      <c r="DX282" s="315">
        <v>-7117</v>
      </c>
      <c r="DY282" s="315">
        <v>-752</v>
      </c>
      <c r="DZ282" s="315">
        <v>-2162</v>
      </c>
      <c r="EA282" s="315">
        <v>-573</v>
      </c>
      <c r="EB282" s="315">
        <v>-149</v>
      </c>
      <c r="EC282" s="315"/>
      <c r="ED282" s="315">
        <v>0</v>
      </c>
      <c r="EE282" s="315">
        <v>-18</v>
      </c>
      <c r="EF282" s="315">
        <v>1691316</v>
      </c>
      <c r="EG282" s="315">
        <v>810480</v>
      </c>
      <c r="EH282" s="315">
        <v>880836</v>
      </c>
      <c r="EI282" s="315">
        <v>864289</v>
      </c>
      <c r="EJ282" s="315">
        <v>16547</v>
      </c>
      <c r="EK282" s="315">
        <v>101198</v>
      </c>
      <c r="EL282" s="315">
        <v>62802</v>
      </c>
      <c r="EM282" s="315">
        <v>38396</v>
      </c>
      <c r="EN282" s="315">
        <v>37515</v>
      </c>
      <c r="EO282" s="315">
        <v>881</v>
      </c>
      <c r="EP282" s="315">
        <v>28295</v>
      </c>
      <c r="EQ282" s="315">
        <v>15605</v>
      </c>
      <c r="ER282" s="315">
        <v>12690</v>
      </c>
      <c r="ES282" s="315">
        <v>12397</v>
      </c>
      <c r="ET282" s="315">
        <v>293</v>
      </c>
      <c r="EU282" s="315">
        <v>2913</v>
      </c>
      <c r="EV282" s="315">
        <v>1818</v>
      </c>
      <c r="EW282" s="315">
        <v>1095</v>
      </c>
      <c r="EX282" s="315">
        <v>1068</v>
      </c>
      <c r="EY282" s="315">
        <v>27</v>
      </c>
      <c r="EZ282" s="315">
        <v>889051</v>
      </c>
      <c r="FA282" s="315">
        <v>425821</v>
      </c>
      <c r="FB282" s="315">
        <v>463230</v>
      </c>
      <c r="FC282" s="315">
        <v>452901</v>
      </c>
      <c r="FD282" s="315">
        <v>10329</v>
      </c>
      <c r="FE282" s="315">
        <v>566710</v>
      </c>
      <c r="FF282" s="315">
        <v>294461</v>
      </c>
      <c r="FG282" s="315">
        <v>272249</v>
      </c>
      <c r="FH282" s="315">
        <v>267232</v>
      </c>
      <c r="FI282" s="315">
        <v>5017</v>
      </c>
      <c r="FJ282" s="315">
        <v>102937</v>
      </c>
      <c r="FK282" s="315">
        <v>9761</v>
      </c>
      <c r="FL282" s="315">
        <v>93176</v>
      </c>
      <c r="FM282" s="315">
        <v>93176</v>
      </c>
      <c r="FN282" s="315"/>
      <c r="FO282" s="315"/>
      <c r="FP282" s="315">
        <v>167</v>
      </c>
      <c r="FQ282" s="315">
        <v>45</v>
      </c>
      <c r="FR282" s="315">
        <v>964759</v>
      </c>
      <c r="FS282" s="315">
        <v>-49750</v>
      </c>
      <c r="FT282" s="315">
        <v>915009</v>
      </c>
      <c r="FU282" s="315">
        <v>430357</v>
      </c>
      <c r="FV282" s="315">
        <v>429960</v>
      </c>
      <c r="FW282" s="315">
        <v>397</v>
      </c>
      <c r="FX282" s="315">
        <v>159752</v>
      </c>
      <c r="FY282" s="315">
        <v>121393</v>
      </c>
      <c r="FZ282" s="315"/>
      <c r="GA282" s="315"/>
      <c r="GB282" s="315">
        <v>9205</v>
      </c>
      <c r="GC282" s="315">
        <v>79243</v>
      </c>
      <c r="GD282" s="315">
        <v>-31390</v>
      </c>
      <c r="GE282" s="315">
        <v>0</v>
      </c>
      <c r="GF282" s="315">
        <v>110633</v>
      </c>
      <c r="GG282" s="315">
        <v>115059</v>
      </c>
      <c r="GH282" s="315">
        <v>18972</v>
      </c>
      <c r="GI282" s="315">
        <v>481</v>
      </c>
      <c r="GJ282" s="315">
        <v>95606</v>
      </c>
      <c r="GL282"/>
      <c r="GM282"/>
      <c r="GN282"/>
      <c r="GO282"/>
    </row>
    <row r="283" spans="1:197">
      <c r="A283" s="98" t="s">
        <v>35</v>
      </c>
      <c r="B283" s="98">
        <v>12</v>
      </c>
      <c r="C283" s="98" t="s">
        <v>228</v>
      </c>
      <c r="D283" s="315">
        <v>18389269</v>
      </c>
      <c r="E283" s="315">
        <v>-4759521</v>
      </c>
      <c r="F283" s="315">
        <v>-14535</v>
      </c>
      <c r="G283" s="315">
        <v>13615213</v>
      </c>
      <c r="H283" s="315">
        <v>5249692</v>
      </c>
      <c r="I283" s="315">
        <v>8365521</v>
      </c>
      <c r="J283" s="315">
        <v>8216673</v>
      </c>
      <c r="K283" s="315">
        <v>148848</v>
      </c>
      <c r="L283" s="315">
        <v>5458525</v>
      </c>
      <c r="M283" s="315">
        <v>4957694</v>
      </c>
      <c r="N283" s="315">
        <v>122633</v>
      </c>
      <c r="O283" s="315">
        <v>35611</v>
      </c>
      <c r="P283" s="315">
        <v>87022</v>
      </c>
      <c r="Q283" s="315">
        <v>90497</v>
      </c>
      <c r="R283" s="315">
        <v>287701</v>
      </c>
      <c r="S283" s="315">
        <v>-575736</v>
      </c>
      <c r="T283" s="315">
        <v>-500807</v>
      </c>
      <c r="U283" s="315">
        <v>-79558</v>
      </c>
      <c r="V283" s="315">
        <v>-5</v>
      </c>
      <c r="W283" s="315">
        <v>-398115</v>
      </c>
      <c r="X283" s="315">
        <v>0</v>
      </c>
      <c r="Y283" s="315">
        <v>-23129</v>
      </c>
      <c r="Z283" s="315">
        <v>-5176</v>
      </c>
      <c r="AA283" s="315">
        <v>-3544</v>
      </c>
      <c r="AB283" s="315">
        <v>-66209</v>
      </c>
      <c r="AC283" s="315">
        <v>-14535</v>
      </c>
      <c r="AD283" s="315">
        <v>4868254</v>
      </c>
      <c r="AE283" s="315">
        <v>878453</v>
      </c>
      <c r="AF283" s="315">
        <v>3989801</v>
      </c>
      <c r="AG283" s="315">
        <v>3919965</v>
      </c>
      <c r="AH283" s="315">
        <v>69836</v>
      </c>
      <c r="AI283" s="315">
        <v>4954719</v>
      </c>
      <c r="AJ283" s="315">
        <v>2376283</v>
      </c>
      <c r="AK283" s="315">
        <v>2529275</v>
      </c>
      <c r="AL283" s="315">
        <v>14271</v>
      </c>
      <c r="AM283" s="315">
        <v>76674</v>
      </c>
      <c r="AN283" s="315">
        <v>41210</v>
      </c>
      <c r="AO283" s="315">
        <v>53581</v>
      </c>
      <c r="AP283" s="315">
        <v>30771</v>
      </c>
      <c r="AQ283" s="315">
        <v>18687</v>
      </c>
      <c r="AR283" s="315">
        <v>-378174</v>
      </c>
      <c r="AS283" s="315">
        <v>85321</v>
      </c>
      <c r="AT283" s="315">
        <v>0</v>
      </c>
      <c r="AU283" s="315">
        <v>-14535</v>
      </c>
      <c r="AV283" s="315">
        <v>4877111</v>
      </c>
      <c r="AW283" s="315">
        <v>4573573</v>
      </c>
      <c r="AX283" s="315">
        <v>80526</v>
      </c>
      <c r="AY283" s="315">
        <v>7144</v>
      </c>
      <c r="AZ283" s="315">
        <v>6221</v>
      </c>
      <c r="BA283" s="315">
        <v>8352</v>
      </c>
      <c r="BB283" s="315">
        <v>58809</v>
      </c>
      <c r="BC283" s="315">
        <v>125020</v>
      </c>
      <c r="BD283" s="315">
        <v>97992</v>
      </c>
      <c r="BE283" s="315">
        <v>-1273913</v>
      </c>
      <c r="BF283" s="315">
        <v>-1273569</v>
      </c>
      <c r="BG283" s="315">
        <v>-1235785</v>
      </c>
      <c r="BH283" s="315">
        <v>-37784</v>
      </c>
      <c r="BI283" s="315">
        <v>-1217402</v>
      </c>
      <c r="BJ283" s="315">
        <v>-10110</v>
      </c>
      <c r="BK283" s="315">
        <v>-46057</v>
      </c>
      <c r="BL283" s="315">
        <v>-344</v>
      </c>
      <c r="BM283" s="315">
        <v>0</v>
      </c>
      <c r="BN283" s="315">
        <v>3603198</v>
      </c>
      <c r="BO283" s="315">
        <v>59361</v>
      </c>
      <c r="BP283" s="315">
        <v>14684</v>
      </c>
      <c r="BQ283" s="315">
        <v>22809</v>
      </c>
      <c r="BR283" s="315">
        <v>275</v>
      </c>
      <c r="BS283" s="315">
        <v>4573342</v>
      </c>
      <c r="BT283" s="315">
        <v>1447932</v>
      </c>
      <c r="BU283" s="315">
        <v>2064631</v>
      </c>
      <c r="BV283" s="315">
        <v>1042384</v>
      </c>
      <c r="BW283" s="315">
        <v>18395</v>
      </c>
      <c r="BX283" s="315">
        <v>-1155259</v>
      </c>
      <c r="BY283" s="315">
        <v>87236</v>
      </c>
      <c r="BZ283" s="315">
        <v>750</v>
      </c>
      <c r="CA283" s="315">
        <v>229615</v>
      </c>
      <c r="CB283" s="315">
        <v>-57585</v>
      </c>
      <c r="CC283" s="315">
        <v>-57585</v>
      </c>
      <c r="CD283" s="315">
        <v>0</v>
      </c>
      <c r="CE283" s="315">
        <v>172030</v>
      </c>
      <c r="CF283" s="315">
        <v>184141</v>
      </c>
      <c r="CG283" s="315">
        <v>15084</v>
      </c>
      <c r="CH283" s="315">
        <v>-27195</v>
      </c>
      <c r="CI283" s="315">
        <v>5451707</v>
      </c>
      <c r="CJ283" s="315">
        <v>337719</v>
      </c>
      <c r="CK283" s="315">
        <v>5113988</v>
      </c>
      <c r="CL283" s="315">
        <v>4681158</v>
      </c>
      <c r="CM283" s="315">
        <v>35007</v>
      </c>
      <c r="CN283" s="315">
        <v>397823</v>
      </c>
      <c r="CO283" s="315">
        <v>0</v>
      </c>
      <c r="CP283" s="315">
        <v>26443</v>
      </c>
      <c r="CQ283" s="315">
        <v>371380</v>
      </c>
      <c r="CR283" s="315">
        <v>-2531379</v>
      </c>
      <c r="CS283" s="315">
        <v>-380829</v>
      </c>
      <c r="CT283" s="315">
        <v>-311700</v>
      </c>
      <c r="CU283" s="315">
        <v>-4273</v>
      </c>
      <c r="CV283" s="315">
        <v>-4008</v>
      </c>
      <c r="CW283" s="315">
        <v>-60848</v>
      </c>
      <c r="CX283" s="315">
        <v>-1391954</v>
      </c>
      <c r="CY283" s="315">
        <v>-1370922</v>
      </c>
      <c r="CZ283" s="315">
        <v>-8662</v>
      </c>
      <c r="DA283" s="315">
        <v>-12370</v>
      </c>
      <c r="DB283" s="315">
        <v>-452719</v>
      </c>
      <c r="DC283" s="315">
        <v>-305877</v>
      </c>
      <c r="DD283" s="315">
        <v>2920328</v>
      </c>
      <c r="DE283" s="315">
        <v>-174640</v>
      </c>
      <c r="DF283" s="315">
        <v>3094968</v>
      </c>
      <c r="DG283" s="315">
        <v>3032504</v>
      </c>
      <c r="DH283" s="315">
        <v>62464</v>
      </c>
      <c r="DI283" s="315">
        <v>1814914</v>
      </c>
      <c r="DJ283" s="315">
        <v>80010</v>
      </c>
      <c r="DK283" s="315">
        <v>36474</v>
      </c>
      <c r="DL283" s="315">
        <v>1125</v>
      </c>
      <c r="DM283" s="315">
        <v>931599</v>
      </c>
      <c r="DN283" s="315">
        <v>659274</v>
      </c>
      <c r="DO283" s="315">
        <v>106114</v>
      </c>
      <c r="DP283" s="315"/>
      <c r="DQ283" s="315">
        <v>71</v>
      </c>
      <c r="DR283" s="315">
        <v>247</v>
      </c>
      <c r="DS283" s="315">
        <v>-201098</v>
      </c>
      <c r="DT283" s="315">
        <v>-2953</v>
      </c>
      <c r="DU283" s="315">
        <v>-7702</v>
      </c>
      <c r="DV283" s="315">
        <v>-3</v>
      </c>
      <c r="DW283" s="315">
        <v>-183276</v>
      </c>
      <c r="DX283" s="315">
        <v>-5976</v>
      </c>
      <c r="DY283" s="315">
        <v>-239</v>
      </c>
      <c r="DZ283" s="315">
        <v>-177061</v>
      </c>
      <c r="EA283" s="315">
        <v>-7038</v>
      </c>
      <c r="EB283" s="315">
        <v>-1</v>
      </c>
      <c r="EC283" s="315"/>
      <c r="ED283" s="315">
        <v>0</v>
      </c>
      <c r="EE283" s="315">
        <v>-125</v>
      </c>
      <c r="EF283" s="315">
        <v>1613816</v>
      </c>
      <c r="EG283" s="315">
        <v>333064</v>
      </c>
      <c r="EH283" s="315">
        <v>1280752</v>
      </c>
      <c r="EI283" s="315">
        <v>1264204</v>
      </c>
      <c r="EJ283" s="315">
        <v>16548</v>
      </c>
      <c r="EK283" s="315">
        <v>77057</v>
      </c>
      <c r="EL283" s="315">
        <v>22935</v>
      </c>
      <c r="EM283" s="315">
        <v>54122</v>
      </c>
      <c r="EN283" s="315">
        <v>53240</v>
      </c>
      <c r="EO283" s="315">
        <v>882</v>
      </c>
      <c r="EP283" s="315">
        <v>28772</v>
      </c>
      <c r="EQ283" s="315">
        <v>11129</v>
      </c>
      <c r="ER283" s="315">
        <v>17643</v>
      </c>
      <c r="ES283" s="315">
        <v>17349</v>
      </c>
      <c r="ET283" s="315">
        <v>294</v>
      </c>
      <c r="EU283" s="315">
        <v>1122</v>
      </c>
      <c r="EV283" s="315">
        <v>-489</v>
      </c>
      <c r="EW283" s="315">
        <v>1611</v>
      </c>
      <c r="EX283" s="315">
        <v>1585</v>
      </c>
      <c r="EY283" s="315">
        <v>26</v>
      </c>
      <c r="EZ283" s="315">
        <v>748323</v>
      </c>
      <c r="FA283" s="315">
        <v>85866</v>
      </c>
      <c r="FB283" s="315">
        <v>662457</v>
      </c>
      <c r="FC283" s="315">
        <v>652127</v>
      </c>
      <c r="FD283" s="315">
        <v>10330</v>
      </c>
      <c r="FE283" s="315">
        <v>652236</v>
      </c>
      <c r="FF283" s="315">
        <v>244309</v>
      </c>
      <c r="FG283" s="315">
        <v>407927</v>
      </c>
      <c r="FH283" s="315">
        <v>402911</v>
      </c>
      <c r="FI283" s="315">
        <v>5016</v>
      </c>
      <c r="FJ283" s="315">
        <v>106113</v>
      </c>
      <c r="FK283" s="315">
        <v>-30879</v>
      </c>
      <c r="FL283" s="315">
        <v>136992</v>
      </c>
      <c r="FM283" s="315">
        <v>136992</v>
      </c>
      <c r="FN283" s="315"/>
      <c r="FO283" s="315"/>
      <c r="FP283" s="315">
        <v>71</v>
      </c>
      <c r="FQ283" s="315">
        <v>122</v>
      </c>
      <c r="FR283" s="315">
        <v>557397</v>
      </c>
      <c r="FS283" s="315">
        <v>-119810</v>
      </c>
      <c r="FT283" s="315">
        <v>437587</v>
      </c>
      <c r="FU283" s="315">
        <v>145146</v>
      </c>
      <c r="FV283" s="315">
        <v>144429</v>
      </c>
      <c r="FW283" s="315">
        <v>717</v>
      </c>
      <c r="FX283" s="315">
        <v>161766</v>
      </c>
      <c r="FY283" s="315">
        <v>115917</v>
      </c>
      <c r="FZ283" s="315"/>
      <c r="GA283" s="315"/>
      <c r="GB283" s="315">
        <v>50</v>
      </c>
      <c r="GC283" s="315">
        <v>-31336</v>
      </c>
      <c r="GD283" s="315">
        <v>-30930</v>
      </c>
      <c r="GE283" s="315">
        <v>167</v>
      </c>
      <c r="GF283" s="315">
        <v>-573</v>
      </c>
      <c r="GG283" s="315">
        <v>46044</v>
      </c>
      <c r="GH283" s="315">
        <v>13015</v>
      </c>
      <c r="GI283" s="315">
        <v>406</v>
      </c>
      <c r="GJ283" s="315">
        <v>32623</v>
      </c>
      <c r="GL283"/>
      <c r="GM283"/>
      <c r="GN283"/>
      <c r="GO283"/>
    </row>
    <row r="284" spans="1:197">
      <c r="A284" s="96" t="s">
        <v>36</v>
      </c>
      <c r="B284" s="96">
        <v>1</v>
      </c>
      <c r="C284" s="97" t="s">
        <v>217</v>
      </c>
      <c r="D284" s="314">
        <v>20080248</v>
      </c>
      <c r="E284" s="314">
        <v>-7390712</v>
      </c>
      <c r="F284" s="314">
        <v>-95559</v>
      </c>
      <c r="G284" s="314">
        <v>12593977</v>
      </c>
      <c r="H284" s="314">
        <v>5802936</v>
      </c>
      <c r="I284" s="314">
        <v>6791041</v>
      </c>
      <c r="J284" s="314">
        <v>6649013</v>
      </c>
      <c r="K284" s="314">
        <v>142028</v>
      </c>
      <c r="L284" s="314">
        <v>11736641</v>
      </c>
      <c r="M284" s="314">
        <v>10304009</v>
      </c>
      <c r="N284" s="314">
        <v>104870</v>
      </c>
      <c r="O284" s="314">
        <v>0</v>
      </c>
      <c r="P284" s="314">
        <v>104870</v>
      </c>
      <c r="Q284" s="314">
        <v>101697</v>
      </c>
      <c r="R284" s="314">
        <v>1226065</v>
      </c>
      <c r="S284" s="314">
        <v>-345215</v>
      </c>
      <c r="T284" s="314">
        <v>-335015</v>
      </c>
      <c r="U284" s="314">
        <v>0</v>
      </c>
      <c r="V284" s="314">
        <v>-83019</v>
      </c>
      <c r="W284" s="314">
        <v>0</v>
      </c>
      <c r="X284" s="314">
        <v>-225913</v>
      </c>
      <c r="Y284" s="314">
        <v>-26083</v>
      </c>
      <c r="Z284" s="314">
        <v>-4420</v>
      </c>
      <c r="AA284" s="314">
        <v>-2390</v>
      </c>
      <c r="AB284" s="314">
        <v>-3390</v>
      </c>
      <c r="AC284" s="314">
        <v>-95559</v>
      </c>
      <c r="AD284" s="314">
        <v>11295867</v>
      </c>
      <c r="AE284" s="314">
        <v>8383858</v>
      </c>
      <c r="AF284" s="314">
        <v>2912009</v>
      </c>
      <c r="AG284" s="314">
        <v>2844992</v>
      </c>
      <c r="AH284" s="314">
        <v>67017</v>
      </c>
      <c r="AI284" s="314">
        <v>10302310</v>
      </c>
      <c r="AJ284" s="314">
        <v>2029679</v>
      </c>
      <c r="AK284" s="314">
        <v>3684395</v>
      </c>
      <c r="AL284" s="314">
        <v>4543137</v>
      </c>
      <c r="AM284" s="314">
        <v>568460</v>
      </c>
      <c r="AN284" s="314">
        <v>375434</v>
      </c>
      <c r="AO284" s="314">
        <v>83550</v>
      </c>
      <c r="AP284" s="314">
        <v>133753</v>
      </c>
      <c r="AQ284" s="314">
        <v>60787</v>
      </c>
      <c r="AR284" s="314">
        <v>-230145</v>
      </c>
      <c r="AS284" s="314">
        <v>97277</v>
      </c>
      <c r="AT284" s="314">
        <v>0</v>
      </c>
      <c r="AU284" s="314">
        <v>-95559</v>
      </c>
      <c r="AV284" s="314">
        <v>631890</v>
      </c>
      <c r="AW284" s="314">
        <v>30402</v>
      </c>
      <c r="AX284" s="314">
        <v>88481</v>
      </c>
      <c r="AY284" s="314">
        <v>18383</v>
      </c>
      <c r="AZ284" s="314">
        <v>7124</v>
      </c>
      <c r="BA284" s="314">
        <v>12215</v>
      </c>
      <c r="BB284" s="314">
        <v>50759</v>
      </c>
      <c r="BC284" s="314">
        <v>67444</v>
      </c>
      <c r="BD284" s="314">
        <v>445563</v>
      </c>
      <c r="BE284" s="314">
        <v>-5352229</v>
      </c>
      <c r="BF284" s="314">
        <v>-5350988</v>
      </c>
      <c r="BG284" s="314">
        <v>-5053484</v>
      </c>
      <c r="BH284" s="314">
        <v>-297504</v>
      </c>
      <c r="BI284" s="314">
        <v>0</v>
      </c>
      <c r="BJ284" s="314">
        <v>-5302577</v>
      </c>
      <c r="BK284" s="314">
        <v>-48411</v>
      </c>
      <c r="BL284" s="314">
        <v>-1241</v>
      </c>
      <c r="BM284" s="314">
        <v>0</v>
      </c>
      <c r="BN284" s="314">
        <v>-4720339</v>
      </c>
      <c r="BO284" s="314">
        <v>243188</v>
      </c>
      <c r="BP284" s="314">
        <v>157085</v>
      </c>
      <c r="BQ284" s="314">
        <v>35569</v>
      </c>
      <c r="BR284" s="314">
        <v>9298</v>
      </c>
      <c r="BS284" s="314">
        <v>29362</v>
      </c>
      <c r="BT284" s="314">
        <v>5407</v>
      </c>
      <c r="BU284" s="314">
        <v>407</v>
      </c>
      <c r="BV284" s="314">
        <v>10224</v>
      </c>
      <c r="BW284" s="314">
        <v>13324</v>
      </c>
      <c r="BX284" s="314">
        <v>-4965003</v>
      </c>
      <c r="BY284" s="314">
        <v>-230060</v>
      </c>
      <c r="BZ284" s="314">
        <v>222</v>
      </c>
      <c r="CA284" s="314">
        <v>485311</v>
      </c>
      <c r="CB284" s="314">
        <v>-39790</v>
      </c>
      <c r="CC284" s="314">
        <v>-39790</v>
      </c>
      <c r="CD284" s="314">
        <v>0</v>
      </c>
      <c r="CE284" s="314">
        <v>445521</v>
      </c>
      <c r="CF284" s="314">
        <v>335263</v>
      </c>
      <c r="CG284" s="314">
        <v>90</v>
      </c>
      <c r="CH284" s="314">
        <v>110168</v>
      </c>
      <c r="CI284" s="314">
        <v>5126322</v>
      </c>
      <c r="CJ284" s="314">
        <v>1343616</v>
      </c>
      <c r="CK284" s="314">
        <v>3782706</v>
      </c>
      <c r="CL284" s="314">
        <v>3008611</v>
      </c>
      <c r="CM284" s="314">
        <v>369954</v>
      </c>
      <c r="CN284" s="314">
        <v>404141</v>
      </c>
      <c r="CO284" s="314">
        <v>0</v>
      </c>
      <c r="CP284" s="314">
        <v>0</v>
      </c>
      <c r="CQ284" s="314">
        <v>404141</v>
      </c>
      <c r="CR284" s="314">
        <v>-1592941</v>
      </c>
      <c r="CS284" s="314">
        <v>-115826</v>
      </c>
      <c r="CT284" s="314">
        <v>-1087</v>
      </c>
      <c r="CU284" s="314">
        <v>-46803</v>
      </c>
      <c r="CV284" s="314">
        <v>-626</v>
      </c>
      <c r="CW284" s="314">
        <v>-67310</v>
      </c>
      <c r="CX284" s="314">
        <v>-1477115</v>
      </c>
      <c r="CY284" s="314">
        <v>0</v>
      </c>
      <c r="CZ284" s="314">
        <v>-1426160</v>
      </c>
      <c r="DA284" s="314">
        <v>-50955</v>
      </c>
      <c r="DB284" s="314">
        <v>0</v>
      </c>
      <c r="DC284" s="314">
        <v>0</v>
      </c>
      <c r="DD284" s="314">
        <v>3533381</v>
      </c>
      <c r="DE284" s="314">
        <v>720804</v>
      </c>
      <c r="DF284" s="314">
        <v>2812577</v>
      </c>
      <c r="DG284" s="314">
        <v>2754739</v>
      </c>
      <c r="DH284" s="314">
        <v>57838</v>
      </c>
      <c r="DI284" s="314">
        <v>1620000</v>
      </c>
      <c r="DJ284" s="314">
        <v>52937</v>
      </c>
      <c r="DK284" s="314">
        <v>27774</v>
      </c>
      <c r="DL284" s="314">
        <v>1078</v>
      </c>
      <c r="DM284" s="314">
        <v>920729</v>
      </c>
      <c r="DN284" s="314">
        <v>429062</v>
      </c>
      <c r="DO284" s="314">
        <v>109057</v>
      </c>
      <c r="DP284" s="314"/>
      <c r="DQ284" s="314">
        <v>79310</v>
      </c>
      <c r="DR284" s="314">
        <v>53</v>
      </c>
      <c r="DS284" s="314">
        <v>-8976</v>
      </c>
      <c r="DT284" s="314">
        <v>-1474</v>
      </c>
      <c r="DU284" s="314">
        <v>-99</v>
      </c>
      <c r="DV284" s="314">
        <v>-45</v>
      </c>
      <c r="DW284" s="314">
        <v>-7248</v>
      </c>
      <c r="DX284" s="314">
        <v>-4889</v>
      </c>
      <c r="DY284" s="314">
        <v>-112</v>
      </c>
      <c r="DZ284" s="314">
        <v>-2247</v>
      </c>
      <c r="EA284" s="314">
        <v>-26</v>
      </c>
      <c r="EB284" s="314">
        <v>-25</v>
      </c>
      <c r="EC284" s="314"/>
      <c r="ED284" s="314">
        <v>0</v>
      </c>
      <c r="EE284" s="314">
        <v>-59</v>
      </c>
      <c r="EF284" s="314">
        <v>1611024</v>
      </c>
      <c r="EG284" s="314">
        <v>544569</v>
      </c>
      <c r="EH284" s="314">
        <v>1066455</v>
      </c>
      <c r="EI284" s="314">
        <v>1049282</v>
      </c>
      <c r="EJ284" s="314">
        <v>17173</v>
      </c>
      <c r="EK284" s="314">
        <v>51463</v>
      </c>
      <c r="EL284" s="314">
        <v>8747</v>
      </c>
      <c r="EM284" s="314">
        <v>42716</v>
      </c>
      <c r="EN284" s="314">
        <v>41872</v>
      </c>
      <c r="EO284" s="314">
        <v>844</v>
      </c>
      <c r="EP284" s="314">
        <v>27675</v>
      </c>
      <c r="EQ284" s="314">
        <v>12464</v>
      </c>
      <c r="ER284" s="314">
        <v>15211</v>
      </c>
      <c r="ES284" s="314">
        <v>14920</v>
      </c>
      <c r="ET284" s="314">
        <v>291</v>
      </c>
      <c r="EU284" s="314">
        <v>1033</v>
      </c>
      <c r="EV284" s="314">
        <v>-126</v>
      </c>
      <c r="EW284" s="314">
        <v>1159</v>
      </c>
      <c r="EX284" s="314">
        <v>1137</v>
      </c>
      <c r="EY284" s="314">
        <v>22</v>
      </c>
      <c r="EZ284" s="314">
        <v>913481</v>
      </c>
      <c r="FA284" s="314">
        <v>357505</v>
      </c>
      <c r="FB284" s="314">
        <v>555976</v>
      </c>
      <c r="FC284" s="314">
        <v>546076</v>
      </c>
      <c r="FD284" s="314">
        <v>9900</v>
      </c>
      <c r="FE284" s="314">
        <v>429036</v>
      </c>
      <c r="FF284" s="314">
        <v>94858</v>
      </c>
      <c r="FG284" s="314">
        <v>334178</v>
      </c>
      <c r="FH284" s="314">
        <v>328062</v>
      </c>
      <c r="FI284" s="314">
        <v>6116</v>
      </c>
      <c r="FJ284" s="314">
        <v>109032</v>
      </c>
      <c r="FK284" s="314">
        <v>-8183</v>
      </c>
      <c r="FL284" s="314">
        <v>117215</v>
      </c>
      <c r="FM284" s="314">
        <v>117215</v>
      </c>
      <c r="FN284" s="314"/>
      <c r="FO284" s="314"/>
      <c r="FP284" s="314">
        <v>79310</v>
      </c>
      <c r="FQ284" s="314">
        <v>-6</v>
      </c>
      <c r="FR284" s="314">
        <v>480084</v>
      </c>
      <c r="FS284" s="314">
        <v>-51561</v>
      </c>
      <c r="FT284" s="314">
        <v>428523</v>
      </c>
      <c r="FU284" s="314">
        <v>40084</v>
      </c>
      <c r="FV284" s="314">
        <v>5823</v>
      </c>
      <c r="FW284" s="314">
        <v>34261</v>
      </c>
      <c r="FX284" s="314">
        <v>163877</v>
      </c>
      <c r="FY284" s="314">
        <v>121710</v>
      </c>
      <c r="FZ284" s="314"/>
      <c r="GA284" s="314"/>
      <c r="GB284" s="314">
        <v>96</v>
      </c>
      <c r="GC284" s="314">
        <v>3155</v>
      </c>
      <c r="GD284" s="314">
        <v>-31587</v>
      </c>
      <c r="GE284" s="314">
        <v>0</v>
      </c>
      <c r="GF284" s="314">
        <v>34742</v>
      </c>
      <c r="GG284" s="314">
        <v>99601</v>
      </c>
      <c r="GH284" s="314">
        <v>12485</v>
      </c>
      <c r="GI284" s="314">
        <v>557</v>
      </c>
      <c r="GJ284" s="314">
        <v>86559</v>
      </c>
      <c r="GL284"/>
      <c r="GM284"/>
      <c r="GN284"/>
      <c r="GO284"/>
    </row>
    <row r="285" spans="1:197">
      <c r="A285" s="98" t="s">
        <v>36</v>
      </c>
      <c r="B285" s="98">
        <v>2</v>
      </c>
      <c r="C285" s="98" t="s">
        <v>218</v>
      </c>
      <c r="D285" s="315">
        <v>22084387</v>
      </c>
      <c r="E285" s="315">
        <v>-1940519</v>
      </c>
      <c r="F285" s="315">
        <v>-14561</v>
      </c>
      <c r="G285" s="315">
        <v>20129307</v>
      </c>
      <c r="H285" s="315">
        <v>12907907</v>
      </c>
      <c r="I285" s="315">
        <v>7221400</v>
      </c>
      <c r="J285" s="315">
        <v>7079371</v>
      </c>
      <c r="K285" s="315">
        <v>142029</v>
      </c>
      <c r="L285" s="315">
        <v>5508645</v>
      </c>
      <c r="M285" s="315">
        <v>4323879</v>
      </c>
      <c r="N285" s="315">
        <v>97879</v>
      </c>
      <c r="O285" s="315">
        <v>0</v>
      </c>
      <c r="P285" s="315">
        <v>97879</v>
      </c>
      <c r="Q285" s="315">
        <v>70443</v>
      </c>
      <c r="R285" s="315">
        <v>1016444</v>
      </c>
      <c r="S285" s="315">
        <v>-178613</v>
      </c>
      <c r="T285" s="315">
        <v>-171709</v>
      </c>
      <c r="U285" s="315">
        <v>-43722</v>
      </c>
      <c r="V285" s="315">
        <v>-5187</v>
      </c>
      <c r="W285" s="315">
        <v>0</v>
      </c>
      <c r="X285" s="315">
        <v>-89806</v>
      </c>
      <c r="Y285" s="315">
        <v>-32994</v>
      </c>
      <c r="Z285" s="315">
        <v>-3097</v>
      </c>
      <c r="AA285" s="315">
        <v>-3807</v>
      </c>
      <c r="AB285" s="315">
        <v>0</v>
      </c>
      <c r="AC285" s="315">
        <v>-14561</v>
      </c>
      <c r="AD285" s="315">
        <v>5315471</v>
      </c>
      <c r="AE285" s="315">
        <v>1973103</v>
      </c>
      <c r="AF285" s="315">
        <v>3342368</v>
      </c>
      <c r="AG285" s="315">
        <v>3275350</v>
      </c>
      <c r="AH285" s="315">
        <v>67018</v>
      </c>
      <c r="AI285" s="315">
        <v>4320809</v>
      </c>
      <c r="AJ285" s="315">
        <v>1524392</v>
      </c>
      <c r="AK285" s="315">
        <v>2669829</v>
      </c>
      <c r="AL285" s="315">
        <v>84252</v>
      </c>
      <c r="AM285" s="315">
        <v>207333</v>
      </c>
      <c r="AN285" s="315">
        <v>55101</v>
      </c>
      <c r="AO285" s="315">
        <v>44207</v>
      </c>
      <c r="AP285" s="315">
        <v>69004</v>
      </c>
      <c r="AQ285" s="315">
        <v>640062</v>
      </c>
      <c r="AR285" s="315">
        <v>-73830</v>
      </c>
      <c r="AS285" s="315">
        <v>67346</v>
      </c>
      <c r="AT285" s="315">
        <v>0</v>
      </c>
      <c r="AU285" s="315">
        <v>-14561</v>
      </c>
      <c r="AV285" s="315">
        <v>347477</v>
      </c>
      <c r="AW285" s="315">
        <v>13870</v>
      </c>
      <c r="AX285" s="315">
        <v>115546</v>
      </c>
      <c r="AY285" s="315">
        <v>30970</v>
      </c>
      <c r="AZ285" s="315">
        <v>32963</v>
      </c>
      <c r="BA285" s="315">
        <v>11212</v>
      </c>
      <c r="BB285" s="315">
        <v>40401</v>
      </c>
      <c r="BC285" s="315">
        <v>111946</v>
      </c>
      <c r="BD285" s="315">
        <v>106115</v>
      </c>
      <c r="BE285" s="315">
        <v>-333562</v>
      </c>
      <c r="BF285" s="315">
        <v>-332363</v>
      </c>
      <c r="BG285" s="315">
        <v>-278196</v>
      </c>
      <c r="BH285" s="315">
        <v>-54167</v>
      </c>
      <c r="BI285" s="315">
        <v>0</v>
      </c>
      <c r="BJ285" s="315">
        <v>-272652</v>
      </c>
      <c r="BK285" s="315">
        <v>-59711</v>
      </c>
      <c r="BL285" s="315">
        <v>-1199</v>
      </c>
      <c r="BM285" s="315">
        <v>0</v>
      </c>
      <c r="BN285" s="315">
        <v>13915</v>
      </c>
      <c r="BO285" s="315">
        <v>65789</v>
      </c>
      <c r="BP285" s="315">
        <v>21208</v>
      </c>
      <c r="BQ285" s="315">
        <v>18764</v>
      </c>
      <c r="BR285" s="315">
        <v>0</v>
      </c>
      <c r="BS285" s="315">
        <v>12899</v>
      </c>
      <c r="BT285" s="315">
        <v>587</v>
      </c>
      <c r="BU285" s="315">
        <v>300</v>
      </c>
      <c r="BV285" s="315">
        <v>1987</v>
      </c>
      <c r="BW285" s="315">
        <v>10025</v>
      </c>
      <c r="BX285" s="315">
        <v>-162650</v>
      </c>
      <c r="BY285" s="315">
        <v>57779</v>
      </c>
      <c r="BZ285" s="315">
        <v>126</v>
      </c>
      <c r="CA285" s="315">
        <v>178380</v>
      </c>
      <c r="CB285" s="315">
        <v>-48394</v>
      </c>
      <c r="CC285" s="315">
        <v>-48394</v>
      </c>
      <c r="CD285" s="315">
        <v>0</v>
      </c>
      <c r="CE285" s="315">
        <v>129986</v>
      </c>
      <c r="CF285" s="315">
        <v>157243</v>
      </c>
      <c r="CG285" s="315">
        <v>5</v>
      </c>
      <c r="CH285" s="315">
        <v>-27262</v>
      </c>
      <c r="CI285" s="315">
        <v>13599168</v>
      </c>
      <c r="CJ285" s="315">
        <v>1114543</v>
      </c>
      <c r="CK285" s="315">
        <v>12484625</v>
      </c>
      <c r="CL285" s="315">
        <v>5367341</v>
      </c>
      <c r="CM285" s="315">
        <v>6713518</v>
      </c>
      <c r="CN285" s="315">
        <v>403766</v>
      </c>
      <c r="CO285" s="315">
        <v>0</v>
      </c>
      <c r="CP285" s="315">
        <v>0</v>
      </c>
      <c r="CQ285" s="315">
        <v>403766</v>
      </c>
      <c r="CR285" s="315">
        <v>-1307858</v>
      </c>
      <c r="CS285" s="315">
        <v>-210519</v>
      </c>
      <c r="CT285" s="315">
        <v>-44136</v>
      </c>
      <c r="CU285" s="315">
        <v>-40299</v>
      </c>
      <c r="CV285" s="315">
        <v>-223</v>
      </c>
      <c r="CW285" s="315">
        <v>-125861</v>
      </c>
      <c r="CX285" s="315">
        <v>-1097339</v>
      </c>
      <c r="CY285" s="315">
        <v>-82</v>
      </c>
      <c r="CZ285" s="315">
        <v>-1090726</v>
      </c>
      <c r="DA285" s="315">
        <v>-6531</v>
      </c>
      <c r="DB285" s="315">
        <v>0</v>
      </c>
      <c r="DC285" s="315">
        <v>0</v>
      </c>
      <c r="DD285" s="315">
        <v>12291310</v>
      </c>
      <c r="DE285" s="315">
        <v>9478736</v>
      </c>
      <c r="DF285" s="315">
        <v>2812574</v>
      </c>
      <c r="DG285" s="315">
        <v>2754739</v>
      </c>
      <c r="DH285" s="315">
        <v>57835</v>
      </c>
      <c r="DI285" s="315">
        <v>1568240</v>
      </c>
      <c r="DJ285" s="315">
        <v>109075</v>
      </c>
      <c r="DK285" s="315">
        <v>25398</v>
      </c>
      <c r="DL285" s="315">
        <v>3825</v>
      </c>
      <c r="DM285" s="315">
        <v>874887</v>
      </c>
      <c r="DN285" s="315">
        <v>434314</v>
      </c>
      <c r="DO285" s="315">
        <v>120593</v>
      </c>
      <c r="DP285" s="315"/>
      <c r="DQ285" s="315">
        <v>95</v>
      </c>
      <c r="DR285" s="315">
        <v>53</v>
      </c>
      <c r="DS285" s="315">
        <v>-25736</v>
      </c>
      <c r="DT285" s="315">
        <v>-4943</v>
      </c>
      <c r="DU285" s="315">
        <v>-225</v>
      </c>
      <c r="DV285" s="315">
        <v>-12</v>
      </c>
      <c r="DW285" s="315">
        <v>-20411</v>
      </c>
      <c r="DX285" s="315">
        <v>-3639</v>
      </c>
      <c r="DY285" s="315">
        <v>-905</v>
      </c>
      <c r="DZ285" s="315">
        <v>-15867</v>
      </c>
      <c r="EA285" s="315">
        <v>0</v>
      </c>
      <c r="EB285" s="315">
        <v>-141</v>
      </c>
      <c r="EC285" s="315"/>
      <c r="ED285" s="315">
        <v>0</v>
      </c>
      <c r="EE285" s="315">
        <v>-4</v>
      </c>
      <c r="EF285" s="315">
        <v>1542504</v>
      </c>
      <c r="EG285" s="315">
        <v>476046</v>
      </c>
      <c r="EH285" s="315">
        <v>1066458</v>
      </c>
      <c r="EI285" s="315">
        <v>1049282</v>
      </c>
      <c r="EJ285" s="315">
        <v>17176</v>
      </c>
      <c r="EK285" s="315">
        <v>104132</v>
      </c>
      <c r="EL285" s="315">
        <v>61417</v>
      </c>
      <c r="EM285" s="315">
        <v>42715</v>
      </c>
      <c r="EN285" s="315">
        <v>41872</v>
      </c>
      <c r="EO285" s="315">
        <v>843</v>
      </c>
      <c r="EP285" s="315">
        <v>25173</v>
      </c>
      <c r="EQ285" s="315">
        <v>9961</v>
      </c>
      <c r="ER285" s="315">
        <v>15212</v>
      </c>
      <c r="ES285" s="315">
        <v>14921</v>
      </c>
      <c r="ET285" s="315">
        <v>291</v>
      </c>
      <c r="EU285" s="315">
        <v>3813</v>
      </c>
      <c r="EV285" s="315">
        <v>2654</v>
      </c>
      <c r="EW285" s="315">
        <v>1159</v>
      </c>
      <c r="EX285" s="315">
        <v>1137</v>
      </c>
      <c r="EY285" s="315">
        <v>22</v>
      </c>
      <c r="EZ285" s="315">
        <v>854476</v>
      </c>
      <c r="FA285" s="315">
        <v>298499</v>
      </c>
      <c r="FB285" s="315">
        <v>555977</v>
      </c>
      <c r="FC285" s="315">
        <v>546075</v>
      </c>
      <c r="FD285" s="315">
        <v>9902</v>
      </c>
      <c r="FE285" s="315">
        <v>434314</v>
      </c>
      <c r="FF285" s="315">
        <v>100135</v>
      </c>
      <c r="FG285" s="315">
        <v>334179</v>
      </c>
      <c r="FH285" s="315">
        <v>328061</v>
      </c>
      <c r="FI285" s="315">
        <v>6118</v>
      </c>
      <c r="FJ285" s="315">
        <v>120452</v>
      </c>
      <c r="FK285" s="315">
        <v>3236</v>
      </c>
      <c r="FL285" s="315">
        <v>117216</v>
      </c>
      <c r="FM285" s="315">
        <v>117216</v>
      </c>
      <c r="FN285" s="315"/>
      <c r="FO285" s="315"/>
      <c r="FP285" s="315">
        <v>95</v>
      </c>
      <c r="FQ285" s="315">
        <v>49</v>
      </c>
      <c r="FR285" s="315">
        <v>882477</v>
      </c>
      <c r="FS285" s="315">
        <v>-46356</v>
      </c>
      <c r="FT285" s="315">
        <v>836121</v>
      </c>
      <c r="FU285" s="315">
        <v>383508</v>
      </c>
      <c r="FV285" s="315">
        <v>383045</v>
      </c>
      <c r="FW285" s="315">
        <v>463</v>
      </c>
      <c r="FX285" s="315">
        <v>165028</v>
      </c>
      <c r="FY285" s="315">
        <v>136571</v>
      </c>
      <c r="FZ285" s="315"/>
      <c r="GA285" s="315"/>
      <c r="GB285" s="315">
        <v>13943</v>
      </c>
      <c r="GC285" s="315">
        <v>47335</v>
      </c>
      <c r="GD285" s="315">
        <v>-31455</v>
      </c>
      <c r="GE285" s="315">
        <v>0</v>
      </c>
      <c r="GF285" s="315">
        <v>78790</v>
      </c>
      <c r="GG285" s="315">
        <v>89736</v>
      </c>
      <c r="GH285" s="315">
        <v>15444</v>
      </c>
      <c r="GI285" s="315">
        <v>499</v>
      </c>
      <c r="GJ285" s="315">
        <v>73793</v>
      </c>
      <c r="GL285"/>
      <c r="GM285"/>
      <c r="GN285"/>
      <c r="GO285"/>
    </row>
    <row r="286" spans="1:197">
      <c r="A286" s="98" t="s">
        <v>36</v>
      </c>
      <c r="B286" s="98">
        <v>3</v>
      </c>
      <c r="C286" s="98" t="s">
        <v>219</v>
      </c>
      <c r="D286" s="315">
        <v>13103696</v>
      </c>
      <c r="E286" s="315">
        <v>-2160189</v>
      </c>
      <c r="F286" s="315">
        <v>-14561</v>
      </c>
      <c r="G286" s="315">
        <v>10928946</v>
      </c>
      <c r="H286" s="315">
        <v>3922728</v>
      </c>
      <c r="I286" s="315">
        <v>7006218</v>
      </c>
      <c r="J286" s="315">
        <v>6864191</v>
      </c>
      <c r="K286" s="315">
        <v>142027</v>
      </c>
      <c r="L286" s="315">
        <v>4933663</v>
      </c>
      <c r="M286" s="315">
        <v>4522663</v>
      </c>
      <c r="N286" s="315">
        <v>96344</v>
      </c>
      <c r="O286" s="315">
        <v>0</v>
      </c>
      <c r="P286" s="315">
        <v>96344</v>
      </c>
      <c r="Q286" s="315">
        <v>55518</v>
      </c>
      <c r="R286" s="315">
        <v>259138</v>
      </c>
      <c r="S286" s="315">
        <v>-253135</v>
      </c>
      <c r="T286" s="315">
        <v>-201479</v>
      </c>
      <c r="U286" s="315">
        <v>-108337</v>
      </c>
      <c r="V286" s="315">
        <v>-680</v>
      </c>
      <c r="W286" s="315">
        <v>0</v>
      </c>
      <c r="X286" s="315">
        <v>-55411</v>
      </c>
      <c r="Y286" s="315">
        <v>-37051</v>
      </c>
      <c r="Z286" s="315">
        <v>-5312</v>
      </c>
      <c r="AA286" s="315">
        <v>-6189</v>
      </c>
      <c r="AB286" s="315">
        <v>-40155</v>
      </c>
      <c r="AC286" s="315">
        <v>-14561</v>
      </c>
      <c r="AD286" s="315">
        <v>4665967</v>
      </c>
      <c r="AE286" s="315">
        <v>1538779</v>
      </c>
      <c r="AF286" s="315">
        <v>3127188</v>
      </c>
      <c r="AG286" s="315">
        <v>3060171</v>
      </c>
      <c r="AH286" s="315">
        <v>67017</v>
      </c>
      <c r="AI286" s="315">
        <v>4517704</v>
      </c>
      <c r="AJ286" s="315">
        <v>1549630</v>
      </c>
      <c r="AK286" s="315">
        <v>2923963</v>
      </c>
      <c r="AL286" s="315">
        <v>13706</v>
      </c>
      <c r="AM286" s="315">
        <v>99587</v>
      </c>
      <c r="AN286" s="315">
        <v>40716</v>
      </c>
      <c r="AO286" s="315">
        <v>40524</v>
      </c>
      <c r="AP286" s="315">
        <v>24783</v>
      </c>
      <c r="AQ286" s="315">
        <v>12143</v>
      </c>
      <c r="AR286" s="315">
        <v>-105135</v>
      </c>
      <c r="AS286" s="315">
        <v>50206</v>
      </c>
      <c r="AT286" s="315">
        <v>0</v>
      </c>
      <c r="AU286" s="315">
        <v>-14561</v>
      </c>
      <c r="AV286" s="315">
        <v>608331</v>
      </c>
      <c r="AW286" s="315">
        <v>7484</v>
      </c>
      <c r="AX286" s="315">
        <v>71352</v>
      </c>
      <c r="AY286" s="315">
        <v>17538</v>
      </c>
      <c r="AZ286" s="315">
        <v>5334</v>
      </c>
      <c r="BA286" s="315">
        <v>10792</v>
      </c>
      <c r="BB286" s="315">
        <v>37688</v>
      </c>
      <c r="BC286" s="315">
        <v>436407</v>
      </c>
      <c r="BD286" s="315">
        <v>93088</v>
      </c>
      <c r="BE286" s="315">
        <v>-250103</v>
      </c>
      <c r="BF286" s="315">
        <v>-248644</v>
      </c>
      <c r="BG286" s="315">
        <v>-222117</v>
      </c>
      <c r="BH286" s="315">
        <v>-26527</v>
      </c>
      <c r="BI286" s="315">
        <v>0</v>
      </c>
      <c r="BJ286" s="315">
        <v>-207514</v>
      </c>
      <c r="BK286" s="315">
        <v>-41130</v>
      </c>
      <c r="BL286" s="315">
        <v>-1459</v>
      </c>
      <c r="BM286" s="315">
        <v>0</v>
      </c>
      <c r="BN286" s="315">
        <v>358228</v>
      </c>
      <c r="BO286" s="315">
        <v>58945</v>
      </c>
      <c r="BP286" s="315">
        <v>15016</v>
      </c>
      <c r="BQ286" s="315">
        <v>17238</v>
      </c>
      <c r="BR286" s="315">
        <v>1276</v>
      </c>
      <c r="BS286" s="315">
        <v>6426</v>
      </c>
      <c r="BT286" s="315">
        <v>113</v>
      </c>
      <c r="BU286" s="315">
        <v>149</v>
      </c>
      <c r="BV286" s="315">
        <v>899</v>
      </c>
      <c r="BW286" s="315">
        <v>5265</v>
      </c>
      <c r="BX286" s="315">
        <v>-150765</v>
      </c>
      <c r="BY286" s="315">
        <v>409880</v>
      </c>
      <c r="BZ286" s="315">
        <v>212</v>
      </c>
      <c r="CA286" s="315">
        <v>182825</v>
      </c>
      <c r="CB286" s="315">
        <v>-32915</v>
      </c>
      <c r="CC286" s="315">
        <v>-32915</v>
      </c>
      <c r="CD286" s="315">
        <v>0</v>
      </c>
      <c r="CE286" s="315">
        <v>149910</v>
      </c>
      <c r="CF286" s="315">
        <v>145943</v>
      </c>
      <c r="CG286" s="315">
        <v>5</v>
      </c>
      <c r="CH286" s="315">
        <v>3962</v>
      </c>
      <c r="CI286" s="315">
        <v>5360715</v>
      </c>
      <c r="CJ286" s="315">
        <v>1410393</v>
      </c>
      <c r="CK286" s="315">
        <v>3950322</v>
      </c>
      <c r="CL286" s="315">
        <v>3519955</v>
      </c>
      <c r="CM286" s="315">
        <v>56358</v>
      </c>
      <c r="CN286" s="315">
        <v>374009</v>
      </c>
      <c r="CO286" s="315">
        <v>0</v>
      </c>
      <c r="CP286" s="315">
        <v>47202</v>
      </c>
      <c r="CQ286" s="315">
        <v>326807</v>
      </c>
      <c r="CR286" s="315">
        <v>-1552003</v>
      </c>
      <c r="CS286" s="315">
        <v>-210355</v>
      </c>
      <c r="CT286" s="315">
        <v>-46044</v>
      </c>
      <c r="CU286" s="315">
        <v>-77259</v>
      </c>
      <c r="CV286" s="315">
        <v>-849</v>
      </c>
      <c r="CW286" s="315">
        <v>-86203</v>
      </c>
      <c r="CX286" s="315">
        <v>-1252402</v>
      </c>
      <c r="CY286" s="315">
        <v>-415376</v>
      </c>
      <c r="CZ286" s="315">
        <v>-834838</v>
      </c>
      <c r="DA286" s="315">
        <v>-2188</v>
      </c>
      <c r="DB286" s="315">
        <v>0</v>
      </c>
      <c r="DC286" s="315">
        <v>-89246</v>
      </c>
      <c r="DD286" s="315">
        <v>3808712</v>
      </c>
      <c r="DE286" s="315">
        <v>996135</v>
      </c>
      <c r="DF286" s="315">
        <v>2812577</v>
      </c>
      <c r="DG286" s="315">
        <v>2754739</v>
      </c>
      <c r="DH286" s="315">
        <v>57838</v>
      </c>
      <c r="DI286" s="315">
        <v>1513755</v>
      </c>
      <c r="DJ286" s="315">
        <v>85462</v>
      </c>
      <c r="DK286" s="315">
        <v>25566</v>
      </c>
      <c r="DL286" s="315">
        <v>1443</v>
      </c>
      <c r="DM286" s="315">
        <v>857314</v>
      </c>
      <c r="DN286" s="315">
        <v>430844</v>
      </c>
      <c r="DO286" s="315">
        <v>113076</v>
      </c>
      <c r="DP286" s="315"/>
      <c r="DQ286" s="315">
        <v>0</v>
      </c>
      <c r="DR286" s="315">
        <v>50</v>
      </c>
      <c r="DS286" s="315">
        <v>-16982</v>
      </c>
      <c r="DT286" s="315">
        <v>-1378</v>
      </c>
      <c r="DU286" s="315">
        <v>-438</v>
      </c>
      <c r="DV286" s="315">
        <v>-10</v>
      </c>
      <c r="DW286" s="315">
        <v>-12835</v>
      </c>
      <c r="DX286" s="315">
        <v>-2384</v>
      </c>
      <c r="DY286" s="315">
        <v>-126</v>
      </c>
      <c r="DZ286" s="315">
        <v>-10325</v>
      </c>
      <c r="EA286" s="315">
        <v>-2090</v>
      </c>
      <c r="EB286" s="315">
        <v>-52</v>
      </c>
      <c r="EC286" s="315"/>
      <c r="ED286" s="315">
        <v>0</v>
      </c>
      <c r="EE286" s="315">
        <v>-179</v>
      </c>
      <c r="EF286" s="315">
        <v>1496773</v>
      </c>
      <c r="EG286" s="315">
        <v>430320</v>
      </c>
      <c r="EH286" s="315">
        <v>1066453</v>
      </c>
      <c r="EI286" s="315">
        <v>1049281</v>
      </c>
      <c r="EJ286" s="315">
        <v>17172</v>
      </c>
      <c r="EK286" s="315">
        <v>84084</v>
      </c>
      <c r="EL286" s="315">
        <v>41368</v>
      </c>
      <c r="EM286" s="315">
        <v>42716</v>
      </c>
      <c r="EN286" s="315">
        <v>41872</v>
      </c>
      <c r="EO286" s="315">
        <v>844</v>
      </c>
      <c r="EP286" s="315">
        <v>25128</v>
      </c>
      <c r="EQ286" s="315">
        <v>9918</v>
      </c>
      <c r="ER286" s="315">
        <v>15210</v>
      </c>
      <c r="ES286" s="315">
        <v>14920</v>
      </c>
      <c r="ET286" s="315">
        <v>290</v>
      </c>
      <c r="EU286" s="315">
        <v>1433</v>
      </c>
      <c r="EV286" s="315">
        <v>275</v>
      </c>
      <c r="EW286" s="315">
        <v>1158</v>
      </c>
      <c r="EX286" s="315">
        <v>1136</v>
      </c>
      <c r="EY286" s="315">
        <v>22</v>
      </c>
      <c r="EZ286" s="315">
        <v>844479</v>
      </c>
      <c r="FA286" s="315">
        <v>288504</v>
      </c>
      <c r="FB286" s="315">
        <v>555975</v>
      </c>
      <c r="FC286" s="315">
        <v>546076</v>
      </c>
      <c r="FD286" s="315">
        <v>9899</v>
      </c>
      <c r="FE286" s="315">
        <v>428754</v>
      </c>
      <c r="FF286" s="315">
        <v>94575</v>
      </c>
      <c r="FG286" s="315">
        <v>334179</v>
      </c>
      <c r="FH286" s="315">
        <v>328062</v>
      </c>
      <c r="FI286" s="315">
        <v>6117</v>
      </c>
      <c r="FJ286" s="315">
        <v>113024</v>
      </c>
      <c r="FK286" s="315">
        <v>-4191</v>
      </c>
      <c r="FL286" s="315">
        <v>117215</v>
      </c>
      <c r="FM286" s="315">
        <v>117215</v>
      </c>
      <c r="FN286" s="315"/>
      <c r="FO286" s="315"/>
      <c r="FP286" s="315">
        <v>0</v>
      </c>
      <c r="FQ286" s="315">
        <v>-129</v>
      </c>
      <c r="FR286" s="315">
        <v>504407</v>
      </c>
      <c r="FS286" s="315">
        <v>-55051</v>
      </c>
      <c r="FT286" s="315">
        <v>449356</v>
      </c>
      <c r="FU286" s="315">
        <v>-4515</v>
      </c>
      <c r="FV286" s="315">
        <v>-4823</v>
      </c>
      <c r="FW286" s="315">
        <v>308</v>
      </c>
      <c r="FX286" s="315">
        <v>153485</v>
      </c>
      <c r="FY286" s="315">
        <v>124245</v>
      </c>
      <c r="FZ286" s="315"/>
      <c r="GA286" s="315"/>
      <c r="GB286" s="315">
        <v>151</v>
      </c>
      <c r="GC286" s="315">
        <v>64887</v>
      </c>
      <c r="GD286" s="315">
        <v>-29966</v>
      </c>
      <c r="GE286" s="315">
        <v>29</v>
      </c>
      <c r="GF286" s="315">
        <v>94824</v>
      </c>
      <c r="GG286" s="315">
        <v>111103</v>
      </c>
      <c r="GH286" s="315">
        <v>17823</v>
      </c>
      <c r="GI286" s="315">
        <v>464</v>
      </c>
      <c r="GJ286" s="315">
        <v>92816</v>
      </c>
      <c r="GL286"/>
      <c r="GM286"/>
      <c r="GN286"/>
      <c r="GO286"/>
    </row>
    <row r="287" spans="1:197">
      <c r="A287" s="98" t="s">
        <v>36</v>
      </c>
      <c r="B287" s="98">
        <v>4</v>
      </c>
      <c r="C287" s="98" t="s">
        <v>220</v>
      </c>
      <c r="D287" s="315">
        <v>31116162</v>
      </c>
      <c r="E287" s="315">
        <v>-4468934</v>
      </c>
      <c r="F287" s="315">
        <v>-14561</v>
      </c>
      <c r="G287" s="315">
        <v>26632667</v>
      </c>
      <c r="H287" s="315">
        <v>19742853</v>
      </c>
      <c r="I287" s="315">
        <v>6889814</v>
      </c>
      <c r="J287" s="315">
        <v>6747788</v>
      </c>
      <c r="K287" s="315">
        <v>142026</v>
      </c>
      <c r="L287" s="315">
        <v>10243843</v>
      </c>
      <c r="M287" s="315">
        <v>8657237</v>
      </c>
      <c r="N287" s="315">
        <v>115813</v>
      </c>
      <c r="O287" s="315">
        <v>0</v>
      </c>
      <c r="P287" s="315">
        <v>115813</v>
      </c>
      <c r="Q287" s="315">
        <v>74443</v>
      </c>
      <c r="R287" s="315">
        <v>1396350</v>
      </c>
      <c r="S287" s="315">
        <v>-1907024</v>
      </c>
      <c r="T287" s="315">
        <v>-1885350</v>
      </c>
      <c r="U287" s="315">
        <v>-80610</v>
      </c>
      <c r="V287" s="315">
        <v>-191</v>
      </c>
      <c r="W287" s="315">
        <v>-1740432</v>
      </c>
      <c r="X287" s="315">
        <v>0</v>
      </c>
      <c r="Y287" s="315">
        <v>-64117</v>
      </c>
      <c r="Z287" s="315">
        <v>-8047</v>
      </c>
      <c r="AA287" s="315">
        <v>-9784</v>
      </c>
      <c r="AB287" s="315">
        <v>-3843</v>
      </c>
      <c r="AC287" s="315">
        <v>-14561</v>
      </c>
      <c r="AD287" s="315">
        <v>8322258</v>
      </c>
      <c r="AE287" s="315">
        <v>5311476</v>
      </c>
      <c r="AF287" s="315">
        <v>3010782</v>
      </c>
      <c r="AG287" s="315">
        <v>2943765</v>
      </c>
      <c r="AH287" s="315">
        <v>67017</v>
      </c>
      <c r="AI287" s="315">
        <v>8648682</v>
      </c>
      <c r="AJ287" s="315">
        <v>1551006</v>
      </c>
      <c r="AK287" s="315">
        <v>3198608</v>
      </c>
      <c r="AL287" s="315">
        <v>3857328</v>
      </c>
      <c r="AM287" s="315">
        <v>287814</v>
      </c>
      <c r="AN287" s="315">
        <v>365398</v>
      </c>
      <c r="AO287" s="315">
        <v>46037</v>
      </c>
      <c r="AP287" s="315">
        <v>39228</v>
      </c>
      <c r="AQ287" s="315">
        <v>652801</v>
      </c>
      <c r="AR287" s="315">
        <v>-1769537</v>
      </c>
      <c r="AS287" s="315">
        <v>66396</v>
      </c>
      <c r="AT287" s="315">
        <v>0</v>
      </c>
      <c r="AU287" s="315">
        <v>-14561</v>
      </c>
      <c r="AV287" s="315">
        <v>6141570</v>
      </c>
      <c r="AW287" s="315">
        <v>5584379</v>
      </c>
      <c r="AX287" s="315">
        <v>106311</v>
      </c>
      <c r="AY287" s="315">
        <v>26903</v>
      </c>
      <c r="AZ287" s="315">
        <v>39075</v>
      </c>
      <c r="BA287" s="315">
        <v>17004</v>
      </c>
      <c r="BB287" s="315">
        <v>23329</v>
      </c>
      <c r="BC287" s="315">
        <v>155363</v>
      </c>
      <c r="BD287" s="315">
        <v>295517</v>
      </c>
      <c r="BE287" s="315">
        <v>-226212</v>
      </c>
      <c r="BF287" s="315">
        <v>-225509</v>
      </c>
      <c r="BG287" s="315">
        <v>-111563</v>
      </c>
      <c r="BH287" s="315">
        <v>-113946</v>
      </c>
      <c r="BI287" s="315">
        <v>0</v>
      </c>
      <c r="BJ287" s="315">
        <v>-78938</v>
      </c>
      <c r="BK287" s="315">
        <v>-146571</v>
      </c>
      <c r="BL287" s="315">
        <v>-703</v>
      </c>
      <c r="BM287" s="315">
        <v>0</v>
      </c>
      <c r="BN287" s="315">
        <v>5915358</v>
      </c>
      <c r="BO287" s="315">
        <v>123681</v>
      </c>
      <c r="BP287" s="315">
        <v>151665</v>
      </c>
      <c r="BQ287" s="315">
        <v>19593</v>
      </c>
      <c r="BR287" s="315">
        <v>111</v>
      </c>
      <c r="BS287" s="315">
        <v>5584084</v>
      </c>
      <c r="BT287" s="315">
        <v>1838660</v>
      </c>
      <c r="BU287" s="315">
        <v>2901152</v>
      </c>
      <c r="BV287" s="315">
        <v>836100</v>
      </c>
      <c r="BW287" s="315">
        <v>8172</v>
      </c>
      <c r="BX287" s="315">
        <v>-5252</v>
      </c>
      <c r="BY287" s="315">
        <v>41417</v>
      </c>
      <c r="BZ287" s="315">
        <v>59</v>
      </c>
      <c r="CA287" s="315">
        <v>223628</v>
      </c>
      <c r="CB287" s="315">
        <v>-58262</v>
      </c>
      <c r="CC287" s="315">
        <v>-58262</v>
      </c>
      <c r="CD287" s="315">
        <v>0</v>
      </c>
      <c r="CE287" s="315">
        <v>165366</v>
      </c>
      <c r="CF287" s="315">
        <v>171900</v>
      </c>
      <c r="CG287" s="315">
        <v>16148</v>
      </c>
      <c r="CH287" s="315">
        <v>-22682</v>
      </c>
      <c r="CI287" s="315">
        <v>11616145</v>
      </c>
      <c r="CJ287" s="315">
        <v>1338213</v>
      </c>
      <c r="CK287" s="315">
        <v>10277932</v>
      </c>
      <c r="CL287" s="315">
        <v>3592694</v>
      </c>
      <c r="CM287" s="315">
        <v>6233456</v>
      </c>
      <c r="CN287" s="315">
        <v>451782</v>
      </c>
      <c r="CO287" s="315">
        <v>12178</v>
      </c>
      <c r="CP287" s="315">
        <v>0</v>
      </c>
      <c r="CQ287" s="315">
        <v>439604</v>
      </c>
      <c r="CR287" s="315">
        <v>-2100380</v>
      </c>
      <c r="CS287" s="315">
        <v>-202818</v>
      </c>
      <c r="CT287" s="315">
        <v>-59786</v>
      </c>
      <c r="CU287" s="315">
        <v>-16908</v>
      </c>
      <c r="CV287" s="315">
        <v>-725</v>
      </c>
      <c r="CW287" s="315">
        <v>-125399</v>
      </c>
      <c r="CX287" s="315">
        <v>-1438353</v>
      </c>
      <c r="CY287" s="315">
        <v>-882056</v>
      </c>
      <c r="CZ287" s="315">
        <v>-552528</v>
      </c>
      <c r="DA287" s="315">
        <v>-3769</v>
      </c>
      <c r="DB287" s="315">
        <v>-459209</v>
      </c>
      <c r="DC287" s="315">
        <v>0</v>
      </c>
      <c r="DD287" s="315">
        <v>9515765</v>
      </c>
      <c r="DE287" s="315">
        <v>6703188</v>
      </c>
      <c r="DF287" s="315">
        <v>2812577</v>
      </c>
      <c r="DG287" s="315">
        <v>2754740</v>
      </c>
      <c r="DH287" s="315">
        <v>57837</v>
      </c>
      <c r="DI287" s="315">
        <v>1922147</v>
      </c>
      <c r="DJ287" s="315">
        <v>33270</v>
      </c>
      <c r="DK287" s="315">
        <v>22553</v>
      </c>
      <c r="DL287" s="315">
        <v>793</v>
      </c>
      <c r="DM287" s="315">
        <v>1180947</v>
      </c>
      <c r="DN287" s="315">
        <v>507563</v>
      </c>
      <c r="DO287" s="315">
        <v>117594</v>
      </c>
      <c r="DP287" s="315"/>
      <c r="DQ287" s="315">
        <v>59224</v>
      </c>
      <c r="DR287" s="315">
        <v>203</v>
      </c>
      <c r="DS287" s="315">
        <v>-77211</v>
      </c>
      <c r="DT287" s="315">
        <v>-40222</v>
      </c>
      <c r="DU287" s="315">
        <v>-13817</v>
      </c>
      <c r="DV287" s="315">
        <v>-1007</v>
      </c>
      <c r="DW287" s="315">
        <v>-6816</v>
      </c>
      <c r="DX287" s="315">
        <v>-2457</v>
      </c>
      <c r="DY287" s="315">
        <v>-65</v>
      </c>
      <c r="DZ287" s="315">
        <v>-4294</v>
      </c>
      <c r="EA287" s="315">
        <v>-14913</v>
      </c>
      <c r="EB287" s="315">
        <v>-393</v>
      </c>
      <c r="EC287" s="315"/>
      <c r="ED287" s="315">
        <v>0</v>
      </c>
      <c r="EE287" s="315">
        <v>-43</v>
      </c>
      <c r="EF287" s="315">
        <v>1844936</v>
      </c>
      <c r="EG287" s="315">
        <v>778481</v>
      </c>
      <c r="EH287" s="315">
        <v>1066455</v>
      </c>
      <c r="EI287" s="315">
        <v>1049283</v>
      </c>
      <c r="EJ287" s="315">
        <v>17172</v>
      </c>
      <c r="EK287" s="315">
        <v>-6952</v>
      </c>
      <c r="EL287" s="315">
        <v>-49667</v>
      </c>
      <c r="EM287" s="315">
        <v>42715</v>
      </c>
      <c r="EN287" s="315">
        <v>41873</v>
      </c>
      <c r="EO287" s="315">
        <v>842</v>
      </c>
      <c r="EP287" s="315">
        <v>8736</v>
      </c>
      <c r="EQ287" s="315">
        <v>-6475</v>
      </c>
      <c r="ER287" s="315">
        <v>15211</v>
      </c>
      <c r="ES287" s="315">
        <v>14921</v>
      </c>
      <c r="ET287" s="315">
        <v>290</v>
      </c>
      <c r="EU287" s="315">
        <v>-214</v>
      </c>
      <c r="EV287" s="315">
        <v>-1373</v>
      </c>
      <c r="EW287" s="315">
        <v>1159</v>
      </c>
      <c r="EX287" s="315">
        <v>1137</v>
      </c>
      <c r="EY287" s="315">
        <v>22</v>
      </c>
      <c r="EZ287" s="315">
        <v>1174131</v>
      </c>
      <c r="FA287" s="315">
        <v>618155</v>
      </c>
      <c r="FB287" s="315">
        <v>555976</v>
      </c>
      <c r="FC287" s="315">
        <v>546075</v>
      </c>
      <c r="FD287" s="315">
        <v>9901</v>
      </c>
      <c r="FE287" s="315">
        <v>492650</v>
      </c>
      <c r="FF287" s="315">
        <v>158472</v>
      </c>
      <c r="FG287" s="315">
        <v>334178</v>
      </c>
      <c r="FH287" s="315">
        <v>328061</v>
      </c>
      <c r="FI287" s="315">
        <v>6117</v>
      </c>
      <c r="FJ287" s="315">
        <v>117201</v>
      </c>
      <c r="FK287" s="315">
        <v>-15</v>
      </c>
      <c r="FL287" s="315">
        <v>117216</v>
      </c>
      <c r="FM287" s="315">
        <v>117216</v>
      </c>
      <c r="FN287" s="315"/>
      <c r="FO287" s="315"/>
      <c r="FP287" s="315">
        <v>59224</v>
      </c>
      <c r="FQ287" s="315">
        <v>160</v>
      </c>
      <c r="FR287" s="315">
        <v>968829</v>
      </c>
      <c r="FS287" s="315">
        <v>-99845</v>
      </c>
      <c r="FT287" s="315">
        <v>868984</v>
      </c>
      <c r="FU287" s="315">
        <v>3847</v>
      </c>
      <c r="FV287" s="315">
        <v>3223</v>
      </c>
      <c r="FW287" s="315">
        <v>624</v>
      </c>
      <c r="FX287" s="315">
        <v>170469</v>
      </c>
      <c r="FY287" s="315">
        <v>125471</v>
      </c>
      <c r="FZ287" s="315"/>
      <c r="GA287" s="315"/>
      <c r="GB287" s="315">
        <v>100</v>
      </c>
      <c r="GC287" s="315">
        <v>323477</v>
      </c>
      <c r="GD287" s="315">
        <v>336940</v>
      </c>
      <c r="GE287" s="315">
        <v>8</v>
      </c>
      <c r="GF287" s="315">
        <v>-13471</v>
      </c>
      <c r="GG287" s="315">
        <v>245620</v>
      </c>
      <c r="GH287" s="315">
        <v>14359</v>
      </c>
      <c r="GI287" s="315">
        <v>549</v>
      </c>
      <c r="GJ287" s="315">
        <v>230712</v>
      </c>
      <c r="GL287"/>
      <c r="GM287"/>
      <c r="GN287"/>
      <c r="GO287"/>
    </row>
    <row r="288" spans="1:197">
      <c r="A288" s="98" t="s">
        <v>36</v>
      </c>
      <c r="B288" s="98">
        <v>5</v>
      </c>
      <c r="C288" s="98" t="s">
        <v>221</v>
      </c>
      <c r="D288" s="315">
        <v>13517105</v>
      </c>
      <c r="E288" s="315">
        <v>-5343241</v>
      </c>
      <c r="F288" s="315">
        <v>-14561</v>
      </c>
      <c r="G288" s="315">
        <v>8159303</v>
      </c>
      <c r="H288" s="315">
        <v>1188765</v>
      </c>
      <c r="I288" s="315">
        <v>6970538</v>
      </c>
      <c r="J288" s="315">
        <v>6828509</v>
      </c>
      <c r="K288" s="315">
        <v>142029</v>
      </c>
      <c r="L288" s="315">
        <v>4776835</v>
      </c>
      <c r="M288" s="315">
        <v>4191603</v>
      </c>
      <c r="N288" s="315">
        <v>116750</v>
      </c>
      <c r="O288" s="315">
        <v>33286</v>
      </c>
      <c r="P288" s="315">
        <v>83464</v>
      </c>
      <c r="Q288" s="315">
        <v>65258</v>
      </c>
      <c r="R288" s="315">
        <v>403224</v>
      </c>
      <c r="S288" s="315">
        <v>-2400840</v>
      </c>
      <c r="T288" s="315">
        <v>-2389192</v>
      </c>
      <c r="U288" s="315">
        <v>-81291</v>
      </c>
      <c r="V288" s="315">
        <v>-74</v>
      </c>
      <c r="W288" s="315">
        <v>-2258844</v>
      </c>
      <c r="X288" s="315">
        <v>0</v>
      </c>
      <c r="Y288" s="315">
        <v>-48983</v>
      </c>
      <c r="Z288" s="315">
        <v>-5895</v>
      </c>
      <c r="AA288" s="315">
        <v>-5753</v>
      </c>
      <c r="AB288" s="315">
        <v>0</v>
      </c>
      <c r="AC288" s="315">
        <v>-14561</v>
      </c>
      <c r="AD288" s="315">
        <v>2361434</v>
      </c>
      <c r="AE288" s="315">
        <v>-730072</v>
      </c>
      <c r="AF288" s="315">
        <v>3091506</v>
      </c>
      <c r="AG288" s="315">
        <v>3024488</v>
      </c>
      <c r="AH288" s="315">
        <v>67018</v>
      </c>
      <c r="AI288" s="315">
        <v>4187015</v>
      </c>
      <c r="AJ288" s="315">
        <v>1559995</v>
      </c>
      <c r="AK288" s="315">
        <v>2563321</v>
      </c>
      <c r="AL288" s="315">
        <v>24481</v>
      </c>
      <c r="AM288" s="315">
        <v>281214</v>
      </c>
      <c r="AN288" s="315">
        <v>48828</v>
      </c>
      <c r="AO288" s="315">
        <v>32804</v>
      </c>
      <c r="AP288" s="315">
        <v>11443</v>
      </c>
      <c r="AQ288" s="315">
        <v>27770</v>
      </c>
      <c r="AR288" s="315">
        <v>-2272442</v>
      </c>
      <c r="AS288" s="315">
        <v>59363</v>
      </c>
      <c r="AT288" s="315">
        <v>0</v>
      </c>
      <c r="AU288" s="315">
        <v>-14561</v>
      </c>
      <c r="AV288" s="315">
        <v>337645</v>
      </c>
      <c r="AW288" s="315">
        <v>19761</v>
      </c>
      <c r="AX288" s="315">
        <v>49276</v>
      </c>
      <c r="AY288" s="315">
        <v>8416</v>
      </c>
      <c r="AZ288" s="315">
        <v>6818</v>
      </c>
      <c r="BA288" s="315">
        <v>13682</v>
      </c>
      <c r="BB288" s="315">
        <v>20360</v>
      </c>
      <c r="BC288" s="315">
        <v>122930</v>
      </c>
      <c r="BD288" s="315">
        <v>145678</v>
      </c>
      <c r="BE288" s="315">
        <v>-152859</v>
      </c>
      <c r="BF288" s="315">
        <v>-151459</v>
      </c>
      <c r="BG288" s="315">
        <v>-116073</v>
      </c>
      <c r="BH288" s="315">
        <v>-35386</v>
      </c>
      <c r="BI288" s="315">
        <v>0</v>
      </c>
      <c r="BJ288" s="315">
        <v>-58440</v>
      </c>
      <c r="BK288" s="315">
        <v>-93019</v>
      </c>
      <c r="BL288" s="315">
        <v>-1400</v>
      </c>
      <c r="BM288" s="315">
        <v>0</v>
      </c>
      <c r="BN288" s="315">
        <v>184786</v>
      </c>
      <c r="BO288" s="315">
        <v>114502</v>
      </c>
      <c r="BP288" s="315">
        <v>16386</v>
      </c>
      <c r="BQ288" s="315">
        <v>13949</v>
      </c>
      <c r="BR288" s="315">
        <v>118</v>
      </c>
      <c r="BS288" s="315">
        <v>18744</v>
      </c>
      <c r="BT288" s="315">
        <v>5286</v>
      </c>
      <c r="BU288" s="315">
        <v>654</v>
      </c>
      <c r="BV288" s="315">
        <v>2764</v>
      </c>
      <c r="BW288" s="315">
        <v>10040</v>
      </c>
      <c r="BX288" s="315">
        <v>-66797</v>
      </c>
      <c r="BY288" s="315">
        <v>87544</v>
      </c>
      <c r="BZ288" s="315">
        <v>340</v>
      </c>
      <c r="CA288" s="315">
        <v>193661</v>
      </c>
      <c r="CB288" s="315">
        <v>-29306</v>
      </c>
      <c r="CC288" s="315">
        <v>-29306</v>
      </c>
      <c r="CD288" s="315">
        <v>0</v>
      </c>
      <c r="CE288" s="315">
        <v>164355</v>
      </c>
      <c r="CF288" s="315">
        <v>173603</v>
      </c>
      <c r="CG288" s="315">
        <v>37</v>
      </c>
      <c r="CH288" s="315">
        <v>-9285</v>
      </c>
      <c r="CI288" s="315">
        <v>5653829</v>
      </c>
      <c r="CJ288" s="315">
        <v>1282151</v>
      </c>
      <c r="CK288" s="315">
        <v>4371678</v>
      </c>
      <c r="CL288" s="315">
        <v>3810278</v>
      </c>
      <c r="CM288" s="315">
        <v>116760</v>
      </c>
      <c r="CN288" s="315">
        <v>444640</v>
      </c>
      <c r="CO288" s="315">
        <v>0</v>
      </c>
      <c r="CP288" s="315">
        <v>0</v>
      </c>
      <c r="CQ288" s="315">
        <v>444640</v>
      </c>
      <c r="CR288" s="315">
        <v>-2670504</v>
      </c>
      <c r="CS288" s="315">
        <v>-1234070</v>
      </c>
      <c r="CT288" s="315">
        <v>-1133900</v>
      </c>
      <c r="CU288" s="315">
        <v>-22139</v>
      </c>
      <c r="CV288" s="315">
        <v>-2024</v>
      </c>
      <c r="CW288" s="315">
        <v>-76007</v>
      </c>
      <c r="CX288" s="315">
        <v>-1436434</v>
      </c>
      <c r="CY288" s="315">
        <v>-965407</v>
      </c>
      <c r="CZ288" s="315">
        <v>-468059</v>
      </c>
      <c r="DA288" s="315">
        <v>-2968</v>
      </c>
      <c r="DB288" s="315">
        <v>0</v>
      </c>
      <c r="DC288" s="315">
        <v>0</v>
      </c>
      <c r="DD288" s="315">
        <v>2983325</v>
      </c>
      <c r="DE288" s="315">
        <v>170748</v>
      </c>
      <c r="DF288" s="315">
        <v>2812577</v>
      </c>
      <c r="DG288" s="315">
        <v>2754739</v>
      </c>
      <c r="DH288" s="315">
        <v>57838</v>
      </c>
      <c r="DI288" s="315">
        <v>1633352</v>
      </c>
      <c r="DJ288" s="315">
        <v>68830</v>
      </c>
      <c r="DK288" s="315">
        <v>20820</v>
      </c>
      <c r="DL288" s="315">
        <v>2874</v>
      </c>
      <c r="DM288" s="315">
        <v>887473</v>
      </c>
      <c r="DN288" s="315">
        <v>545295</v>
      </c>
      <c r="DO288" s="315">
        <v>107584</v>
      </c>
      <c r="DP288" s="315"/>
      <c r="DQ288" s="315">
        <v>387</v>
      </c>
      <c r="DR288" s="315">
        <v>89</v>
      </c>
      <c r="DS288" s="315">
        <v>-34557</v>
      </c>
      <c r="DT288" s="315">
        <v>-4803</v>
      </c>
      <c r="DU288" s="315">
        <v>-139</v>
      </c>
      <c r="DV288" s="315">
        <v>-9</v>
      </c>
      <c r="DW288" s="315">
        <v>-29537</v>
      </c>
      <c r="DX288" s="315">
        <v>-8845</v>
      </c>
      <c r="DY288" s="315">
        <v>-939</v>
      </c>
      <c r="DZ288" s="315">
        <v>-19753</v>
      </c>
      <c r="EA288" s="315">
        <v>0</v>
      </c>
      <c r="EB288" s="315">
        <v>-50</v>
      </c>
      <c r="EC288" s="315"/>
      <c r="ED288" s="315">
        <v>0</v>
      </c>
      <c r="EE288" s="315">
        <v>-19</v>
      </c>
      <c r="EF288" s="315">
        <v>1598795</v>
      </c>
      <c r="EG288" s="315">
        <v>532340</v>
      </c>
      <c r="EH288" s="315">
        <v>1066455</v>
      </c>
      <c r="EI288" s="315">
        <v>1049282</v>
      </c>
      <c r="EJ288" s="315">
        <v>17173</v>
      </c>
      <c r="EK288" s="315">
        <v>64027</v>
      </c>
      <c r="EL288" s="315">
        <v>21311</v>
      </c>
      <c r="EM288" s="315">
        <v>42716</v>
      </c>
      <c r="EN288" s="315">
        <v>41872</v>
      </c>
      <c r="EO288" s="315">
        <v>844</v>
      </c>
      <c r="EP288" s="315">
        <v>20681</v>
      </c>
      <c r="EQ288" s="315">
        <v>5470</v>
      </c>
      <c r="ER288" s="315">
        <v>15211</v>
      </c>
      <c r="ES288" s="315">
        <v>14920</v>
      </c>
      <c r="ET288" s="315">
        <v>291</v>
      </c>
      <c r="EU288" s="315">
        <v>2865</v>
      </c>
      <c r="EV288" s="315">
        <v>1706</v>
      </c>
      <c r="EW288" s="315">
        <v>1159</v>
      </c>
      <c r="EX288" s="315">
        <v>1137</v>
      </c>
      <c r="EY288" s="315">
        <v>22</v>
      </c>
      <c r="EZ288" s="315">
        <v>857936</v>
      </c>
      <c r="FA288" s="315">
        <v>301960</v>
      </c>
      <c r="FB288" s="315">
        <v>555976</v>
      </c>
      <c r="FC288" s="315">
        <v>546076</v>
      </c>
      <c r="FD288" s="315">
        <v>9900</v>
      </c>
      <c r="FE288" s="315">
        <v>545295</v>
      </c>
      <c r="FF288" s="315">
        <v>211117</v>
      </c>
      <c r="FG288" s="315">
        <v>334178</v>
      </c>
      <c r="FH288" s="315">
        <v>328062</v>
      </c>
      <c r="FI288" s="315">
        <v>6116</v>
      </c>
      <c r="FJ288" s="315">
        <v>107534</v>
      </c>
      <c r="FK288" s="315">
        <v>-9681</v>
      </c>
      <c r="FL288" s="315">
        <v>117215</v>
      </c>
      <c r="FM288" s="315">
        <v>117215</v>
      </c>
      <c r="FN288" s="315"/>
      <c r="FO288" s="315"/>
      <c r="FP288" s="315">
        <v>387</v>
      </c>
      <c r="FQ288" s="315">
        <v>70</v>
      </c>
      <c r="FR288" s="315">
        <v>921783</v>
      </c>
      <c r="FS288" s="315">
        <v>-55175</v>
      </c>
      <c r="FT288" s="315">
        <v>866608</v>
      </c>
      <c r="FU288" s="315">
        <v>354557</v>
      </c>
      <c r="FV288" s="315">
        <v>330174</v>
      </c>
      <c r="FW288" s="315">
        <v>24383</v>
      </c>
      <c r="FX288" s="315">
        <v>123775</v>
      </c>
      <c r="FY288" s="315">
        <v>132475</v>
      </c>
      <c r="FZ288" s="315"/>
      <c r="GA288" s="315"/>
      <c r="GB288" s="315">
        <v>15782</v>
      </c>
      <c r="GC288" s="315">
        <v>98929</v>
      </c>
      <c r="GD288" s="315">
        <v>-29811</v>
      </c>
      <c r="GE288" s="315">
        <v>29831</v>
      </c>
      <c r="GF288" s="315">
        <v>98909</v>
      </c>
      <c r="GG288" s="315">
        <v>141090</v>
      </c>
      <c r="GH288" s="315">
        <v>11407</v>
      </c>
      <c r="GI288" s="315">
        <v>407</v>
      </c>
      <c r="GJ288" s="315">
        <v>129276</v>
      </c>
      <c r="GL288"/>
      <c r="GM288"/>
      <c r="GN288"/>
      <c r="GO288"/>
    </row>
    <row r="289" spans="1:197">
      <c r="A289" s="98" t="s">
        <v>36</v>
      </c>
      <c r="B289" s="98">
        <v>6</v>
      </c>
      <c r="C289" s="98" t="s">
        <v>222</v>
      </c>
      <c r="D289" s="315">
        <v>14018243</v>
      </c>
      <c r="E289" s="315">
        <v>-5679813</v>
      </c>
      <c r="F289" s="315">
        <v>-15014</v>
      </c>
      <c r="G289" s="315">
        <v>8323416</v>
      </c>
      <c r="H289" s="315">
        <v>1165106</v>
      </c>
      <c r="I289" s="315">
        <v>7158310</v>
      </c>
      <c r="J289" s="315">
        <v>7016282</v>
      </c>
      <c r="K289" s="315">
        <v>142028</v>
      </c>
      <c r="L289" s="315">
        <v>5289417</v>
      </c>
      <c r="M289" s="315">
        <v>4550634</v>
      </c>
      <c r="N289" s="315">
        <v>288045</v>
      </c>
      <c r="O289" s="315">
        <v>184010</v>
      </c>
      <c r="P289" s="315">
        <v>104035</v>
      </c>
      <c r="Q289" s="315">
        <v>90467</v>
      </c>
      <c r="R289" s="315">
        <v>360271</v>
      </c>
      <c r="S289" s="315">
        <v>-2664187</v>
      </c>
      <c r="T289" s="315">
        <v>-2641908</v>
      </c>
      <c r="U289" s="315">
        <v>-80756</v>
      </c>
      <c r="V289" s="315">
        <v>-31</v>
      </c>
      <c r="W289" s="315">
        <v>-2521877</v>
      </c>
      <c r="X289" s="315">
        <v>0</v>
      </c>
      <c r="Y289" s="315">
        <v>-39244</v>
      </c>
      <c r="Z289" s="315">
        <v>-4850</v>
      </c>
      <c r="AA289" s="315">
        <v>-11043</v>
      </c>
      <c r="AB289" s="315">
        <v>-6386</v>
      </c>
      <c r="AC289" s="315">
        <v>-15014</v>
      </c>
      <c r="AD289" s="315">
        <v>2610216</v>
      </c>
      <c r="AE289" s="315">
        <v>-669061</v>
      </c>
      <c r="AF289" s="315">
        <v>3279277</v>
      </c>
      <c r="AG289" s="315">
        <v>3212260</v>
      </c>
      <c r="AH289" s="315">
        <v>67017</v>
      </c>
      <c r="AI289" s="315">
        <v>4540993</v>
      </c>
      <c r="AJ289" s="315">
        <v>1811269</v>
      </c>
      <c r="AK289" s="315">
        <v>2673232</v>
      </c>
      <c r="AL289" s="315">
        <v>18890</v>
      </c>
      <c r="AM289" s="315">
        <v>217663</v>
      </c>
      <c r="AN289" s="315">
        <v>45710</v>
      </c>
      <c r="AO289" s="315">
        <v>45045</v>
      </c>
      <c r="AP289" s="315">
        <v>16374</v>
      </c>
      <c r="AQ289" s="315">
        <v>27691</v>
      </c>
      <c r="AR289" s="315">
        <v>-2353863</v>
      </c>
      <c r="AS289" s="315">
        <v>85617</v>
      </c>
      <c r="AT289" s="315">
        <v>0</v>
      </c>
      <c r="AU289" s="315">
        <v>-15014</v>
      </c>
      <c r="AV289" s="315">
        <v>372793</v>
      </c>
      <c r="AW289" s="315">
        <v>28390</v>
      </c>
      <c r="AX289" s="315">
        <v>39563</v>
      </c>
      <c r="AY289" s="315">
        <v>8972</v>
      </c>
      <c r="AZ289" s="315">
        <v>872</v>
      </c>
      <c r="BA289" s="315">
        <v>8726</v>
      </c>
      <c r="BB289" s="315">
        <v>20993</v>
      </c>
      <c r="BC289" s="315">
        <v>173680</v>
      </c>
      <c r="BD289" s="315">
        <v>131160</v>
      </c>
      <c r="BE289" s="315">
        <v>-131642</v>
      </c>
      <c r="BF289" s="315">
        <v>-130722</v>
      </c>
      <c r="BG289" s="315">
        <v>-79535</v>
      </c>
      <c r="BH289" s="315">
        <v>-51187</v>
      </c>
      <c r="BI289" s="315">
        <v>0</v>
      </c>
      <c r="BJ289" s="315">
        <v>-44435</v>
      </c>
      <c r="BK289" s="315">
        <v>-86287</v>
      </c>
      <c r="BL289" s="315">
        <v>-920</v>
      </c>
      <c r="BM289" s="315">
        <v>0</v>
      </c>
      <c r="BN289" s="315">
        <v>241151</v>
      </c>
      <c r="BO289" s="315">
        <v>95159</v>
      </c>
      <c r="BP289" s="315">
        <v>16227</v>
      </c>
      <c r="BQ289" s="315">
        <v>19067</v>
      </c>
      <c r="BR289" s="315">
        <v>7</v>
      </c>
      <c r="BS289" s="315">
        <v>27904</v>
      </c>
      <c r="BT289" s="315">
        <v>9780</v>
      </c>
      <c r="BU289" s="315">
        <v>9488</v>
      </c>
      <c r="BV289" s="315">
        <v>1238</v>
      </c>
      <c r="BW289" s="315">
        <v>7398</v>
      </c>
      <c r="BX289" s="315">
        <v>-39972</v>
      </c>
      <c r="BY289" s="315">
        <v>122493</v>
      </c>
      <c r="BZ289" s="315">
        <v>266</v>
      </c>
      <c r="CA289" s="315">
        <v>244182</v>
      </c>
      <c r="CB289" s="315">
        <v>-48253</v>
      </c>
      <c r="CC289" s="315">
        <v>-48253</v>
      </c>
      <c r="CD289" s="315">
        <v>0</v>
      </c>
      <c r="CE289" s="315">
        <v>195929</v>
      </c>
      <c r="CF289" s="315">
        <v>226671</v>
      </c>
      <c r="CG289" s="315">
        <v>57</v>
      </c>
      <c r="CH289" s="315">
        <v>-30799</v>
      </c>
      <c r="CI289" s="315">
        <v>5668245</v>
      </c>
      <c r="CJ289" s="315">
        <v>1358988</v>
      </c>
      <c r="CK289" s="315">
        <v>4309257</v>
      </c>
      <c r="CL289" s="315">
        <v>3736344</v>
      </c>
      <c r="CM289" s="315">
        <v>47082</v>
      </c>
      <c r="CN289" s="315">
        <v>525831</v>
      </c>
      <c r="CO289" s="315">
        <v>13811</v>
      </c>
      <c r="CP289" s="315">
        <v>0</v>
      </c>
      <c r="CQ289" s="315">
        <v>512020</v>
      </c>
      <c r="CR289" s="315">
        <v>-2743005</v>
      </c>
      <c r="CS289" s="315">
        <v>-684116</v>
      </c>
      <c r="CT289" s="315">
        <v>-559554</v>
      </c>
      <c r="CU289" s="315">
        <v>-9350</v>
      </c>
      <c r="CV289" s="315">
        <v>-474</v>
      </c>
      <c r="CW289" s="315">
        <v>-114738</v>
      </c>
      <c r="CX289" s="315">
        <v>-1799921</v>
      </c>
      <c r="CY289" s="315">
        <v>-1189245</v>
      </c>
      <c r="CZ289" s="315">
        <v>-608264</v>
      </c>
      <c r="DA289" s="315">
        <v>-2412</v>
      </c>
      <c r="DB289" s="315">
        <v>-13810</v>
      </c>
      <c r="DC289" s="315">
        <v>-245158</v>
      </c>
      <c r="DD289" s="315">
        <v>2925240</v>
      </c>
      <c r="DE289" s="315">
        <v>112666</v>
      </c>
      <c r="DF289" s="315">
        <v>2812574</v>
      </c>
      <c r="DG289" s="315">
        <v>2754739</v>
      </c>
      <c r="DH289" s="315">
        <v>57835</v>
      </c>
      <c r="DI289" s="315">
        <v>1767288</v>
      </c>
      <c r="DJ289" s="315">
        <v>70627</v>
      </c>
      <c r="DK289" s="315">
        <v>29430</v>
      </c>
      <c r="DL289" s="315">
        <v>1673</v>
      </c>
      <c r="DM289" s="315">
        <v>946836</v>
      </c>
      <c r="DN289" s="315">
        <v>606389</v>
      </c>
      <c r="DO289" s="315">
        <v>103459</v>
      </c>
      <c r="DP289" s="315"/>
      <c r="DQ289" s="315">
        <v>8793</v>
      </c>
      <c r="DR289" s="315">
        <v>81</v>
      </c>
      <c r="DS289" s="315">
        <v>-34664</v>
      </c>
      <c r="DT289" s="315">
        <v>-393</v>
      </c>
      <c r="DU289" s="315">
        <v>-2036</v>
      </c>
      <c r="DV289" s="315">
        <v>-4</v>
      </c>
      <c r="DW289" s="315">
        <v>-30071</v>
      </c>
      <c r="DX289" s="315">
        <v>-12422</v>
      </c>
      <c r="DY289" s="315">
        <v>-156</v>
      </c>
      <c r="DZ289" s="315">
        <v>-17493</v>
      </c>
      <c r="EA289" s="315">
        <v>-2101</v>
      </c>
      <c r="EB289" s="315">
        <v>-59</v>
      </c>
      <c r="EC289" s="315"/>
      <c r="ED289" s="315">
        <v>0</v>
      </c>
      <c r="EE289" s="315">
        <v>0</v>
      </c>
      <c r="EF289" s="315">
        <v>1732624</v>
      </c>
      <c r="EG289" s="315">
        <v>666165</v>
      </c>
      <c r="EH289" s="315">
        <v>1066459</v>
      </c>
      <c r="EI289" s="315">
        <v>1049283</v>
      </c>
      <c r="EJ289" s="315">
        <v>17176</v>
      </c>
      <c r="EK289" s="315">
        <v>70234</v>
      </c>
      <c r="EL289" s="315">
        <v>27519</v>
      </c>
      <c r="EM289" s="315">
        <v>42715</v>
      </c>
      <c r="EN289" s="315">
        <v>41872</v>
      </c>
      <c r="EO289" s="315">
        <v>843</v>
      </c>
      <c r="EP289" s="315">
        <v>27394</v>
      </c>
      <c r="EQ289" s="315">
        <v>12182</v>
      </c>
      <c r="ER289" s="315">
        <v>15212</v>
      </c>
      <c r="ES289" s="315">
        <v>14921</v>
      </c>
      <c r="ET289" s="315">
        <v>291</v>
      </c>
      <c r="EU289" s="315">
        <v>1669</v>
      </c>
      <c r="EV289" s="315">
        <v>510</v>
      </c>
      <c r="EW289" s="315">
        <v>1159</v>
      </c>
      <c r="EX289" s="315">
        <v>1137</v>
      </c>
      <c r="EY289" s="315">
        <v>22</v>
      </c>
      <c r="EZ289" s="315">
        <v>916765</v>
      </c>
      <c r="FA289" s="315">
        <v>360787</v>
      </c>
      <c r="FB289" s="315">
        <v>555978</v>
      </c>
      <c r="FC289" s="315">
        <v>546076</v>
      </c>
      <c r="FD289" s="315">
        <v>9902</v>
      </c>
      <c r="FE289" s="315">
        <v>604288</v>
      </c>
      <c r="FF289" s="315">
        <v>270109</v>
      </c>
      <c r="FG289" s="315">
        <v>334179</v>
      </c>
      <c r="FH289" s="315">
        <v>328061</v>
      </c>
      <c r="FI289" s="315">
        <v>6118</v>
      </c>
      <c r="FJ289" s="315">
        <v>103400</v>
      </c>
      <c r="FK289" s="315">
        <v>-13816</v>
      </c>
      <c r="FL289" s="315">
        <v>117216</v>
      </c>
      <c r="FM289" s="315">
        <v>117216</v>
      </c>
      <c r="FN289" s="315"/>
      <c r="FO289" s="315"/>
      <c r="FP289" s="315">
        <v>8793</v>
      </c>
      <c r="FQ289" s="315">
        <v>81</v>
      </c>
      <c r="FR289" s="315">
        <v>676318</v>
      </c>
      <c r="FS289" s="315">
        <v>-58062</v>
      </c>
      <c r="FT289" s="315">
        <v>618256</v>
      </c>
      <c r="FU289" s="315">
        <v>144113</v>
      </c>
      <c r="FV289" s="315">
        <v>139230</v>
      </c>
      <c r="FW289" s="315">
        <v>4883</v>
      </c>
      <c r="FX289" s="315">
        <v>145625</v>
      </c>
      <c r="FY289" s="315">
        <v>125609</v>
      </c>
      <c r="FZ289" s="315"/>
      <c r="GA289" s="315"/>
      <c r="GB289" s="315">
        <v>103</v>
      </c>
      <c r="GC289" s="315">
        <v>72868</v>
      </c>
      <c r="GD289" s="315">
        <v>-23664</v>
      </c>
      <c r="GE289" s="315">
        <v>50450</v>
      </c>
      <c r="GF289" s="315">
        <v>46082</v>
      </c>
      <c r="GG289" s="315">
        <v>129938</v>
      </c>
      <c r="GH289" s="315">
        <v>15858</v>
      </c>
      <c r="GI289" s="315">
        <v>631</v>
      </c>
      <c r="GJ289" s="315">
        <v>113449</v>
      </c>
      <c r="GL289"/>
      <c r="GM289"/>
      <c r="GN289"/>
      <c r="GO289"/>
    </row>
    <row r="290" spans="1:197">
      <c r="A290" s="98" t="s">
        <v>36</v>
      </c>
      <c r="B290" s="98">
        <v>7</v>
      </c>
      <c r="C290" s="98" t="s">
        <v>223</v>
      </c>
      <c r="D290" s="315">
        <v>35343438</v>
      </c>
      <c r="E290" s="315">
        <v>-4402106</v>
      </c>
      <c r="F290" s="315">
        <v>-14561</v>
      </c>
      <c r="G290" s="315">
        <v>30926771</v>
      </c>
      <c r="H290" s="315">
        <v>18827016</v>
      </c>
      <c r="I290" s="315">
        <v>12099755</v>
      </c>
      <c r="J290" s="315">
        <v>11944997</v>
      </c>
      <c r="K290" s="315">
        <v>154758</v>
      </c>
      <c r="L290" s="315">
        <v>18619439</v>
      </c>
      <c r="M290" s="315">
        <v>10288612</v>
      </c>
      <c r="N290" s="315">
        <v>6555991</v>
      </c>
      <c r="O290" s="315">
        <v>6445353</v>
      </c>
      <c r="P290" s="315">
        <v>110638</v>
      </c>
      <c r="Q290" s="315">
        <v>145933</v>
      </c>
      <c r="R290" s="315">
        <v>1628903</v>
      </c>
      <c r="S290" s="315">
        <v>-989799</v>
      </c>
      <c r="T290" s="315">
        <v>-978954</v>
      </c>
      <c r="U290" s="315">
        <v>-80803</v>
      </c>
      <c r="V290" s="315">
        <v>-33</v>
      </c>
      <c r="W290" s="315">
        <v>-864125</v>
      </c>
      <c r="X290" s="315">
        <v>0</v>
      </c>
      <c r="Y290" s="315">
        <v>-33993</v>
      </c>
      <c r="Z290" s="315">
        <v>-6529</v>
      </c>
      <c r="AA290" s="315">
        <v>-4316</v>
      </c>
      <c r="AB290" s="315">
        <v>0</v>
      </c>
      <c r="AC290" s="315">
        <v>-14561</v>
      </c>
      <c r="AD290" s="315">
        <v>17615079</v>
      </c>
      <c r="AE290" s="315">
        <v>10451264</v>
      </c>
      <c r="AF290" s="315">
        <v>7163815</v>
      </c>
      <c r="AG290" s="315">
        <v>7092877</v>
      </c>
      <c r="AH290" s="315">
        <v>70938</v>
      </c>
      <c r="AI290" s="315">
        <v>10285372</v>
      </c>
      <c r="AJ290" s="315">
        <v>2560977</v>
      </c>
      <c r="AK290" s="315">
        <v>3438406</v>
      </c>
      <c r="AL290" s="315">
        <v>4246056</v>
      </c>
      <c r="AM290" s="315">
        <v>464724</v>
      </c>
      <c r="AN290" s="315">
        <v>375733</v>
      </c>
      <c r="AO290" s="315">
        <v>51736</v>
      </c>
      <c r="AP290" s="315">
        <v>24113</v>
      </c>
      <c r="AQ290" s="315">
        <v>711521</v>
      </c>
      <c r="AR290" s="315">
        <v>5577037</v>
      </c>
      <c r="AS290" s="315">
        <v>139404</v>
      </c>
      <c r="AT290" s="315">
        <v>0</v>
      </c>
      <c r="AU290" s="315">
        <v>-14561</v>
      </c>
      <c r="AV290" s="315">
        <v>889651</v>
      </c>
      <c r="AW290" s="315">
        <v>8637</v>
      </c>
      <c r="AX290" s="315">
        <v>346952</v>
      </c>
      <c r="AY290" s="315">
        <v>181306</v>
      </c>
      <c r="AZ290" s="315">
        <v>23854</v>
      </c>
      <c r="BA290" s="315">
        <v>123123</v>
      </c>
      <c r="BB290" s="315">
        <v>18669</v>
      </c>
      <c r="BC290" s="315">
        <v>157707</v>
      </c>
      <c r="BD290" s="315">
        <v>376355</v>
      </c>
      <c r="BE290" s="315">
        <v>-113770</v>
      </c>
      <c r="BF290" s="315">
        <v>-112522</v>
      </c>
      <c r="BG290" s="315">
        <v>-79829</v>
      </c>
      <c r="BH290" s="315">
        <v>-32693</v>
      </c>
      <c r="BI290" s="315">
        <v>0</v>
      </c>
      <c r="BJ290" s="315">
        <v>-59958</v>
      </c>
      <c r="BK290" s="315">
        <v>-52564</v>
      </c>
      <c r="BL290" s="315">
        <v>-1248</v>
      </c>
      <c r="BM290" s="315">
        <v>0</v>
      </c>
      <c r="BN290" s="315">
        <v>775881</v>
      </c>
      <c r="BO290" s="315">
        <v>197240</v>
      </c>
      <c r="BP290" s="315">
        <v>156456</v>
      </c>
      <c r="BQ290" s="315">
        <v>22016</v>
      </c>
      <c r="BR290" s="315">
        <v>193</v>
      </c>
      <c r="BS290" s="315">
        <v>7775</v>
      </c>
      <c r="BT290" s="315">
        <v>1269</v>
      </c>
      <c r="BU290" s="315">
        <v>132</v>
      </c>
      <c r="BV290" s="315">
        <v>1908</v>
      </c>
      <c r="BW290" s="315">
        <v>4466</v>
      </c>
      <c r="BX290" s="315">
        <v>267123</v>
      </c>
      <c r="BY290" s="315">
        <v>125014</v>
      </c>
      <c r="BZ290" s="315">
        <v>64</v>
      </c>
      <c r="CA290" s="315">
        <v>613429</v>
      </c>
      <c r="CB290" s="315">
        <v>-48051</v>
      </c>
      <c r="CC290" s="315">
        <v>-48051</v>
      </c>
      <c r="CD290" s="315">
        <v>0</v>
      </c>
      <c r="CE290" s="315">
        <v>565378</v>
      </c>
      <c r="CF290" s="315">
        <v>358649</v>
      </c>
      <c r="CG290" s="315">
        <v>15</v>
      </c>
      <c r="CH290" s="315">
        <v>206714</v>
      </c>
      <c r="CI290" s="315">
        <v>12852568</v>
      </c>
      <c r="CJ290" s="315">
        <v>1476438</v>
      </c>
      <c r="CK290" s="315">
        <v>11376130</v>
      </c>
      <c r="CL290" s="315">
        <v>4061339</v>
      </c>
      <c r="CM290" s="315">
        <v>6848972</v>
      </c>
      <c r="CN290" s="315">
        <v>465819</v>
      </c>
      <c r="CO290" s="315">
        <v>0</v>
      </c>
      <c r="CP290" s="315">
        <v>0</v>
      </c>
      <c r="CQ290" s="315">
        <v>465819</v>
      </c>
      <c r="CR290" s="315">
        <v>-3127063</v>
      </c>
      <c r="CS290" s="315">
        <v>-1045682</v>
      </c>
      <c r="CT290" s="315">
        <v>-910994</v>
      </c>
      <c r="CU290" s="315">
        <v>-7365</v>
      </c>
      <c r="CV290" s="315">
        <v>-309</v>
      </c>
      <c r="CW290" s="315">
        <v>-127014</v>
      </c>
      <c r="CX290" s="315">
        <v>-1666465</v>
      </c>
      <c r="CY290" s="315">
        <v>-1446626</v>
      </c>
      <c r="CZ290" s="315">
        <v>-208207</v>
      </c>
      <c r="DA290" s="315">
        <v>-11632</v>
      </c>
      <c r="DB290" s="315">
        <v>-414916</v>
      </c>
      <c r="DC290" s="315">
        <v>0</v>
      </c>
      <c r="DD290" s="315">
        <v>9725505</v>
      </c>
      <c r="DE290" s="315">
        <v>5852230</v>
      </c>
      <c r="DF290" s="315">
        <v>3873275</v>
      </c>
      <c r="DG290" s="315">
        <v>3808399</v>
      </c>
      <c r="DH290" s="315">
        <v>64876</v>
      </c>
      <c r="DI290" s="315">
        <v>1787070</v>
      </c>
      <c r="DJ290" s="315">
        <v>48298</v>
      </c>
      <c r="DK290" s="315">
        <v>27555</v>
      </c>
      <c r="DL290" s="315">
        <v>1307</v>
      </c>
      <c r="DM290" s="315">
        <v>991054</v>
      </c>
      <c r="DN290" s="315">
        <v>565664</v>
      </c>
      <c r="DO290" s="315">
        <v>106361</v>
      </c>
      <c r="DP290" s="315"/>
      <c r="DQ290" s="315">
        <v>46685</v>
      </c>
      <c r="DR290" s="315">
        <v>146</v>
      </c>
      <c r="DS290" s="315">
        <v>-29383</v>
      </c>
      <c r="DT290" s="315">
        <v>-5046</v>
      </c>
      <c r="DU290" s="315">
        <v>-2898</v>
      </c>
      <c r="DV290" s="315">
        <v>-47</v>
      </c>
      <c r="DW290" s="315">
        <v>-12265</v>
      </c>
      <c r="DX290" s="315">
        <v>-11108</v>
      </c>
      <c r="DY290" s="315">
        <v>-89</v>
      </c>
      <c r="DZ290" s="315">
        <v>-1068</v>
      </c>
      <c r="EA290" s="315">
        <v>-9115</v>
      </c>
      <c r="EB290" s="315">
        <v>-8</v>
      </c>
      <c r="EC290" s="315"/>
      <c r="ED290" s="315">
        <v>-3</v>
      </c>
      <c r="EE290" s="315">
        <v>-1</v>
      </c>
      <c r="EF290" s="315">
        <v>1757687</v>
      </c>
      <c r="EG290" s="315">
        <v>695022</v>
      </c>
      <c r="EH290" s="315">
        <v>1062665</v>
      </c>
      <c r="EI290" s="315">
        <v>1043721</v>
      </c>
      <c r="EJ290" s="315">
        <v>18944</v>
      </c>
      <c r="EK290" s="315">
        <v>43252</v>
      </c>
      <c r="EL290" s="315">
        <v>5342</v>
      </c>
      <c r="EM290" s="315">
        <v>37910</v>
      </c>
      <c r="EN290" s="315">
        <v>37022</v>
      </c>
      <c r="EO290" s="315">
        <v>888</v>
      </c>
      <c r="EP290" s="315">
        <v>24657</v>
      </c>
      <c r="EQ290" s="315">
        <v>11690</v>
      </c>
      <c r="ER290" s="315">
        <v>12967</v>
      </c>
      <c r="ES290" s="315">
        <v>12609</v>
      </c>
      <c r="ET290" s="315">
        <v>358</v>
      </c>
      <c r="EU290" s="315">
        <v>1260</v>
      </c>
      <c r="EV290" s="315">
        <v>-1090</v>
      </c>
      <c r="EW290" s="315">
        <v>2350</v>
      </c>
      <c r="EX290" s="315">
        <v>2328</v>
      </c>
      <c r="EY290" s="315">
        <v>22</v>
      </c>
      <c r="EZ290" s="315">
        <v>978789</v>
      </c>
      <c r="FA290" s="315">
        <v>308455</v>
      </c>
      <c r="FB290" s="315">
        <v>670334</v>
      </c>
      <c r="FC290" s="315">
        <v>659714</v>
      </c>
      <c r="FD290" s="315">
        <v>10620</v>
      </c>
      <c r="FE290" s="315">
        <v>556549</v>
      </c>
      <c r="FF290" s="315">
        <v>189440</v>
      </c>
      <c r="FG290" s="315">
        <v>367109</v>
      </c>
      <c r="FH290" s="315">
        <v>360053</v>
      </c>
      <c r="FI290" s="315">
        <v>7056</v>
      </c>
      <c r="FJ290" s="315">
        <v>106353</v>
      </c>
      <c r="FK290" s="315">
        <v>134358</v>
      </c>
      <c r="FL290" s="315">
        <v>-28005</v>
      </c>
      <c r="FM290" s="315">
        <v>-28005</v>
      </c>
      <c r="FN290" s="315"/>
      <c r="FO290" s="315"/>
      <c r="FP290" s="315">
        <v>46682</v>
      </c>
      <c r="FQ290" s="315">
        <v>145</v>
      </c>
      <c r="FR290" s="315">
        <v>581281</v>
      </c>
      <c r="FS290" s="315">
        <v>-94040</v>
      </c>
      <c r="FT290" s="315">
        <v>487241</v>
      </c>
      <c r="FU290" s="315">
        <v>6664</v>
      </c>
      <c r="FV290" s="315">
        <v>5760</v>
      </c>
      <c r="FW290" s="315">
        <v>904</v>
      </c>
      <c r="FX290" s="315">
        <v>150126</v>
      </c>
      <c r="FY290" s="315">
        <v>129996</v>
      </c>
      <c r="FZ290" s="315"/>
      <c r="GA290" s="315"/>
      <c r="GB290" s="315">
        <v>69</v>
      </c>
      <c r="GC290" s="315">
        <v>1816</v>
      </c>
      <c r="GD290" s="315">
        <v>-23619</v>
      </c>
      <c r="GE290" s="315">
        <v>29341</v>
      </c>
      <c r="GF290" s="315">
        <v>-3906</v>
      </c>
      <c r="GG290" s="315">
        <v>198570</v>
      </c>
      <c r="GH290" s="315">
        <v>58213</v>
      </c>
      <c r="GI290" s="315">
        <v>559</v>
      </c>
      <c r="GJ290" s="315">
        <v>139798</v>
      </c>
      <c r="GL290"/>
      <c r="GM290"/>
      <c r="GN290"/>
      <c r="GO290"/>
    </row>
    <row r="291" spans="1:197">
      <c r="A291" s="98" t="s">
        <v>36</v>
      </c>
      <c r="B291" s="98">
        <v>8</v>
      </c>
      <c r="C291" s="98" t="s">
        <v>224</v>
      </c>
      <c r="D291" s="315">
        <v>19911802</v>
      </c>
      <c r="E291" s="315">
        <v>-2416799</v>
      </c>
      <c r="F291" s="315">
        <v>-14561</v>
      </c>
      <c r="G291" s="315">
        <v>17480442</v>
      </c>
      <c r="H291" s="315">
        <v>9740335</v>
      </c>
      <c r="I291" s="315">
        <v>7740107</v>
      </c>
      <c r="J291" s="315">
        <v>7464624</v>
      </c>
      <c r="K291" s="315">
        <v>275483</v>
      </c>
      <c r="L291" s="315">
        <v>5419666</v>
      </c>
      <c r="M291" s="315">
        <v>4773089</v>
      </c>
      <c r="N291" s="315">
        <v>114180</v>
      </c>
      <c r="O291" s="315">
        <v>26963</v>
      </c>
      <c r="P291" s="315">
        <v>87217</v>
      </c>
      <c r="Q291" s="315">
        <v>70464</v>
      </c>
      <c r="R291" s="315">
        <v>461933</v>
      </c>
      <c r="S291" s="315">
        <v>-294822</v>
      </c>
      <c r="T291" s="315">
        <v>-288955</v>
      </c>
      <c r="U291" s="315">
        <v>-77692</v>
      </c>
      <c r="V291" s="315">
        <v>-19</v>
      </c>
      <c r="W291" s="315">
        <v>-190868</v>
      </c>
      <c r="X291" s="315">
        <v>0</v>
      </c>
      <c r="Y291" s="315">
        <v>-20376</v>
      </c>
      <c r="Z291" s="315">
        <v>-4102</v>
      </c>
      <c r="AA291" s="315">
        <v>-1765</v>
      </c>
      <c r="AB291" s="315">
        <v>0</v>
      </c>
      <c r="AC291" s="315">
        <v>-14561</v>
      </c>
      <c r="AD291" s="315">
        <v>5110283</v>
      </c>
      <c r="AE291" s="315">
        <v>1724059</v>
      </c>
      <c r="AF291" s="315">
        <v>3386224</v>
      </c>
      <c r="AG291" s="315">
        <v>3256527</v>
      </c>
      <c r="AH291" s="315">
        <v>129697</v>
      </c>
      <c r="AI291" s="315">
        <v>4771677</v>
      </c>
      <c r="AJ291" s="315">
        <v>1731702</v>
      </c>
      <c r="AK291" s="315">
        <v>3003358</v>
      </c>
      <c r="AL291" s="315">
        <v>8905</v>
      </c>
      <c r="AM291" s="315">
        <v>335012</v>
      </c>
      <c r="AN291" s="315">
        <v>46473</v>
      </c>
      <c r="AO291" s="315">
        <v>32988</v>
      </c>
      <c r="AP291" s="315">
        <v>26554</v>
      </c>
      <c r="AQ291" s="315">
        <v>20553</v>
      </c>
      <c r="AR291" s="315">
        <v>-174775</v>
      </c>
      <c r="AS291" s="315">
        <v>66362</v>
      </c>
      <c r="AT291" s="315">
        <v>0</v>
      </c>
      <c r="AU291" s="315">
        <v>-14561</v>
      </c>
      <c r="AV291" s="315">
        <v>5763112</v>
      </c>
      <c r="AW291" s="315">
        <v>6373</v>
      </c>
      <c r="AX291" s="315">
        <v>5297482</v>
      </c>
      <c r="AY291" s="315">
        <v>1470649</v>
      </c>
      <c r="AZ291" s="315">
        <v>580628</v>
      </c>
      <c r="BA291" s="315">
        <v>3201440</v>
      </c>
      <c r="BB291" s="315">
        <v>44765</v>
      </c>
      <c r="BC291" s="315">
        <v>308232</v>
      </c>
      <c r="BD291" s="315">
        <v>151025</v>
      </c>
      <c r="BE291" s="315">
        <v>-50901</v>
      </c>
      <c r="BF291" s="315">
        <v>-50651</v>
      </c>
      <c r="BG291" s="315">
        <v>-24943</v>
      </c>
      <c r="BH291" s="315">
        <v>-25708</v>
      </c>
      <c r="BI291" s="315">
        <v>0</v>
      </c>
      <c r="BJ291" s="315">
        <v>-28869</v>
      </c>
      <c r="BK291" s="315">
        <v>-21782</v>
      </c>
      <c r="BL291" s="315">
        <v>-250</v>
      </c>
      <c r="BM291" s="315">
        <v>0</v>
      </c>
      <c r="BN291" s="315">
        <v>5712211</v>
      </c>
      <c r="BO291" s="315">
        <v>119186</v>
      </c>
      <c r="BP291" s="315">
        <v>17634</v>
      </c>
      <c r="BQ291" s="315">
        <v>14047</v>
      </c>
      <c r="BR291" s="315">
        <v>0</v>
      </c>
      <c r="BS291" s="315">
        <v>6221</v>
      </c>
      <c r="BT291" s="315">
        <v>503</v>
      </c>
      <c r="BU291" s="315">
        <v>1697</v>
      </c>
      <c r="BV291" s="315">
        <v>318</v>
      </c>
      <c r="BW291" s="315">
        <v>3703</v>
      </c>
      <c r="BX291" s="315">
        <v>5272539</v>
      </c>
      <c r="BY291" s="315">
        <v>282524</v>
      </c>
      <c r="BZ291" s="315">
        <v>60</v>
      </c>
      <c r="CA291" s="315">
        <v>309160</v>
      </c>
      <c r="CB291" s="315">
        <v>-41135</v>
      </c>
      <c r="CC291" s="315">
        <v>-41135</v>
      </c>
      <c r="CD291" s="315">
        <v>0</v>
      </c>
      <c r="CE291" s="315">
        <v>268025</v>
      </c>
      <c r="CF291" s="315">
        <v>246470</v>
      </c>
      <c r="CG291" s="315">
        <v>5</v>
      </c>
      <c r="CH291" s="315">
        <v>21550</v>
      </c>
      <c r="CI291" s="315">
        <v>6136180</v>
      </c>
      <c r="CJ291" s="315">
        <v>1355136</v>
      </c>
      <c r="CK291" s="315">
        <v>4781044</v>
      </c>
      <c r="CL291" s="315">
        <v>4303100</v>
      </c>
      <c r="CM291" s="315">
        <v>131213</v>
      </c>
      <c r="CN291" s="315">
        <v>346731</v>
      </c>
      <c r="CO291" s="315">
        <v>0</v>
      </c>
      <c r="CP291" s="315">
        <v>0</v>
      </c>
      <c r="CQ291" s="315">
        <v>346731</v>
      </c>
      <c r="CR291" s="315">
        <v>-1970470</v>
      </c>
      <c r="CS291" s="315">
        <v>-798453</v>
      </c>
      <c r="CT291" s="315">
        <v>-734885</v>
      </c>
      <c r="CU291" s="315">
        <v>-7636</v>
      </c>
      <c r="CV291" s="315">
        <v>-29</v>
      </c>
      <c r="CW291" s="315">
        <v>-55903</v>
      </c>
      <c r="CX291" s="315">
        <v>-1172017</v>
      </c>
      <c r="CY291" s="315">
        <v>-1117522</v>
      </c>
      <c r="CZ291" s="315">
        <v>-53642</v>
      </c>
      <c r="DA291" s="315">
        <v>-853</v>
      </c>
      <c r="DB291" s="315">
        <v>0</v>
      </c>
      <c r="DC291" s="315">
        <v>0</v>
      </c>
      <c r="DD291" s="315">
        <v>4165710</v>
      </c>
      <c r="DE291" s="315">
        <v>952309</v>
      </c>
      <c r="DF291" s="315">
        <v>3213401</v>
      </c>
      <c r="DG291" s="315">
        <v>3090553</v>
      </c>
      <c r="DH291" s="315">
        <v>122848</v>
      </c>
      <c r="DI291" s="315">
        <v>1871305</v>
      </c>
      <c r="DJ291" s="315">
        <v>97672</v>
      </c>
      <c r="DK291" s="315">
        <v>31924</v>
      </c>
      <c r="DL291" s="315">
        <v>3159</v>
      </c>
      <c r="DM291" s="315">
        <v>981727</v>
      </c>
      <c r="DN291" s="315">
        <v>647840</v>
      </c>
      <c r="DO291" s="315">
        <v>108935</v>
      </c>
      <c r="DP291" s="315"/>
      <c r="DQ291" s="315">
        <v>0</v>
      </c>
      <c r="DR291" s="315">
        <v>48</v>
      </c>
      <c r="DS291" s="315">
        <v>-16653</v>
      </c>
      <c r="DT291" s="315">
        <v>-1851</v>
      </c>
      <c r="DU291" s="315">
        <v>-270</v>
      </c>
      <c r="DV291" s="315">
        <v>-27</v>
      </c>
      <c r="DW291" s="315">
        <v>-14339</v>
      </c>
      <c r="DX291" s="315">
        <v>-11879</v>
      </c>
      <c r="DY291" s="315">
        <v>-681</v>
      </c>
      <c r="DZ291" s="315">
        <v>-1779</v>
      </c>
      <c r="EA291" s="315">
        <v>0</v>
      </c>
      <c r="EB291" s="315">
        <v>0</v>
      </c>
      <c r="EC291" s="315"/>
      <c r="ED291" s="315">
        <v>0</v>
      </c>
      <c r="EE291" s="315">
        <v>-166</v>
      </c>
      <c r="EF291" s="315">
        <v>1854652</v>
      </c>
      <c r="EG291" s="315">
        <v>714170</v>
      </c>
      <c r="EH291" s="315">
        <v>1140482</v>
      </c>
      <c r="EI291" s="315">
        <v>1117544</v>
      </c>
      <c r="EJ291" s="315">
        <v>22938</v>
      </c>
      <c r="EK291" s="315">
        <v>95821</v>
      </c>
      <c r="EL291" s="315">
        <v>51946</v>
      </c>
      <c r="EM291" s="315">
        <v>43875</v>
      </c>
      <c r="EN291" s="315">
        <v>43103</v>
      </c>
      <c r="EO291" s="315">
        <v>772</v>
      </c>
      <c r="EP291" s="315">
        <v>31654</v>
      </c>
      <c r="EQ291" s="315">
        <v>15124</v>
      </c>
      <c r="ER291" s="315">
        <v>16530</v>
      </c>
      <c r="ES291" s="315">
        <v>16342</v>
      </c>
      <c r="ET291" s="315">
        <v>188</v>
      </c>
      <c r="EU291" s="315">
        <v>3132</v>
      </c>
      <c r="EV291" s="315">
        <v>1826</v>
      </c>
      <c r="EW291" s="315">
        <v>1306</v>
      </c>
      <c r="EX291" s="315">
        <v>1232</v>
      </c>
      <c r="EY291" s="315">
        <v>74</v>
      </c>
      <c r="EZ291" s="315">
        <v>967388</v>
      </c>
      <c r="FA291" s="315">
        <v>353612</v>
      </c>
      <c r="FB291" s="315">
        <v>613776</v>
      </c>
      <c r="FC291" s="315">
        <v>600821</v>
      </c>
      <c r="FD291" s="315">
        <v>12955</v>
      </c>
      <c r="FE291" s="315">
        <v>647840</v>
      </c>
      <c r="FF291" s="315">
        <v>299082</v>
      </c>
      <c r="FG291" s="315">
        <v>348758</v>
      </c>
      <c r="FH291" s="315">
        <v>339809</v>
      </c>
      <c r="FI291" s="315">
        <v>8949</v>
      </c>
      <c r="FJ291" s="315">
        <v>108935</v>
      </c>
      <c r="FK291" s="315">
        <v>-7302</v>
      </c>
      <c r="FL291" s="315">
        <v>116237</v>
      </c>
      <c r="FM291" s="315">
        <v>116237</v>
      </c>
      <c r="FN291" s="315"/>
      <c r="FO291" s="315"/>
      <c r="FP291" s="315">
        <v>0</v>
      </c>
      <c r="FQ291" s="315">
        <v>-118</v>
      </c>
      <c r="FR291" s="315">
        <v>412379</v>
      </c>
      <c r="FS291" s="315">
        <v>-42818</v>
      </c>
      <c r="FT291" s="315">
        <v>369561</v>
      </c>
      <c r="FU291" s="315">
        <v>6254</v>
      </c>
      <c r="FV291" s="315">
        <v>5112</v>
      </c>
      <c r="FW291" s="315">
        <v>1142</v>
      </c>
      <c r="FX291" s="315">
        <v>171610</v>
      </c>
      <c r="FY291" s="315">
        <v>30319</v>
      </c>
      <c r="FZ291" s="315"/>
      <c r="GA291" s="315"/>
      <c r="GB291" s="315">
        <v>9974</v>
      </c>
      <c r="GC291" s="315">
        <v>50451</v>
      </c>
      <c r="GD291" s="315">
        <v>-30025</v>
      </c>
      <c r="GE291" s="315">
        <v>2</v>
      </c>
      <c r="GF291" s="315">
        <v>80474</v>
      </c>
      <c r="GG291" s="315">
        <v>100953</v>
      </c>
      <c r="GH291" s="315">
        <v>23418</v>
      </c>
      <c r="GI291" s="315">
        <v>-2129</v>
      </c>
      <c r="GJ291" s="315">
        <v>79664</v>
      </c>
      <c r="GL291"/>
      <c r="GM291"/>
      <c r="GN291"/>
      <c r="GO291"/>
    </row>
    <row r="292" spans="1:197">
      <c r="A292" s="98" t="s">
        <v>36</v>
      </c>
      <c r="B292" s="98">
        <v>9</v>
      </c>
      <c r="C292" s="98" t="s">
        <v>225</v>
      </c>
      <c r="D292" s="315">
        <v>13729408</v>
      </c>
      <c r="E292" s="315">
        <v>-2875851</v>
      </c>
      <c r="F292" s="315">
        <v>-14561</v>
      </c>
      <c r="G292" s="315">
        <v>10838996</v>
      </c>
      <c r="H292" s="315">
        <v>3219613</v>
      </c>
      <c r="I292" s="315">
        <v>7619383</v>
      </c>
      <c r="J292" s="315">
        <v>7464622</v>
      </c>
      <c r="K292" s="315">
        <v>154761</v>
      </c>
      <c r="L292" s="315">
        <v>4513978</v>
      </c>
      <c r="M292" s="315">
        <v>4072177</v>
      </c>
      <c r="N292" s="315">
        <v>131746</v>
      </c>
      <c r="O292" s="315">
        <v>25148</v>
      </c>
      <c r="P292" s="315">
        <v>106598</v>
      </c>
      <c r="Q292" s="315">
        <v>69535</v>
      </c>
      <c r="R292" s="315">
        <v>240520</v>
      </c>
      <c r="S292" s="315">
        <v>-487669</v>
      </c>
      <c r="T292" s="315">
        <v>-434603</v>
      </c>
      <c r="U292" s="315">
        <v>-45456</v>
      </c>
      <c r="V292" s="315">
        <v>-13</v>
      </c>
      <c r="W292" s="315">
        <v>-361187</v>
      </c>
      <c r="X292" s="315">
        <v>0</v>
      </c>
      <c r="Y292" s="315">
        <v>-27947</v>
      </c>
      <c r="Z292" s="315">
        <v>-1283</v>
      </c>
      <c r="AA292" s="315">
        <v>-3113</v>
      </c>
      <c r="AB292" s="315">
        <v>-48670</v>
      </c>
      <c r="AC292" s="315">
        <v>-14561</v>
      </c>
      <c r="AD292" s="315">
        <v>4011748</v>
      </c>
      <c r="AE292" s="315">
        <v>684283</v>
      </c>
      <c r="AF292" s="315">
        <v>3327465</v>
      </c>
      <c r="AG292" s="315">
        <v>3256527</v>
      </c>
      <c r="AH292" s="315">
        <v>70938</v>
      </c>
      <c r="AI292" s="315">
        <v>4070099</v>
      </c>
      <c r="AJ292" s="315">
        <v>1618688</v>
      </c>
      <c r="AK292" s="315">
        <v>2406871</v>
      </c>
      <c r="AL292" s="315">
        <v>11314</v>
      </c>
      <c r="AM292" s="315">
        <v>85767</v>
      </c>
      <c r="AN292" s="315">
        <v>41781</v>
      </c>
      <c r="AO292" s="315">
        <v>31443</v>
      </c>
      <c r="AP292" s="315">
        <v>9818</v>
      </c>
      <c r="AQ292" s="315">
        <v>22006</v>
      </c>
      <c r="AR292" s="315">
        <v>-302857</v>
      </c>
      <c r="AS292" s="315">
        <v>68252</v>
      </c>
      <c r="AT292" s="315">
        <v>0</v>
      </c>
      <c r="AU292" s="315">
        <v>-14561</v>
      </c>
      <c r="AV292" s="315">
        <v>297137</v>
      </c>
      <c r="AW292" s="315">
        <v>3924</v>
      </c>
      <c r="AX292" s="315">
        <v>130379</v>
      </c>
      <c r="AY292" s="315">
        <v>11131</v>
      </c>
      <c r="AZ292" s="315">
        <v>58035</v>
      </c>
      <c r="BA292" s="315">
        <v>8548</v>
      </c>
      <c r="BB292" s="315">
        <v>52665</v>
      </c>
      <c r="BC292" s="315">
        <v>77181</v>
      </c>
      <c r="BD292" s="315">
        <v>85653</v>
      </c>
      <c r="BE292" s="315">
        <v>-56307</v>
      </c>
      <c r="BF292" s="315">
        <v>-55617</v>
      </c>
      <c r="BG292" s="315">
        <v>-47715</v>
      </c>
      <c r="BH292" s="315">
        <v>-7902</v>
      </c>
      <c r="BI292" s="315">
        <v>0</v>
      </c>
      <c r="BJ292" s="315">
        <v>-14077</v>
      </c>
      <c r="BK292" s="315">
        <v>-41540</v>
      </c>
      <c r="BL292" s="315">
        <v>-690</v>
      </c>
      <c r="BM292" s="315">
        <v>0</v>
      </c>
      <c r="BN292" s="315">
        <v>240830</v>
      </c>
      <c r="BO292" s="315">
        <v>56785</v>
      </c>
      <c r="BP292" s="315">
        <v>15042</v>
      </c>
      <c r="BQ292" s="315">
        <v>13377</v>
      </c>
      <c r="BR292" s="315">
        <v>36</v>
      </c>
      <c r="BS292" s="315">
        <v>3594</v>
      </c>
      <c r="BT292" s="315">
        <v>460</v>
      </c>
      <c r="BU292" s="315">
        <v>13</v>
      </c>
      <c r="BV292" s="315">
        <v>364</v>
      </c>
      <c r="BW292" s="315">
        <v>2757</v>
      </c>
      <c r="BX292" s="315">
        <v>82664</v>
      </c>
      <c r="BY292" s="315">
        <v>69279</v>
      </c>
      <c r="BZ292" s="315">
        <v>53</v>
      </c>
      <c r="CA292" s="315">
        <v>181698</v>
      </c>
      <c r="CB292" s="315">
        <v>-102278</v>
      </c>
      <c r="CC292" s="315">
        <v>-102278</v>
      </c>
      <c r="CD292" s="315">
        <v>0</v>
      </c>
      <c r="CE292" s="315">
        <v>79420</v>
      </c>
      <c r="CF292" s="315">
        <v>159321</v>
      </c>
      <c r="CG292" s="315">
        <v>2</v>
      </c>
      <c r="CH292" s="315">
        <v>-79903</v>
      </c>
      <c r="CI292" s="315">
        <v>5976617</v>
      </c>
      <c r="CJ292" s="315">
        <v>1480961</v>
      </c>
      <c r="CK292" s="315">
        <v>4495656</v>
      </c>
      <c r="CL292" s="315">
        <v>3967066</v>
      </c>
      <c r="CM292" s="315">
        <v>71723</v>
      </c>
      <c r="CN292" s="315">
        <v>456867</v>
      </c>
      <c r="CO292" s="315">
        <v>0</v>
      </c>
      <c r="CP292" s="315">
        <v>0</v>
      </c>
      <c r="CQ292" s="315">
        <v>456867</v>
      </c>
      <c r="CR292" s="315">
        <v>-2154592</v>
      </c>
      <c r="CS292" s="315">
        <v>-406595</v>
      </c>
      <c r="CT292" s="315">
        <v>-310265</v>
      </c>
      <c r="CU292" s="315">
        <v>-4637</v>
      </c>
      <c r="CV292" s="315">
        <v>-113</v>
      </c>
      <c r="CW292" s="315">
        <v>-91580</v>
      </c>
      <c r="CX292" s="315">
        <v>-1562998</v>
      </c>
      <c r="CY292" s="315">
        <v>-1543774</v>
      </c>
      <c r="CZ292" s="315">
        <v>-18857</v>
      </c>
      <c r="DA292" s="315">
        <v>-367</v>
      </c>
      <c r="DB292" s="315">
        <v>0</v>
      </c>
      <c r="DC292" s="315">
        <v>-184999</v>
      </c>
      <c r="DD292" s="315">
        <v>3822025</v>
      </c>
      <c r="DE292" s="315">
        <v>666596</v>
      </c>
      <c r="DF292" s="315">
        <v>3155429</v>
      </c>
      <c r="DG292" s="315">
        <v>3090552</v>
      </c>
      <c r="DH292" s="315">
        <v>64877</v>
      </c>
      <c r="DI292" s="315">
        <v>1857832</v>
      </c>
      <c r="DJ292" s="315">
        <v>84292</v>
      </c>
      <c r="DK292" s="315">
        <v>35648</v>
      </c>
      <c r="DL292" s="315">
        <v>1342</v>
      </c>
      <c r="DM292" s="315">
        <v>968233</v>
      </c>
      <c r="DN292" s="315">
        <v>641738</v>
      </c>
      <c r="DO292" s="315">
        <v>126492</v>
      </c>
      <c r="DP292" s="315"/>
      <c r="DQ292" s="315">
        <v>11</v>
      </c>
      <c r="DR292" s="315">
        <v>76</v>
      </c>
      <c r="DS292" s="315">
        <v>-25984</v>
      </c>
      <c r="DT292" s="315">
        <v>-1242</v>
      </c>
      <c r="DU292" s="315">
        <v>-1551</v>
      </c>
      <c r="DV292" s="315">
        <v>-3</v>
      </c>
      <c r="DW292" s="315">
        <v>-22427</v>
      </c>
      <c r="DX292" s="315">
        <v>-6771</v>
      </c>
      <c r="DY292" s="315">
        <v>-278</v>
      </c>
      <c r="DZ292" s="315">
        <v>-15378</v>
      </c>
      <c r="EA292" s="315">
        <v>-28</v>
      </c>
      <c r="EB292" s="315">
        <v>-688</v>
      </c>
      <c r="EC292" s="315"/>
      <c r="ED292" s="315">
        <v>0</v>
      </c>
      <c r="EE292" s="315">
        <v>-45</v>
      </c>
      <c r="EF292" s="315">
        <v>1831848</v>
      </c>
      <c r="EG292" s="315">
        <v>695359</v>
      </c>
      <c r="EH292" s="315">
        <v>1136489</v>
      </c>
      <c r="EI292" s="315">
        <v>1117543</v>
      </c>
      <c r="EJ292" s="315">
        <v>18946</v>
      </c>
      <c r="EK292" s="315">
        <v>83050</v>
      </c>
      <c r="EL292" s="315">
        <v>39057</v>
      </c>
      <c r="EM292" s="315">
        <v>43993</v>
      </c>
      <c r="EN292" s="315">
        <v>43104</v>
      </c>
      <c r="EO292" s="315">
        <v>889</v>
      </c>
      <c r="EP292" s="315">
        <v>34097</v>
      </c>
      <c r="EQ292" s="315">
        <v>17397</v>
      </c>
      <c r="ER292" s="315">
        <v>16700</v>
      </c>
      <c r="ES292" s="315">
        <v>16341</v>
      </c>
      <c r="ET292" s="315">
        <v>359</v>
      </c>
      <c r="EU292" s="315">
        <v>1339</v>
      </c>
      <c r="EV292" s="315">
        <v>89</v>
      </c>
      <c r="EW292" s="315">
        <v>1250</v>
      </c>
      <c r="EX292" s="315">
        <v>1231</v>
      </c>
      <c r="EY292" s="315">
        <v>19</v>
      </c>
      <c r="EZ292" s="315">
        <v>945806</v>
      </c>
      <c r="FA292" s="315">
        <v>334362</v>
      </c>
      <c r="FB292" s="315">
        <v>611444</v>
      </c>
      <c r="FC292" s="315">
        <v>600822</v>
      </c>
      <c r="FD292" s="315">
        <v>10622</v>
      </c>
      <c r="FE292" s="315">
        <v>641710</v>
      </c>
      <c r="FF292" s="315">
        <v>294845</v>
      </c>
      <c r="FG292" s="315">
        <v>346865</v>
      </c>
      <c r="FH292" s="315">
        <v>339808</v>
      </c>
      <c r="FI292" s="315">
        <v>7057</v>
      </c>
      <c r="FJ292" s="315">
        <v>125804</v>
      </c>
      <c r="FK292" s="315">
        <v>9567</v>
      </c>
      <c r="FL292" s="315">
        <v>116237</v>
      </c>
      <c r="FM292" s="315">
        <v>116237</v>
      </c>
      <c r="FN292" s="315"/>
      <c r="FO292" s="315"/>
      <c r="FP292" s="315">
        <v>11</v>
      </c>
      <c r="FQ292" s="315">
        <v>31</v>
      </c>
      <c r="FR292" s="315">
        <v>902146</v>
      </c>
      <c r="FS292" s="315">
        <v>-49021</v>
      </c>
      <c r="FT292" s="315">
        <v>853125</v>
      </c>
      <c r="FU292" s="315">
        <v>366809</v>
      </c>
      <c r="FV292" s="315">
        <v>326287</v>
      </c>
      <c r="FW292" s="315">
        <v>40522</v>
      </c>
      <c r="FX292" s="315">
        <v>177117</v>
      </c>
      <c r="FY292" s="315">
        <v>221325</v>
      </c>
      <c r="FZ292" s="315"/>
      <c r="GA292" s="315"/>
      <c r="GB292" s="315">
        <v>92</v>
      </c>
      <c r="GC292" s="315">
        <v>4295</v>
      </c>
      <c r="GD292" s="315">
        <v>-31504</v>
      </c>
      <c r="GE292" s="315">
        <v>0</v>
      </c>
      <c r="GF292" s="315">
        <v>35799</v>
      </c>
      <c r="GG292" s="315">
        <v>83487</v>
      </c>
      <c r="GH292" s="315">
        <v>9400</v>
      </c>
      <c r="GI292" s="315">
        <v>300</v>
      </c>
      <c r="GJ292" s="315">
        <v>73787</v>
      </c>
      <c r="GL292"/>
      <c r="GM292"/>
      <c r="GN292"/>
      <c r="GO292"/>
    </row>
    <row r="293" spans="1:197">
      <c r="A293" s="98" t="s">
        <v>36</v>
      </c>
      <c r="B293" s="98">
        <v>10</v>
      </c>
      <c r="C293" s="98" t="s">
        <v>226</v>
      </c>
      <c r="D293" s="315">
        <v>39093328</v>
      </c>
      <c r="E293" s="315">
        <v>-3506181</v>
      </c>
      <c r="F293" s="315">
        <v>-14561</v>
      </c>
      <c r="G293" s="315">
        <v>35572586</v>
      </c>
      <c r="H293" s="315">
        <v>27954262</v>
      </c>
      <c r="I293" s="315">
        <v>7618324</v>
      </c>
      <c r="J293" s="315">
        <v>7464626</v>
      </c>
      <c r="K293" s="315">
        <v>153698</v>
      </c>
      <c r="L293" s="315">
        <v>9831629</v>
      </c>
      <c r="M293" s="315">
        <v>8176130</v>
      </c>
      <c r="N293" s="315">
        <v>139522</v>
      </c>
      <c r="O293" s="315">
        <v>27040</v>
      </c>
      <c r="P293" s="315">
        <v>112482</v>
      </c>
      <c r="Q293" s="315">
        <v>66491</v>
      </c>
      <c r="R293" s="315">
        <v>1449486</v>
      </c>
      <c r="S293" s="315">
        <v>-747517</v>
      </c>
      <c r="T293" s="315">
        <v>-722607</v>
      </c>
      <c r="U293" s="315">
        <v>-117693</v>
      </c>
      <c r="V293" s="315">
        <v>-31</v>
      </c>
      <c r="W293" s="315">
        <v>-570611</v>
      </c>
      <c r="X293" s="315">
        <v>0</v>
      </c>
      <c r="Y293" s="315">
        <v>-34272</v>
      </c>
      <c r="Z293" s="315">
        <v>-17363</v>
      </c>
      <c r="AA293" s="315">
        <v>-7547</v>
      </c>
      <c r="AB293" s="315">
        <v>0</v>
      </c>
      <c r="AC293" s="315">
        <v>-14561</v>
      </c>
      <c r="AD293" s="315">
        <v>9069551</v>
      </c>
      <c r="AE293" s="315">
        <v>5743029</v>
      </c>
      <c r="AF293" s="315">
        <v>3326522</v>
      </c>
      <c r="AG293" s="315">
        <v>3256527</v>
      </c>
      <c r="AH293" s="315">
        <v>69995</v>
      </c>
      <c r="AI293" s="315">
        <v>8170594</v>
      </c>
      <c r="AJ293" s="315">
        <v>1689033</v>
      </c>
      <c r="AK293" s="315">
        <v>2507092</v>
      </c>
      <c r="AL293" s="315">
        <v>3938782</v>
      </c>
      <c r="AM293" s="315">
        <v>303038</v>
      </c>
      <c r="AN293" s="315">
        <v>383853</v>
      </c>
      <c r="AO293" s="315">
        <v>37127</v>
      </c>
      <c r="AP293" s="315">
        <v>17605</v>
      </c>
      <c r="AQ293" s="315">
        <v>705852</v>
      </c>
      <c r="AR293" s="315">
        <v>-583085</v>
      </c>
      <c r="AS293" s="315">
        <v>49128</v>
      </c>
      <c r="AT293" s="315">
        <v>0</v>
      </c>
      <c r="AU293" s="315">
        <v>-14561</v>
      </c>
      <c r="AV293" s="315">
        <v>14191542</v>
      </c>
      <c r="AW293" s="315">
        <v>13651118</v>
      </c>
      <c r="AX293" s="315">
        <v>112388</v>
      </c>
      <c r="AY293" s="315">
        <v>6803</v>
      </c>
      <c r="AZ293" s="315">
        <v>4392</v>
      </c>
      <c r="BA293" s="315">
        <v>8863</v>
      </c>
      <c r="BB293" s="315">
        <v>92330</v>
      </c>
      <c r="BC293" s="315">
        <v>121702</v>
      </c>
      <c r="BD293" s="315">
        <v>306334</v>
      </c>
      <c r="BE293" s="315">
        <v>-217030</v>
      </c>
      <c r="BF293" s="315">
        <v>-215243</v>
      </c>
      <c r="BG293" s="315">
        <v>-165246</v>
      </c>
      <c r="BH293" s="315">
        <v>-49997</v>
      </c>
      <c r="BI293" s="315">
        <v>0</v>
      </c>
      <c r="BJ293" s="315">
        <v>-178894</v>
      </c>
      <c r="BK293" s="315">
        <v>-36349</v>
      </c>
      <c r="BL293" s="315">
        <v>-1787</v>
      </c>
      <c r="BM293" s="315">
        <v>0</v>
      </c>
      <c r="BN293" s="315">
        <v>13974512</v>
      </c>
      <c r="BO293" s="315">
        <v>128831</v>
      </c>
      <c r="BP293" s="315">
        <v>160182</v>
      </c>
      <c r="BQ293" s="315">
        <v>15802</v>
      </c>
      <c r="BR293" s="315">
        <v>687</v>
      </c>
      <c r="BS293" s="315">
        <v>13650107</v>
      </c>
      <c r="BT293" s="315">
        <v>3908642</v>
      </c>
      <c r="BU293" s="315">
        <v>8584000</v>
      </c>
      <c r="BV293" s="315">
        <v>1153924</v>
      </c>
      <c r="BW293" s="315">
        <v>3541</v>
      </c>
      <c r="BX293" s="315">
        <v>-52858</v>
      </c>
      <c r="BY293" s="315">
        <v>71705</v>
      </c>
      <c r="BZ293" s="315">
        <v>56</v>
      </c>
      <c r="CA293" s="315">
        <v>336057</v>
      </c>
      <c r="CB293" s="315">
        <v>-69341</v>
      </c>
      <c r="CC293" s="315">
        <v>-69341</v>
      </c>
      <c r="CD293" s="315">
        <v>0</v>
      </c>
      <c r="CE293" s="315">
        <v>266716</v>
      </c>
      <c r="CF293" s="315">
        <v>152719</v>
      </c>
      <c r="CG293" s="315">
        <v>30547</v>
      </c>
      <c r="CH293" s="315">
        <v>83450</v>
      </c>
      <c r="CI293" s="315">
        <v>12404320</v>
      </c>
      <c r="CJ293" s="315">
        <v>1371489</v>
      </c>
      <c r="CK293" s="315">
        <v>11032831</v>
      </c>
      <c r="CL293" s="315">
        <v>3741194</v>
      </c>
      <c r="CM293" s="315">
        <v>6822777</v>
      </c>
      <c r="CN293" s="315">
        <v>468860</v>
      </c>
      <c r="CO293" s="315">
        <v>42985</v>
      </c>
      <c r="CP293" s="315">
        <v>0</v>
      </c>
      <c r="CQ293" s="315">
        <v>425875</v>
      </c>
      <c r="CR293" s="315">
        <v>-2340293</v>
      </c>
      <c r="CS293" s="315">
        <v>-407616</v>
      </c>
      <c r="CT293" s="315">
        <v>-305406</v>
      </c>
      <c r="CU293" s="315">
        <v>-2574</v>
      </c>
      <c r="CV293" s="315">
        <v>-171</v>
      </c>
      <c r="CW293" s="315">
        <v>-99465</v>
      </c>
      <c r="CX293" s="315">
        <v>-1429872</v>
      </c>
      <c r="CY293" s="315">
        <v>-1381745</v>
      </c>
      <c r="CZ293" s="315">
        <v>-42645</v>
      </c>
      <c r="DA293" s="315">
        <v>-5482</v>
      </c>
      <c r="DB293" s="315">
        <v>-502805</v>
      </c>
      <c r="DC293" s="315">
        <v>0</v>
      </c>
      <c r="DD293" s="315">
        <v>10064027</v>
      </c>
      <c r="DE293" s="315">
        <v>6908599</v>
      </c>
      <c r="DF293" s="315">
        <v>3155428</v>
      </c>
      <c r="DG293" s="315">
        <v>3090553</v>
      </c>
      <c r="DH293" s="315">
        <v>64875</v>
      </c>
      <c r="DI293" s="315">
        <v>1831837</v>
      </c>
      <c r="DJ293" s="315">
        <v>66359</v>
      </c>
      <c r="DK293" s="315">
        <v>35897</v>
      </c>
      <c r="DL293" s="315">
        <v>1037</v>
      </c>
      <c r="DM293" s="315">
        <v>933233</v>
      </c>
      <c r="DN293" s="315">
        <v>601858</v>
      </c>
      <c r="DO293" s="315">
        <v>116861</v>
      </c>
      <c r="DP293" s="315"/>
      <c r="DQ293" s="315">
        <v>76535</v>
      </c>
      <c r="DR293" s="315">
        <v>57</v>
      </c>
      <c r="DS293" s="315">
        <v>-22932</v>
      </c>
      <c r="DT293" s="315">
        <v>-5728</v>
      </c>
      <c r="DU293" s="315">
        <v>-3027</v>
      </c>
      <c r="DV293" s="315">
        <v>-24</v>
      </c>
      <c r="DW293" s="315">
        <v>-7251</v>
      </c>
      <c r="DX293" s="315">
        <v>-4742</v>
      </c>
      <c r="DY293" s="315">
        <v>-374</v>
      </c>
      <c r="DZ293" s="315">
        <v>-2135</v>
      </c>
      <c r="EA293" s="315">
        <v>-6606</v>
      </c>
      <c r="EB293" s="315">
        <v>-9</v>
      </c>
      <c r="EC293" s="315"/>
      <c r="ED293" s="315">
        <v>-118</v>
      </c>
      <c r="EE293" s="315">
        <v>-169</v>
      </c>
      <c r="EF293" s="315">
        <v>1808905</v>
      </c>
      <c r="EG293" s="315">
        <v>672531</v>
      </c>
      <c r="EH293" s="315">
        <v>1136374</v>
      </c>
      <c r="EI293" s="315">
        <v>1117546</v>
      </c>
      <c r="EJ293" s="315">
        <v>18828</v>
      </c>
      <c r="EK293" s="315">
        <v>60631</v>
      </c>
      <c r="EL293" s="315">
        <v>16639</v>
      </c>
      <c r="EM293" s="315">
        <v>43992</v>
      </c>
      <c r="EN293" s="315">
        <v>43104</v>
      </c>
      <c r="EO293" s="315">
        <v>888</v>
      </c>
      <c r="EP293" s="315">
        <v>32870</v>
      </c>
      <c r="EQ293" s="315">
        <v>16171</v>
      </c>
      <c r="ER293" s="315">
        <v>16699</v>
      </c>
      <c r="ES293" s="315">
        <v>16342</v>
      </c>
      <c r="ET293" s="315">
        <v>357</v>
      </c>
      <c r="EU293" s="315">
        <v>1013</v>
      </c>
      <c r="EV293" s="315">
        <v>-241</v>
      </c>
      <c r="EW293" s="315">
        <v>1254</v>
      </c>
      <c r="EX293" s="315">
        <v>1232</v>
      </c>
      <c r="EY293" s="315">
        <v>22</v>
      </c>
      <c r="EZ293" s="315">
        <v>925982</v>
      </c>
      <c r="FA293" s="315">
        <v>314541</v>
      </c>
      <c r="FB293" s="315">
        <v>611441</v>
      </c>
      <c r="FC293" s="315">
        <v>600822</v>
      </c>
      <c r="FD293" s="315">
        <v>10619</v>
      </c>
      <c r="FE293" s="315">
        <v>595252</v>
      </c>
      <c r="FF293" s="315">
        <v>248502</v>
      </c>
      <c r="FG293" s="315">
        <v>346750</v>
      </c>
      <c r="FH293" s="315">
        <v>339808</v>
      </c>
      <c r="FI293" s="315">
        <v>6942</v>
      </c>
      <c r="FJ293" s="315">
        <v>116852</v>
      </c>
      <c r="FK293" s="315">
        <v>614</v>
      </c>
      <c r="FL293" s="315">
        <v>116238</v>
      </c>
      <c r="FM293" s="315">
        <v>116238</v>
      </c>
      <c r="FN293" s="315"/>
      <c r="FO293" s="315"/>
      <c r="FP293" s="315">
        <v>76417</v>
      </c>
      <c r="FQ293" s="315">
        <v>-112</v>
      </c>
      <c r="FR293" s="315">
        <v>497943</v>
      </c>
      <c r="FS293" s="315">
        <v>-109068</v>
      </c>
      <c r="FT293" s="315">
        <v>388875</v>
      </c>
      <c r="FU293" s="315">
        <v>7393</v>
      </c>
      <c r="FV293" s="315">
        <v>6447</v>
      </c>
      <c r="FW293" s="315">
        <v>946</v>
      </c>
      <c r="FX293" s="315">
        <v>165208</v>
      </c>
      <c r="FY293" s="315">
        <v>108250</v>
      </c>
      <c r="FZ293" s="315"/>
      <c r="GA293" s="315"/>
      <c r="GB293" s="315">
        <v>64</v>
      </c>
      <c r="GC293" s="315">
        <v>-28059</v>
      </c>
      <c r="GD293" s="315">
        <v>-31579</v>
      </c>
      <c r="GE293" s="315">
        <v>14</v>
      </c>
      <c r="GF293" s="315">
        <v>3506</v>
      </c>
      <c r="GG293" s="315">
        <v>136019</v>
      </c>
      <c r="GH293" s="315">
        <v>6498</v>
      </c>
      <c r="GI293" s="315">
        <v>492</v>
      </c>
      <c r="GJ293" s="315">
        <v>129029</v>
      </c>
      <c r="GL293"/>
      <c r="GM293"/>
      <c r="GN293"/>
      <c r="GO293"/>
    </row>
    <row r="294" spans="1:197">
      <c r="A294" s="98" t="s">
        <v>36</v>
      </c>
      <c r="B294" s="98">
        <v>11</v>
      </c>
      <c r="C294" s="98" t="s">
        <v>227</v>
      </c>
      <c r="D294" s="315">
        <v>16830541</v>
      </c>
      <c r="E294" s="315">
        <v>-3697285</v>
      </c>
      <c r="F294" s="315">
        <v>-14561</v>
      </c>
      <c r="G294" s="315">
        <v>13118695</v>
      </c>
      <c r="H294" s="315">
        <v>5499318</v>
      </c>
      <c r="I294" s="315">
        <v>7619377</v>
      </c>
      <c r="J294" s="315">
        <v>7464621</v>
      </c>
      <c r="K294" s="315">
        <v>154756</v>
      </c>
      <c r="L294" s="315">
        <v>7975205</v>
      </c>
      <c r="M294" s="315">
        <v>4299398</v>
      </c>
      <c r="N294" s="315">
        <v>3358734</v>
      </c>
      <c r="O294" s="315">
        <v>3250138</v>
      </c>
      <c r="P294" s="315">
        <v>108596</v>
      </c>
      <c r="Q294" s="315">
        <v>69120</v>
      </c>
      <c r="R294" s="315">
        <v>247953</v>
      </c>
      <c r="S294" s="315">
        <v>-501003</v>
      </c>
      <c r="T294" s="315">
        <v>-490083</v>
      </c>
      <c r="U294" s="315">
        <v>-84540</v>
      </c>
      <c r="V294" s="315">
        <v>-23</v>
      </c>
      <c r="W294" s="315">
        <v>-367266</v>
      </c>
      <c r="X294" s="315">
        <v>0</v>
      </c>
      <c r="Y294" s="315">
        <v>-38254</v>
      </c>
      <c r="Z294" s="315">
        <v>-3838</v>
      </c>
      <c r="AA294" s="315">
        <v>-7082</v>
      </c>
      <c r="AB294" s="315">
        <v>0</v>
      </c>
      <c r="AC294" s="315">
        <v>-14561</v>
      </c>
      <c r="AD294" s="315">
        <v>7459641</v>
      </c>
      <c r="AE294" s="315">
        <v>4132177</v>
      </c>
      <c r="AF294" s="315">
        <v>3327464</v>
      </c>
      <c r="AG294" s="315">
        <v>3256527</v>
      </c>
      <c r="AH294" s="315">
        <v>70937</v>
      </c>
      <c r="AI294" s="315">
        <v>4293487</v>
      </c>
      <c r="AJ294" s="315">
        <v>1698423</v>
      </c>
      <c r="AK294" s="315">
        <v>2531876</v>
      </c>
      <c r="AL294" s="315">
        <v>32252</v>
      </c>
      <c r="AM294" s="315">
        <v>131070</v>
      </c>
      <c r="AN294" s="315">
        <v>48478</v>
      </c>
      <c r="AO294" s="315">
        <v>30724</v>
      </c>
      <c r="AP294" s="315">
        <v>13915</v>
      </c>
      <c r="AQ294" s="315">
        <v>22595</v>
      </c>
      <c r="AR294" s="315">
        <v>2868651</v>
      </c>
      <c r="AS294" s="315">
        <v>65282</v>
      </c>
      <c r="AT294" s="315">
        <v>0</v>
      </c>
      <c r="AU294" s="315">
        <v>-14561</v>
      </c>
      <c r="AV294" s="315">
        <v>322633</v>
      </c>
      <c r="AW294" s="315">
        <v>43804</v>
      </c>
      <c r="AX294" s="315">
        <v>108672</v>
      </c>
      <c r="AY294" s="315">
        <v>11191</v>
      </c>
      <c r="AZ294" s="315">
        <v>5043</v>
      </c>
      <c r="BA294" s="315">
        <v>8354</v>
      </c>
      <c r="BB294" s="315">
        <v>84084</v>
      </c>
      <c r="BC294" s="315">
        <v>86867</v>
      </c>
      <c r="BD294" s="315">
        <v>83290</v>
      </c>
      <c r="BE294" s="315">
        <v>-1064454</v>
      </c>
      <c r="BF294" s="315">
        <v>-1062867</v>
      </c>
      <c r="BG294" s="315">
        <v>-1014133</v>
      </c>
      <c r="BH294" s="315">
        <v>-48734</v>
      </c>
      <c r="BI294" s="315">
        <v>-994618</v>
      </c>
      <c r="BJ294" s="315">
        <v>-18530</v>
      </c>
      <c r="BK294" s="315">
        <v>-49719</v>
      </c>
      <c r="BL294" s="315">
        <v>-1587</v>
      </c>
      <c r="BM294" s="315">
        <v>0</v>
      </c>
      <c r="BN294" s="315">
        <v>-741821</v>
      </c>
      <c r="BO294" s="315">
        <v>51562</v>
      </c>
      <c r="BP294" s="315">
        <v>18166</v>
      </c>
      <c r="BQ294" s="315">
        <v>13078</v>
      </c>
      <c r="BR294" s="315">
        <v>51</v>
      </c>
      <c r="BS294" s="315">
        <v>42589</v>
      </c>
      <c r="BT294" s="315">
        <v>8531</v>
      </c>
      <c r="BU294" s="315">
        <v>9881</v>
      </c>
      <c r="BV294" s="315">
        <v>11434</v>
      </c>
      <c r="BW294" s="315">
        <v>12743</v>
      </c>
      <c r="BX294" s="315">
        <v>-905461</v>
      </c>
      <c r="BY294" s="315">
        <v>38133</v>
      </c>
      <c r="BZ294" s="315">
        <v>61</v>
      </c>
      <c r="CA294" s="315">
        <v>193121</v>
      </c>
      <c r="CB294" s="315">
        <v>-128945</v>
      </c>
      <c r="CC294" s="315">
        <v>-128945</v>
      </c>
      <c r="CD294" s="315">
        <v>0</v>
      </c>
      <c r="CE294" s="315">
        <v>64176</v>
      </c>
      <c r="CF294" s="315">
        <v>139766</v>
      </c>
      <c r="CG294" s="315">
        <v>113</v>
      </c>
      <c r="CH294" s="315">
        <v>-75703</v>
      </c>
      <c r="CI294" s="315">
        <v>5467724</v>
      </c>
      <c r="CJ294" s="315">
        <v>1367047</v>
      </c>
      <c r="CK294" s="315">
        <v>4100677</v>
      </c>
      <c r="CL294" s="315">
        <v>3612169</v>
      </c>
      <c r="CM294" s="315">
        <v>124800</v>
      </c>
      <c r="CN294" s="315">
        <v>363708</v>
      </c>
      <c r="CO294" s="315">
        <v>0</v>
      </c>
      <c r="CP294" s="315">
        <v>0</v>
      </c>
      <c r="CQ294" s="315">
        <v>363708</v>
      </c>
      <c r="CR294" s="315">
        <v>-1937863</v>
      </c>
      <c r="CS294" s="315">
        <v>-324969</v>
      </c>
      <c r="CT294" s="315">
        <v>-219142</v>
      </c>
      <c r="CU294" s="315">
        <v>-3923</v>
      </c>
      <c r="CV294" s="315">
        <v>-373</v>
      </c>
      <c r="CW294" s="315">
        <v>-101531</v>
      </c>
      <c r="CX294" s="315">
        <v>-1593305</v>
      </c>
      <c r="CY294" s="315">
        <v>-1573796</v>
      </c>
      <c r="CZ294" s="315">
        <v>-13331</v>
      </c>
      <c r="DA294" s="315">
        <v>-6178</v>
      </c>
      <c r="DB294" s="315">
        <v>-19589</v>
      </c>
      <c r="DC294" s="315">
        <v>0</v>
      </c>
      <c r="DD294" s="315">
        <v>3529861</v>
      </c>
      <c r="DE294" s="315">
        <v>374432</v>
      </c>
      <c r="DF294" s="315">
        <v>3155429</v>
      </c>
      <c r="DG294" s="315">
        <v>3090552</v>
      </c>
      <c r="DH294" s="315">
        <v>64877</v>
      </c>
      <c r="DI294" s="315">
        <v>1855760</v>
      </c>
      <c r="DJ294" s="315">
        <v>103200</v>
      </c>
      <c r="DK294" s="315">
        <v>38779</v>
      </c>
      <c r="DL294" s="315">
        <v>2822</v>
      </c>
      <c r="DM294" s="315">
        <v>945109</v>
      </c>
      <c r="DN294" s="315">
        <v>647966</v>
      </c>
      <c r="DO294" s="315">
        <v>117790</v>
      </c>
      <c r="DP294" s="315"/>
      <c r="DQ294" s="315">
        <v>22</v>
      </c>
      <c r="DR294" s="315">
        <v>72</v>
      </c>
      <c r="DS294" s="315">
        <v>-12193</v>
      </c>
      <c r="DT294" s="315">
        <v>-3179</v>
      </c>
      <c r="DU294" s="315">
        <v>-318</v>
      </c>
      <c r="DV294" s="315">
        <v>-3</v>
      </c>
      <c r="DW294" s="315">
        <v>-7277</v>
      </c>
      <c r="DX294" s="315">
        <v>-4415</v>
      </c>
      <c r="DY294" s="315">
        <v>-605</v>
      </c>
      <c r="DZ294" s="315">
        <v>-2257</v>
      </c>
      <c r="EA294" s="315">
        <v>-113</v>
      </c>
      <c r="EB294" s="315">
        <v>-1193</v>
      </c>
      <c r="EC294" s="315"/>
      <c r="ED294" s="315">
        <v>0</v>
      </c>
      <c r="EE294" s="315">
        <v>-110</v>
      </c>
      <c r="EF294" s="315">
        <v>1843567</v>
      </c>
      <c r="EG294" s="315">
        <v>707083</v>
      </c>
      <c r="EH294" s="315">
        <v>1136484</v>
      </c>
      <c r="EI294" s="315">
        <v>1117542</v>
      </c>
      <c r="EJ294" s="315">
        <v>18942</v>
      </c>
      <c r="EK294" s="315">
        <v>100021</v>
      </c>
      <c r="EL294" s="315">
        <v>56030</v>
      </c>
      <c r="EM294" s="315">
        <v>43991</v>
      </c>
      <c r="EN294" s="315">
        <v>43103</v>
      </c>
      <c r="EO294" s="315">
        <v>888</v>
      </c>
      <c r="EP294" s="315">
        <v>38461</v>
      </c>
      <c r="EQ294" s="315">
        <v>21762</v>
      </c>
      <c r="ER294" s="315">
        <v>16699</v>
      </c>
      <c r="ES294" s="315">
        <v>16341</v>
      </c>
      <c r="ET294" s="315">
        <v>358</v>
      </c>
      <c r="EU294" s="315">
        <v>2819</v>
      </c>
      <c r="EV294" s="315">
        <v>1569</v>
      </c>
      <c r="EW294" s="315">
        <v>1250</v>
      </c>
      <c r="EX294" s="315">
        <v>1231</v>
      </c>
      <c r="EY294" s="315">
        <v>19</v>
      </c>
      <c r="EZ294" s="315">
        <v>937832</v>
      </c>
      <c r="FA294" s="315">
        <v>326391</v>
      </c>
      <c r="FB294" s="315">
        <v>611441</v>
      </c>
      <c r="FC294" s="315">
        <v>600821</v>
      </c>
      <c r="FD294" s="315">
        <v>10620</v>
      </c>
      <c r="FE294" s="315">
        <v>647853</v>
      </c>
      <c r="FF294" s="315">
        <v>300987</v>
      </c>
      <c r="FG294" s="315">
        <v>346866</v>
      </c>
      <c r="FH294" s="315">
        <v>339809</v>
      </c>
      <c r="FI294" s="315">
        <v>7057</v>
      </c>
      <c r="FJ294" s="315">
        <v>116597</v>
      </c>
      <c r="FK294" s="315">
        <v>360</v>
      </c>
      <c r="FL294" s="315">
        <v>116237</v>
      </c>
      <c r="FM294" s="315">
        <v>116237</v>
      </c>
      <c r="FN294" s="315"/>
      <c r="FO294" s="315"/>
      <c r="FP294" s="315">
        <v>22</v>
      </c>
      <c r="FQ294" s="315">
        <v>-38</v>
      </c>
      <c r="FR294" s="315">
        <v>1016098</v>
      </c>
      <c r="FS294" s="315">
        <v>-52827</v>
      </c>
      <c r="FT294" s="315">
        <v>963271</v>
      </c>
      <c r="FU294" s="315">
        <v>487735</v>
      </c>
      <c r="FV294" s="315">
        <v>487327</v>
      </c>
      <c r="FW294" s="315">
        <v>408</v>
      </c>
      <c r="FX294" s="315">
        <v>157558</v>
      </c>
      <c r="FY294" s="315">
        <v>126834</v>
      </c>
      <c r="FZ294" s="315"/>
      <c r="GA294" s="315"/>
      <c r="GB294" s="315">
        <v>8631</v>
      </c>
      <c r="GC294" s="315">
        <v>75708</v>
      </c>
      <c r="GD294" s="315">
        <v>-31528</v>
      </c>
      <c r="GE294" s="315">
        <v>746</v>
      </c>
      <c r="GF294" s="315">
        <v>106490</v>
      </c>
      <c r="GG294" s="315">
        <v>106805</v>
      </c>
      <c r="GH294" s="315">
        <v>8666</v>
      </c>
      <c r="GI294" s="315">
        <v>486</v>
      </c>
      <c r="GJ294" s="315">
        <v>97653</v>
      </c>
      <c r="GL294"/>
      <c r="GM294"/>
      <c r="GN294"/>
      <c r="GO294"/>
    </row>
    <row r="295" spans="1:197">
      <c r="A295" s="98" t="s">
        <v>36</v>
      </c>
      <c r="B295" s="98">
        <v>12</v>
      </c>
      <c r="C295" s="98" t="s">
        <v>228</v>
      </c>
      <c r="D295" s="315">
        <v>19325668</v>
      </c>
      <c r="E295" s="315">
        <v>-5331249</v>
      </c>
      <c r="F295" s="315">
        <v>-14560</v>
      </c>
      <c r="G295" s="315">
        <v>13979859</v>
      </c>
      <c r="H295" s="315">
        <v>6360472</v>
      </c>
      <c r="I295" s="315">
        <v>7619387</v>
      </c>
      <c r="J295" s="315">
        <v>7464626</v>
      </c>
      <c r="K295" s="315">
        <v>154761</v>
      </c>
      <c r="L295" s="315">
        <v>5701983</v>
      </c>
      <c r="M295" s="315">
        <v>5234333</v>
      </c>
      <c r="N295" s="315">
        <v>137651</v>
      </c>
      <c r="O295" s="315">
        <v>43947</v>
      </c>
      <c r="P295" s="315">
        <v>93704</v>
      </c>
      <c r="Q295" s="315">
        <v>74823</v>
      </c>
      <c r="R295" s="315">
        <v>255176</v>
      </c>
      <c r="S295" s="315">
        <v>-666283</v>
      </c>
      <c r="T295" s="315">
        <v>-657564</v>
      </c>
      <c r="U295" s="315">
        <v>-81052</v>
      </c>
      <c r="V295" s="315">
        <v>-10</v>
      </c>
      <c r="W295" s="315">
        <v>-454265</v>
      </c>
      <c r="X295" s="315">
        <v>0</v>
      </c>
      <c r="Y295" s="315">
        <v>-122237</v>
      </c>
      <c r="Z295" s="315">
        <v>-2981</v>
      </c>
      <c r="AA295" s="315">
        <v>-4966</v>
      </c>
      <c r="AB295" s="315">
        <v>-772</v>
      </c>
      <c r="AC295" s="315">
        <v>-14560</v>
      </c>
      <c r="AD295" s="315">
        <v>5021140</v>
      </c>
      <c r="AE295" s="315">
        <v>1693674</v>
      </c>
      <c r="AF295" s="315">
        <v>3327466</v>
      </c>
      <c r="AG295" s="315">
        <v>3256528</v>
      </c>
      <c r="AH295" s="315">
        <v>70938</v>
      </c>
      <c r="AI295" s="315">
        <v>5230559</v>
      </c>
      <c r="AJ295" s="315">
        <v>2533101</v>
      </c>
      <c r="AK295" s="315">
        <v>2650647</v>
      </c>
      <c r="AL295" s="315">
        <v>14628</v>
      </c>
      <c r="AM295" s="315">
        <v>145686</v>
      </c>
      <c r="AN295" s="315">
        <v>42032</v>
      </c>
      <c r="AO295" s="315">
        <v>28045</v>
      </c>
      <c r="AP295" s="315">
        <v>18170</v>
      </c>
      <c r="AQ295" s="315">
        <v>19279</v>
      </c>
      <c r="AR295" s="315">
        <v>-519913</v>
      </c>
      <c r="AS295" s="315">
        <v>71842</v>
      </c>
      <c r="AT295" s="315">
        <v>0</v>
      </c>
      <c r="AU295" s="315">
        <v>-14560</v>
      </c>
      <c r="AV295" s="315">
        <v>4854818</v>
      </c>
      <c r="AW295" s="315">
        <v>4568988</v>
      </c>
      <c r="AX295" s="315">
        <v>84810</v>
      </c>
      <c r="AY295" s="315">
        <v>6639</v>
      </c>
      <c r="AZ295" s="315">
        <v>5329</v>
      </c>
      <c r="BA295" s="315">
        <v>7230</v>
      </c>
      <c r="BB295" s="315">
        <v>65612</v>
      </c>
      <c r="BC295" s="315">
        <v>112262</v>
      </c>
      <c r="BD295" s="315">
        <v>88758</v>
      </c>
      <c r="BE295" s="315">
        <v>-1971753</v>
      </c>
      <c r="BF295" s="315">
        <v>-1970544</v>
      </c>
      <c r="BG295" s="315">
        <v>-1918965</v>
      </c>
      <c r="BH295" s="315">
        <v>-51579</v>
      </c>
      <c r="BI295" s="315">
        <v>-1781349</v>
      </c>
      <c r="BJ295" s="315">
        <v>-2168</v>
      </c>
      <c r="BK295" s="315">
        <v>-187027</v>
      </c>
      <c r="BL295" s="315">
        <v>-1209</v>
      </c>
      <c r="BM295" s="315">
        <v>0</v>
      </c>
      <c r="BN295" s="315">
        <v>2883065</v>
      </c>
      <c r="BO295" s="315">
        <v>60580</v>
      </c>
      <c r="BP295" s="315">
        <v>15497</v>
      </c>
      <c r="BQ295" s="315">
        <v>11943</v>
      </c>
      <c r="BR295" s="315">
        <v>248</v>
      </c>
      <c r="BS295" s="315">
        <v>4568210</v>
      </c>
      <c r="BT295" s="315">
        <v>1498610</v>
      </c>
      <c r="BU295" s="315">
        <v>2001141</v>
      </c>
      <c r="BV295" s="315">
        <v>941827</v>
      </c>
      <c r="BW295" s="315">
        <v>126632</v>
      </c>
      <c r="BX295" s="315">
        <v>-1834155</v>
      </c>
      <c r="BY295" s="315">
        <v>60683</v>
      </c>
      <c r="BZ295" s="315">
        <v>59</v>
      </c>
      <c r="CA295" s="315">
        <v>212311</v>
      </c>
      <c r="CB295" s="315">
        <v>-42242</v>
      </c>
      <c r="CC295" s="315">
        <v>-42242</v>
      </c>
      <c r="CD295" s="315">
        <v>0</v>
      </c>
      <c r="CE295" s="315">
        <v>170069</v>
      </c>
      <c r="CF295" s="315">
        <v>150019</v>
      </c>
      <c r="CG295" s="315">
        <v>14677</v>
      </c>
      <c r="CH295" s="315">
        <v>5373</v>
      </c>
      <c r="CI295" s="315">
        <v>6293770</v>
      </c>
      <c r="CJ295" s="315">
        <v>1585382</v>
      </c>
      <c r="CK295" s="315">
        <v>4708388</v>
      </c>
      <c r="CL295" s="315">
        <v>4281768</v>
      </c>
      <c r="CM295" s="315">
        <v>54417</v>
      </c>
      <c r="CN295" s="315">
        <v>372203</v>
      </c>
      <c r="CO295" s="315">
        <v>0</v>
      </c>
      <c r="CP295" s="315">
        <v>0</v>
      </c>
      <c r="CQ295" s="315">
        <v>372203</v>
      </c>
      <c r="CR295" s="315">
        <v>-2481841</v>
      </c>
      <c r="CS295" s="315">
        <v>-180721</v>
      </c>
      <c r="CT295" s="315">
        <v>-104002</v>
      </c>
      <c r="CU295" s="315">
        <v>-6248</v>
      </c>
      <c r="CV295" s="315">
        <v>-28</v>
      </c>
      <c r="CW295" s="315">
        <v>-70443</v>
      </c>
      <c r="CX295" s="315">
        <v>-1343748</v>
      </c>
      <c r="CY295" s="315">
        <v>-1337480</v>
      </c>
      <c r="CZ295" s="315">
        <v>-4293</v>
      </c>
      <c r="DA295" s="315">
        <v>-1975</v>
      </c>
      <c r="DB295" s="315">
        <v>-459655</v>
      </c>
      <c r="DC295" s="315">
        <v>-497717</v>
      </c>
      <c r="DD295" s="315">
        <v>3811929</v>
      </c>
      <c r="DE295" s="315">
        <v>656499</v>
      </c>
      <c r="DF295" s="315">
        <v>3155430</v>
      </c>
      <c r="DG295" s="315">
        <v>3090553</v>
      </c>
      <c r="DH295" s="315">
        <v>64877</v>
      </c>
      <c r="DI295" s="315">
        <v>1670058</v>
      </c>
      <c r="DJ295" s="315">
        <v>74663</v>
      </c>
      <c r="DK295" s="315">
        <v>27365</v>
      </c>
      <c r="DL295" s="315">
        <v>1084</v>
      </c>
      <c r="DM295" s="315">
        <v>929801</v>
      </c>
      <c r="DN295" s="315">
        <v>530130</v>
      </c>
      <c r="DO295" s="315">
        <v>106684</v>
      </c>
      <c r="DP295" s="315"/>
      <c r="DQ295" s="315">
        <v>219</v>
      </c>
      <c r="DR295" s="315">
        <v>112</v>
      </c>
      <c r="DS295" s="315">
        <v>-65209</v>
      </c>
      <c r="DT295" s="315">
        <v>-3262</v>
      </c>
      <c r="DU295" s="315">
        <v>-4196</v>
      </c>
      <c r="DV295" s="315">
        <v>-6</v>
      </c>
      <c r="DW295" s="315">
        <v>-36973</v>
      </c>
      <c r="DX295" s="315">
        <v>-4063</v>
      </c>
      <c r="DY295" s="315">
        <v>-360</v>
      </c>
      <c r="DZ295" s="315">
        <v>-32550</v>
      </c>
      <c r="EA295" s="315">
        <v>-20689</v>
      </c>
      <c r="EB295" s="315">
        <v>-26</v>
      </c>
      <c r="EC295" s="315"/>
      <c r="ED295" s="315">
        <v>-48</v>
      </c>
      <c r="EE295" s="315">
        <v>-9</v>
      </c>
      <c r="EF295" s="315">
        <v>1604849</v>
      </c>
      <c r="EG295" s="315">
        <v>468358</v>
      </c>
      <c r="EH295" s="315">
        <v>1136491</v>
      </c>
      <c r="EI295" s="315">
        <v>1117545</v>
      </c>
      <c r="EJ295" s="315">
        <v>18946</v>
      </c>
      <c r="EK295" s="315">
        <v>71401</v>
      </c>
      <c r="EL295" s="315">
        <v>27408</v>
      </c>
      <c r="EM295" s="315">
        <v>43993</v>
      </c>
      <c r="EN295" s="315">
        <v>43104</v>
      </c>
      <c r="EO295" s="315">
        <v>889</v>
      </c>
      <c r="EP295" s="315">
        <v>23169</v>
      </c>
      <c r="EQ295" s="315">
        <v>6471</v>
      </c>
      <c r="ER295" s="315">
        <v>16698</v>
      </c>
      <c r="ES295" s="315">
        <v>16342</v>
      </c>
      <c r="ET295" s="315">
        <v>356</v>
      </c>
      <c r="EU295" s="315">
        <v>1078</v>
      </c>
      <c r="EV295" s="315">
        <v>-176</v>
      </c>
      <c r="EW295" s="315">
        <v>1254</v>
      </c>
      <c r="EX295" s="315">
        <v>1232</v>
      </c>
      <c r="EY295" s="315">
        <v>22</v>
      </c>
      <c r="EZ295" s="315">
        <v>892828</v>
      </c>
      <c r="FA295" s="315">
        <v>281384</v>
      </c>
      <c r="FB295" s="315">
        <v>611444</v>
      </c>
      <c r="FC295" s="315">
        <v>600822</v>
      </c>
      <c r="FD295" s="315">
        <v>10622</v>
      </c>
      <c r="FE295" s="315">
        <v>509441</v>
      </c>
      <c r="FF295" s="315">
        <v>162576</v>
      </c>
      <c r="FG295" s="315">
        <v>346865</v>
      </c>
      <c r="FH295" s="315">
        <v>339808</v>
      </c>
      <c r="FI295" s="315">
        <v>7057</v>
      </c>
      <c r="FJ295" s="315">
        <v>106658</v>
      </c>
      <c r="FK295" s="315">
        <v>-9579</v>
      </c>
      <c r="FL295" s="315">
        <v>116237</v>
      </c>
      <c r="FM295" s="315">
        <v>116237</v>
      </c>
      <c r="FN295" s="315"/>
      <c r="FO295" s="315"/>
      <c r="FP295" s="315">
        <v>171</v>
      </c>
      <c r="FQ295" s="315">
        <v>103</v>
      </c>
      <c r="FR295" s="315">
        <v>592728</v>
      </c>
      <c r="FS295" s="315">
        <v>-103921</v>
      </c>
      <c r="FT295" s="315">
        <v>488807</v>
      </c>
      <c r="FU295" s="315">
        <v>184903</v>
      </c>
      <c r="FV295" s="315">
        <v>184117</v>
      </c>
      <c r="FW295" s="315">
        <v>786</v>
      </c>
      <c r="FX295" s="315">
        <v>162541</v>
      </c>
      <c r="FY295" s="315">
        <v>121423</v>
      </c>
      <c r="FZ295" s="315"/>
      <c r="GA295" s="315"/>
      <c r="GB295" s="315">
        <v>248</v>
      </c>
      <c r="GC295" s="315">
        <v>-35358</v>
      </c>
      <c r="GD295" s="315">
        <v>-30448</v>
      </c>
      <c r="GE295" s="315">
        <v>49</v>
      </c>
      <c r="GF295" s="315">
        <v>-4959</v>
      </c>
      <c r="GG295" s="315">
        <v>55050</v>
      </c>
      <c r="GH295" s="315">
        <v>7390</v>
      </c>
      <c r="GI295" s="315">
        <v>648</v>
      </c>
      <c r="GJ295" s="315">
        <v>47012</v>
      </c>
      <c r="GL295"/>
      <c r="GM295"/>
      <c r="GN295"/>
      <c r="GO295"/>
    </row>
    <row r="296" spans="1:197">
      <c r="A296" s="96" t="s">
        <v>37</v>
      </c>
      <c r="B296" s="96">
        <v>1</v>
      </c>
      <c r="C296" s="97" t="s">
        <v>217</v>
      </c>
      <c r="D296" s="314">
        <v>21172262</v>
      </c>
      <c r="E296" s="314">
        <v>-7619887</v>
      </c>
      <c r="F296" s="314">
        <v>-14561</v>
      </c>
      <c r="G296" s="314">
        <v>13537814</v>
      </c>
      <c r="H296" s="314">
        <v>6055195</v>
      </c>
      <c r="I296" s="314">
        <v>7482619</v>
      </c>
      <c r="J296" s="314">
        <v>7334223</v>
      </c>
      <c r="K296" s="314">
        <v>148396</v>
      </c>
      <c r="L296" s="314">
        <v>12526660</v>
      </c>
      <c r="M296" s="314">
        <v>10976908</v>
      </c>
      <c r="N296" s="314">
        <v>111957</v>
      </c>
      <c r="O296" s="314">
        <v>0</v>
      </c>
      <c r="P296" s="314">
        <v>111957</v>
      </c>
      <c r="Q296" s="314">
        <v>107715</v>
      </c>
      <c r="R296" s="314">
        <v>1330080</v>
      </c>
      <c r="S296" s="314">
        <v>-409414</v>
      </c>
      <c r="T296" s="314">
        <v>-404893</v>
      </c>
      <c r="U296" s="314">
        <v>0</v>
      </c>
      <c r="V296" s="314">
        <v>-81693</v>
      </c>
      <c r="W296" s="314">
        <v>0</v>
      </c>
      <c r="X296" s="314">
        <v>-205962</v>
      </c>
      <c r="Y296" s="314">
        <v>-117238</v>
      </c>
      <c r="Z296" s="314">
        <v>-2380</v>
      </c>
      <c r="AA296" s="314">
        <v>-1694</v>
      </c>
      <c r="AB296" s="314">
        <v>-447</v>
      </c>
      <c r="AC296" s="314">
        <v>-14561</v>
      </c>
      <c r="AD296" s="314">
        <v>12102685</v>
      </c>
      <c r="AE296" s="314">
        <v>8705535</v>
      </c>
      <c r="AF296" s="314">
        <v>3397150</v>
      </c>
      <c r="AG296" s="314">
        <v>3328172</v>
      </c>
      <c r="AH296" s="314">
        <v>68978</v>
      </c>
      <c r="AI296" s="314">
        <v>10975616</v>
      </c>
      <c r="AJ296" s="314">
        <v>2113796</v>
      </c>
      <c r="AK296" s="314">
        <v>4080456</v>
      </c>
      <c r="AL296" s="314">
        <v>4743118</v>
      </c>
      <c r="AM296" s="314">
        <v>730197</v>
      </c>
      <c r="AN296" s="314">
        <v>385803</v>
      </c>
      <c r="AO296" s="314">
        <v>57995</v>
      </c>
      <c r="AP296" s="314">
        <v>96982</v>
      </c>
      <c r="AQ296" s="314">
        <v>58254</v>
      </c>
      <c r="AR296" s="314">
        <v>-292936</v>
      </c>
      <c r="AS296" s="314">
        <v>105335</v>
      </c>
      <c r="AT296" s="314">
        <v>0</v>
      </c>
      <c r="AU296" s="314">
        <v>-14561</v>
      </c>
      <c r="AV296" s="314">
        <v>789788</v>
      </c>
      <c r="AW296" s="314">
        <v>34490</v>
      </c>
      <c r="AX296" s="314">
        <v>86351</v>
      </c>
      <c r="AY296" s="314">
        <v>12770</v>
      </c>
      <c r="AZ296" s="314">
        <v>13994</v>
      </c>
      <c r="BA296" s="314">
        <v>9022</v>
      </c>
      <c r="BB296" s="314">
        <v>50565</v>
      </c>
      <c r="BC296" s="314">
        <v>164745</v>
      </c>
      <c r="BD296" s="314">
        <v>504202</v>
      </c>
      <c r="BE296" s="314">
        <v>-5071612</v>
      </c>
      <c r="BF296" s="314">
        <v>-5070916</v>
      </c>
      <c r="BG296" s="314">
        <v>-5029925</v>
      </c>
      <c r="BH296" s="314">
        <v>-40991</v>
      </c>
      <c r="BI296" s="314">
        <v>0</v>
      </c>
      <c r="BJ296" s="314">
        <v>-5019053</v>
      </c>
      <c r="BK296" s="314">
        <v>-51863</v>
      </c>
      <c r="BL296" s="314">
        <v>-696</v>
      </c>
      <c r="BM296" s="314">
        <v>0</v>
      </c>
      <c r="BN296" s="314">
        <v>-4281824</v>
      </c>
      <c r="BO296" s="314">
        <v>310276</v>
      </c>
      <c r="BP296" s="314">
        <v>161302</v>
      </c>
      <c r="BQ296" s="314">
        <v>24685</v>
      </c>
      <c r="BR296" s="314">
        <v>7816</v>
      </c>
      <c r="BS296" s="314">
        <v>33895</v>
      </c>
      <c r="BT296" s="314">
        <v>2170</v>
      </c>
      <c r="BU296" s="314">
        <v>2154</v>
      </c>
      <c r="BV296" s="314">
        <v>13661</v>
      </c>
      <c r="BW296" s="314">
        <v>15910</v>
      </c>
      <c r="BX296" s="314">
        <v>-4943574</v>
      </c>
      <c r="BY296" s="314">
        <v>123754</v>
      </c>
      <c r="BZ296" s="314">
        <v>22</v>
      </c>
      <c r="CA296" s="314">
        <v>410884</v>
      </c>
      <c r="CB296" s="314">
        <v>-97760</v>
      </c>
      <c r="CC296" s="314">
        <v>-97760</v>
      </c>
      <c r="CD296" s="314">
        <v>0</v>
      </c>
      <c r="CE296" s="314">
        <v>313124</v>
      </c>
      <c r="CF296" s="314">
        <v>340976</v>
      </c>
      <c r="CG296" s="314">
        <v>92</v>
      </c>
      <c r="CH296" s="314">
        <v>-27944</v>
      </c>
      <c r="CI296" s="314">
        <v>5293725</v>
      </c>
      <c r="CJ296" s="314">
        <v>1391889</v>
      </c>
      <c r="CK296" s="314">
        <v>3901836</v>
      </c>
      <c r="CL296" s="314">
        <v>3157166</v>
      </c>
      <c r="CM296" s="314">
        <v>332628</v>
      </c>
      <c r="CN296" s="314">
        <v>412042</v>
      </c>
      <c r="CO296" s="314">
        <v>0</v>
      </c>
      <c r="CP296" s="314">
        <v>19390</v>
      </c>
      <c r="CQ296" s="314">
        <v>392652</v>
      </c>
      <c r="CR296" s="314">
        <v>-1928145</v>
      </c>
      <c r="CS296" s="314">
        <v>-144066</v>
      </c>
      <c r="CT296" s="314">
        <v>-7743</v>
      </c>
      <c r="CU296" s="314">
        <v>-47407</v>
      </c>
      <c r="CV296" s="314">
        <v>-94</v>
      </c>
      <c r="CW296" s="314">
        <v>-88822</v>
      </c>
      <c r="CX296" s="314">
        <v>-1756017</v>
      </c>
      <c r="CY296" s="314">
        <v>0</v>
      </c>
      <c r="CZ296" s="314">
        <v>-1749180</v>
      </c>
      <c r="DA296" s="314">
        <v>-6837</v>
      </c>
      <c r="DB296" s="314">
        <v>0</v>
      </c>
      <c r="DC296" s="314">
        <v>-28062</v>
      </c>
      <c r="DD296" s="314">
        <v>3365580</v>
      </c>
      <c r="DE296" s="314">
        <v>381575</v>
      </c>
      <c r="DF296" s="314">
        <v>2984005</v>
      </c>
      <c r="DG296" s="314">
        <v>2922646</v>
      </c>
      <c r="DH296" s="314">
        <v>61359</v>
      </c>
      <c r="DI296" s="314">
        <v>1661965</v>
      </c>
      <c r="DJ296" s="314">
        <v>52553</v>
      </c>
      <c r="DK296" s="314">
        <v>29096</v>
      </c>
      <c r="DL296" s="314">
        <v>1127</v>
      </c>
      <c r="DM296" s="314">
        <v>904802</v>
      </c>
      <c r="DN296" s="314">
        <v>482138</v>
      </c>
      <c r="DO296" s="314">
        <v>120538</v>
      </c>
      <c r="DP296" s="314"/>
      <c r="DQ296" s="314">
        <v>71673</v>
      </c>
      <c r="DR296" s="314">
        <v>38</v>
      </c>
      <c r="DS296" s="314">
        <v>-13588</v>
      </c>
      <c r="DT296" s="314">
        <v>-7966</v>
      </c>
      <c r="DU296" s="314">
        <v>-153</v>
      </c>
      <c r="DV296" s="314">
        <v>-9</v>
      </c>
      <c r="DW296" s="314">
        <v>-5458</v>
      </c>
      <c r="DX296" s="314">
        <v>-3915</v>
      </c>
      <c r="DY296" s="314">
        <v>-285</v>
      </c>
      <c r="DZ296" s="314">
        <v>-1258</v>
      </c>
      <c r="EA296" s="314">
        <v>0</v>
      </c>
      <c r="EB296" s="314">
        <v>0</v>
      </c>
      <c r="EC296" s="314"/>
      <c r="ED296" s="314">
        <v>0</v>
      </c>
      <c r="EE296" s="314">
        <v>-2</v>
      </c>
      <c r="EF296" s="314">
        <v>1648377</v>
      </c>
      <c r="EG296" s="314">
        <v>546913</v>
      </c>
      <c r="EH296" s="314">
        <v>1101464</v>
      </c>
      <c r="EI296" s="314">
        <v>1083405</v>
      </c>
      <c r="EJ296" s="314">
        <v>18059</v>
      </c>
      <c r="EK296" s="314">
        <v>44587</v>
      </c>
      <c r="EL296" s="314">
        <v>1234</v>
      </c>
      <c r="EM296" s="314">
        <v>43353</v>
      </c>
      <c r="EN296" s="314">
        <v>42488</v>
      </c>
      <c r="EO296" s="314">
        <v>865</v>
      </c>
      <c r="EP296" s="314">
        <v>28943</v>
      </c>
      <c r="EQ296" s="314">
        <v>12987</v>
      </c>
      <c r="ER296" s="314">
        <v>15956</v>
      </c>
      <c r="ES296" s="314">
        <v>15631</v>
      </c>
      <c r="ET296" s="314">
        <v>325</v>
      </c>
      <c r="EU296" s="314">
        <v>1118</v>
      </c>
      <c r="EV296" s="314">
        <v>-88</v>
      </c>
      <c r="EW296" s="314">
        <v>1206</v>
      </c>
      <c r="EX296" s="314">
        <v>1184</v>
      </c>
      <c r="EY296" s="314">
        <v>22</v>
      </c>
      <c r="EZ296" s="314">
        <v>899344</v>
      </c>
      <c r="FA296" s="314">
        <v>315635</v>
      </c>
      <c r="FB296" s="314">
        <v>583709</v>
      </c>
      <c r="FC296" s="314">
        <v>573449</v>
      </c>
      <c r="FD296" s="314">
        <v>10260</v>
      </c>
      <c r="FE296" s="314">
        <v>482138</v>
      </c>
      <c r="FF296" s="314">
        <v>141616</v>
      </c>
      <c r="FG296" s="314">
        <v>340522</v>
      </c>
      <c r="FH296" s="314">
        <v>333935</v>
      </c>
      <c r="FI296" s="314">
        <v>6587</v>
      </c>
      <c r="FJ296" s="314">
        <v>120538</v>
      </c>
      <c r="FK296" s="314">
        <v>3820</v>
      </c>
      <c r="FL296" s="314">
        <v>116718</v>
      </c>
      <c r="FM296" s="314">
        <v>116718</v>
      </c>
      <c r="FN296" s="314"/>
      <c r="FO296" s="314"/>
      <c r="FP296" s="314">
        <v>71673</v>
      </c>
      <c r="FQ296" s="314">
        <v>36</v>
      </c>
      <c r="FR296" s="314">
        <v>489240</v>
      </c>
      <c r="FS296" s="314">
        <v>-99368</v>
      </c>
      <c r="FT296" s="314">
        <v>389872</v>
      </c>
      <c r="FU296" s="314">
        <v>3304</v>
      </c>
      <c r="FV296" s="314">
        <v>-17786</v>
      </c>
      <c r="FW296" s="314">
        <v>21090</v>
      </c>
      <c r="FX296" s="314">
        <v>150325</v>
      </c>
      <c r="FY296" s="314">
        <v>121209</v>
      </c>
      <c r="FZ296" s="314"/>
      <c r="GA296" s="314"/>
      <c r="GB296" s="314">
        <v>75</v>
      </c>
      <c r="GC296" s="314">
        <v>28440</v>
      </c>
      <c r="GD296" s="314">
        <v>-26013</v>
      </c>
      <c r="GE296" s="314">
        <v>20435</v>
      </c>
      <c r="GF296" s="314">
        <v>34018</v>
      </c>
      <c r="GG296" s="314">
        <v>86519</v>
      </c>
      <c r="GH296" s="314">
        <v>-3582</v>
      </c>
      <c r="GI296" s="314">
        <v>474</v>
      </c>
      <c r="GJ296" s="314">
        <v>89627</v>
      </c>
      <c r="GL296"/>
      <c r="GM296"/>
      <c r="GN296"/>
      <c r="GO296"/>
    </row>
    <row r="297" spans="1:197">
      <c r="A297" s="98" t="s">
        <v>37</v>
      </c>
      <c r="B297" s="98">
        <v>2</v>
      </c>
      <c r="C297" s="98" t="s">
        <v>218</v>
      </c>
      <c r="D297" s="315">
        <v>22906642</v>
      </c>
      <c r="E297" s="315">
        <v>-2535630</v>
      </c>
      <c r="F297" s="315">
        <v>-14972</v>
      </c>
      <c r="G297" s="315">
        <v>20356040</v>
      </c>
      <c r="H297" s="315">
        <v>12873422</v>
      </c>
      <c r="I297" s="315">
        <v>7482618</v>
      </c>
      <c r="J297" s="315">
        <v>7334222</v>
      </c>
      <c r="K297" s="315">
        <v>148396</v>
      </c>
      <c r="L297" s="315">
        <v>5679468</v>
      </c>
      <c r="M297" s="315">
        <v>4538550</v>
      </c>
      <c r="N297" s="315">
        <v>109900</v>
      </c>
      <c r="O297" s="315">
        <v>0</v>
      </c>
      <c r="P297" s="315">
        <v>109900</v>
      </c>
      <c r="Q297" s="315">
        <v>50588</v>
      </c>
      <c r="R297" s="315">
        <v>980430</v>
      </c>
      <c r="S297" s="315">
        <v>-434255</v>
      </c>
      <c r="T297" s="315">
        <v>-419232</v>
      </c>
      <c r="U297" s="315">
        <v>-72487</v>
      </c>
      <c r="V297" s="315">
        <v>-5704</v>
      </c>
      <c r="W297" s="315">
        <v>0</v>
      </c>
      <c r="X297" s="315">
        <v>-88986</v>
      </c>
      <c r="Y297" s="315">
        <v>-252055</v>
      </c>
      <c r="Z297" s="315">
        <v>-5016</v>
      </c>
      <c r="AA297" s="315">
        <v>-10007</v>
      </c>
      <c r="AB297" s="315">
        <v>0</v>
      </c>
      <c r="AC297" s="315">
        <v>-14972</v>
      </c>
      <c r="AD297" s="315">
        <v>5230241</v>
      </c>
      <c r="AE297" s="315">
        <v>1833091</v>
      </c>
      <c r="AF297" s="315">
        <v>3397150</v>
      </c>
      <c r="AG297" s="315">
        <v>3328172</v>
      </c>
      <c r="AH297" s="315">
        <v>68978</v>
      </c>
      <c r="AI297" s="315">
        <v>4529353</v>
      </c>
      <c r="AJ297" s="315">
        <v>1683617</v>
      </c>
      <c r="AK297" s="315">
        <v>2668488</v>
      </c>
      <c r="AL297" s="315">
        <v>149288</v>
      </c>
      <c r="AM297" s="315">
        <v>128672</v>
      </c>
      <c r="AN297" s="315">
        <v>57302</v>
      </c>
      <c r="AO297" s="315">
        <v>27188</v>
      </c>
      <c r="AP297" s="315">
        <v>71592</v>
      </c>
      <c r="AQ297" s="315">
        <v>694866</v>
      </c>
      <c r="AR297" s="315">
        <v>-309332</v>
      </c>
      <c r="AS297" s="315">
        <v>45572</v>
      </c>
      <c r="AT297" s="315">
        <v>0</v>
      </c>
      <c r="AU297" s="315">
        <v>-14972</v>
      </c>
      <c r="AV297" s="315">
        <v>343628</v>
      </c>
      <c r="AW297" s="315">
        <v>15193</v>
      </c>
      <c r="AX297" s="315">
        <v>124137</v>
      </c>
      <c r="AY297" s="315">
        <v>41426</v>
      </c>
      <c r="AZ297" s="315">
        <v>19512</v>
      </c>
      <c r="BA297" s="315">
        <v>15364</v>
      </c>
      <c r="BB297" s="315">
        <v>47835</v>
      </c>
      <c r="BC297" s="315">
        <v>106679</v>
      </c>
      <c r="BD297" s="315">
        <v>97619</v>
      </c>
      <c r="BE297" s="315">
        <v>-582675</v>
      </c>
      <c r="BF297" s="315">
        <v>-580586</v>
      </c>
      <c r="BG297" s="315">
        <v>-478422</v>
      </c>
      <c r="BH297" s="315">
        <v>-102164</v>
      </c>
      <c r="BI297" s="315">
        <v>0</v>
      </c>
      <c r="BJ297" s="315">
        <v>-462542</v>
      </c>
      <c r="BK297" s="315">
        <v>-118044</v>
      </c>
      <c r="BL297" s="315">
        <v>-2089</v>
      </c>
      <c r="BM297" s="315">
        <v>0</v>
      </c>
      <c r="BN297" s="315">
        <v>-239047</v>
      </c>
      <c r="BO297" s="315">
        <v>49674</v>
      </c>
      <c r="BP297" s="315">
        <v>21962</v>
      </c>
      <c r="BQ297" s="315">
        <v>11573</v>
      </c>
      <c r="BR297" s="315">
        <v>14102</v>
      </c>
      <c r="BS297" s="315">
        <v>14585</v>
      </c>
      <c r="BT297" s="315">
        <v>1952</v>
      </c>
      <c r="BU297" s="315">
        <v>449</v>
      </c>
      <c r="BV297" s="315">
        <v>2542</v>
      </c>
      <c r="BW297" s="315">
        <v>9642</v>
      </c>
      <c r="BX297" s="315">
        <v>-354285</v>
      </c>
      <c r="BY297" s="315">
        <v>4515</v>
      </c>
      <c r="BZ297" s="315">
        <v>-1173</v>
      </c>
      <c r="CA297" s="315">
        <v>193677</v>
      </c>
      <c r="CB297" s="315">
        <v>-64703</v>
      </c>
      <c r="CC297" s="315">
        <v>-64703</v>
      </c>
      <c r="CD297" s="315">
        <v>0</v>
      </c>
      <c r="CE297" s="315">
        <v>128974</v>
      </c>
      <c r="CF297" s="315">
        <v>165889</v>
      </c>
      <c r="CG297" s="315">
        <v>21</v>
      </c>
      <c r="CH297" s="315">
        <v>-36936</v>
      </c>
      <c r="CI297" s="315">
        <v>14317539</v>
      </c>
      <c r="CJ297" s="315">
        <v>1218826</v>
      </c>
      <c r="CK297" s="315">
        <v>13098713</v>
      </c>
      <c r="CL297" s="315">
        <v>5609440</v>
      </c>
      <c r="CM297" s="315">
        <v>7038818</v>
      </c>
      <c r="CN297" s="315">
        <v>450455</v>
      </c>
      <c r="CO297" s="315">
        <v>0</v>
      </c>
      <c r="CP297" s="315">
        <v>0</v>
      </c>
      <c r="CQ297" s="315">
        <v>450455</v>
      </c>
      <c r="CR297" s="315">
        <v>-1277330</v>
      </c>
      <c r="CS297" s="315">
        <v>-234083</v>
      </c>
      <c r="CT297" s="315">
        <v>-43675</v>
      </c>
      <c r="CU297" s="315">
        <v>-34010</v>
      </c>
      <c r="CV297" s="315">
        <v>-91</v>
      </c>
      <c r="CW297" s="315">
        <v>-156307</v>
      </c>
      <c r="CX297" s="315">
        <v>-1043247</v>
      </c>
      <c r="CY297" s="315">
        <v>0</v>
      </c>
      <c r="CZ297" s="315">
        <v>-1037002</v>
      </c>
      <c r="DA297" s="315">
        <v>-6245</v>
      </c>
      <c r="DB297" s="315">
        <v>0</v>
      </c>
      <c r="DC297" s="315">
        <v>0</v>
      </c>
      <c r="DD297" s="315">
        <v>13040209</v>
      </c>
      <c r="DE297" s="315">
        <v>10056208</v>
      </c>
      <c r="DF297" s="315">
        <v>2984001</v>
      </c>
      <c r="DG297" s="315">
        <v>2922646</v>
      </c>
      <c r="DH297" s="315">
        <v>61355</v>
      </c>
      <c r="DI297" s="315">
        <v>1749802</v>
      </c>
      <c r="DJ297" s="315">
        <v>106870</v>
      </c>
      <c r="DK297" s="315">
        <v>25208</v>
      </c>
      <c r="DL297" s="315">
        <v>3582</v>
      </c>
      <c r="DM297" s="315">
        <v>995730</v>
      </c>
      <c r="DN297" s="315">
        <v>497216</v>
      </c>
      <c r="DO297" s="315">
        <v>121124</v>
      </c>
      <c r="DP297" s="315"/>
      <c r="DQ297" s="315">
        <v>0</v>
      </c>
      <c r="DR297" s="315">
        <v>72</v>
      </c>
      <c r="DS297" s="315">
        <v>-12132</v>
      </c>
      <c r="DT297" s="315">
        <v>-5463</v>
      </c>
      <c r="DU297" s="315">
        <v>-149</v>
      </c>
      <c r="DV297" s="315">
        <v>-6</v>
      </c>
      <c r="DW297" s="315">
        <v>-5142</v>
      </c>
      <c r="DX297" s="315">
        <v>-2511</v>
      </c>
      <c r="DY297" s="315">
        <v>-753</v>
      </c>
      <c r="DZ297" s="315">
        <v>-1878</v>
      </c>
      <c r="EA297" s="315">
        <v>-153</v>
      </c>
      <c r="EB297" s="315">
        <v>-1020</v>
      </c>
      <c r="EC297" s="315"/>
      <c r="ED297" s="315">
        <v>0</v>
      </c>
      <c r="EE297" s="315">
        <v>-199</v>
      </c>
      <c r="EF297" s="315">
        <v>1737670</v>
      </c>
      <c r="EG297" s="315">
        <v>636203</v>
      </c>
      <c r="EH297" s="315">
        <v>1101467</v>
      </c>
      <c r="EI297" s="315">
        <v>1083404</v>
      </c>
      <c r="EJ297" s="315">
        <v>18063</v>
      </c>
      <c r="EK297" s="315">
        <v>101407</v>
      </c>
      <c r="EL297" s="315">
        <v>58052</v>
      </c>
      <c r="EM297" s="315">
        <v>43355</v>
      </c>
      <c r="EN297" s="315">
        <v>42488</v>
      </c>
      <c r="EO297" s="315">
        <v>867</v>
      </c>
      <c r="EP297" s="315">
        <v>25059</v>
      </c>
      <c r="EQ297" s="315">
        <v>9104</v>
      </c>
      <c r="ER297" s="315">
        <v>15955</v>
      </c>
      <c r="ES297" s="315">
        <v>15631</v>
      </c>
      <c r="ET297" s="315">
        <v>324</v>
      </c>
      <c r="EU297" s="315">
        <v>3576</v>
      </c>
      <c r="EV297" s="315">
        <v>2370</v>
      </c>
      <c r="EW297" s="315">
        <v>1206</v>
      </c>
      <c r="EX297" s="315">
        <v>1184</v>
      </c>
      <c r="EY297" s="315">
        <v>22</v>
      </c>
      <c r="EZ297" s="315">
        <v>990588</v>
      </c>
      <c r="FA297" s="315">
        <v>406877</v>
      </c>
      <c r="FB297" s="315">
        <v>583711</v>
      </c>
      <c r="FC297" s="315">
        <v>573448</v>
      </c>
      <c r="FD297" s="315">
        <v>10263</v>
      </c>
      <c r="FE297" s="315">
        <v>497063</v>
      </c>
      <c r="FF297" s="315">
        <v>156541</v>
      </c>
      <c r="FG297" s="315">
        <v>340522</v>
      </c>
      <c r="FH297" s="315">
        <v>333935</v>
      </c>
      <c r="FI297" s="315">
        <v>6587</v>
      </c>
      <c r="FJ297" s="315">
        <v>120104</v>
      </c>
      <c r="FK297" s="315">
        <v>3386</v>
      </c>
      <c r="FL297" s="315">
        <v>116718</v>
      </c>
      <c r="FM297" s="315">
        <v>116718</v>
      </c>
      <c r="FN297" s="315"/>
      <c r="FO297" s="315"/>
      <c r="FP297" s="315">
        <v>0</v>
      </c>
      <c r="FQ297" s="315">
        <v>-127</v>
      </c>
      <c r="FR297" s="315">
        <v>622528</v>
      </c>
      <c r="FS297" s="315">
        <v>-164535</v>
      </c>
      <c r="FT297" s="315">
        <v>457993</v>
      </c>
      <c r="FU297" s="315">
        <v>21030</v>
      </c>
      <c r="FV297" s="315">
        <v>19477</v>
      </c>
      <c r="FW297" s="315">
        <v>1553</v>
      </c>
      <c r="FX297" s="315">
        <v>167888</v>
      </c>
      <c r="FY297" s="315">
        <v>150454</v>
      </c>
      <c r="FZ297" s="315"/>
      <c r="GA297" s="315"/>
      <c r="GB297" s="315">
        <v>15231</v>
      </c>
      <c r="GC297" s="315">
        <v>52167</v>
      </c>
      <c r="GD297" s="315">
        <v>-31412</v>
      </c>
      <c r="GE297" s="315">
        <v>258</v>
      </c>
      <c r="GF297" s="315">
        <v>83321</v>
      </c>
      <c r="GG297" s="315">
        <v>51223</v>
      </c>
      <c r="GH297" s="315">
        <v>7951</v>
      </c>
      <c r="GI297" s="315">
        <v>737</v>
      </c>
      <c r="GJ297" s="315">
        <v>42535</v>
      </c>
      <c r="GL297"/>
      <c r="GM297"/>
      <c r="GN297"/>
      <c r="GO297"/>
    </row>
    <row r="298" spans="1:197">
      <c r="A298" s="98" t="s">
        <v>37</v>
      </c>
      <c r="B298" s="98">
        <v>3</v>
      </c>
      <c r="C298" s="98" t="s">
        <v>219</v>
      </c>
      <c r="D298" s="315">
        <v>13361076</v>
      </c>
      <c r="E298" s="315">
        <v>-3744903</v>
      </c>
      <c r="F298" s="315">
        <v>-108392</v>
      </c>
      <c r="G298" s="315">
        <v>9507781</v>
      </c>
      <c r="H298" s="315">
        <v>2025161</v>
      </c>
      <c r="I298" s="315">
        <v>7482620</v>
      </c>
      <c r="J298" s="315">
        <v>7334226</v>
      </c>
      <c r="K298" s="315">
        <v>148394</v>
      </c>
      <c r="L298" s="315">
        <v>5268233</v>
      </c>
      <c r="M298" s="315">
        <v>4820742</v>
      </c>
      <c r="N298" s="315">
        <v>100876</v>
      </c>
      <c r="O298" s="315">
        <v>0</v>
      </c>
      <c r="P298" s="315">
        <v>100876</v>
      </c>
      <c r="Q298" s="315">
        <v>93499</v>
      </c>
      <c r="R298" s="315">
        <v>253116</v>
      </c>
      <c r="S298" s="315">
        <v>-542671</v>
      </c>
      <c r="T298" s="315">
        <v>-525506</v>
      </c>
      <c r="U298" s="315">
        <v>-81830</v>
      </c>
      <c r="V298" s="315">
        <v>-985</v>
      </c>
      <c r="W298" s="315">
        <v>0</v>
      </c>
      <c r="X298" s="315">
        <v>-67721</v>
      </c>
      <c r="Y298" s="315">
        <v>-374970</v>
      </c>
      <c r="Z298" s="315">
        <v>-4070</v>
      </c>
      <c r="AA298" s="315">
        <v>-10887</v>
      </c>
      <c r="AB298" s="315">
        <v>-2208</v>
      </c>
      <c r="AC298" s="315">
        <v>-108392</v>
      </c>
      <c r="AD298" s="315">
        <v>4617170</v>
      </c>
      <c r="AE298" s="315">
        <v>1220019</v>
      </c>
      <c r="AF298" s="315">
        <v>3397151</v>
      </c>
      <c r="AG298" s="315">
        <v>3328173</v>
      </c>
      <c r="AH298" s="315">
        <v>68978</v>
      </c>
      <c r="AI298" s="315">
        <v>4814235</v>
      </c>
      <c r="AJ298" s="315">
        <v>1667456</v>
      </c>
      <c r="AK298" s="315">
        <v>3082720</v>
      </c>
      <c r="AL298" s="315">
        <v>30491</v>
      </c>
      <c r="AM298" s="315">
        <v>137648</v>
      </c>
      <c r="AN298" s="315">
        <v>41510</v>
      </c>
      <c r="AO298" s="315">
        <v>36616</v>
      </c>
      <c r="AP298" s="315">
        <v>15928</v>
      </c>
      <c r="AQ298" s="315">
        <v>14826</v>
      </c>
      <c r="AR298" s="315">
        <v>-424630</v>
      </c>
      <c r="AS298" s="315">
        <v>89429</v>
      </c>
      <c r="AT298" s="315">
        <v>0</v>
      </c>
      <c r="AU298" s="315">
        <v>-108392</v>
      </c>
      <c r="AV298" s="315">
        <v>309743</v>
      </c>
      <c r="AW298" s="315">
        <v>13214</v>
      </c>
      <c r="AX298" s="315">
        <v>94621</v>
      </c>
      <c r="AY298" s="315">
        <v>18877</v>
      </c>
      <c r="AZ298" s="315">
        <v>13607</v>
      </c>
      <c r="BA298" s="315">
        <v>16045</v>
      </c>
      <c r="BB298" s="315">
        <v>46092</v>
      </c>
      <c r="BC298" s="315">
        <v>110837</v>
      </c>
      <c r="BD298" s="315">
        <v>91071</v>
      </c>
      <c r="BE298" s="315">
        <v>-891456</v>
      </c>
      <c r="BF298" s="315">
        <v>-887157</v>
      </c>
      <c r="BG298" s="315">
        <v>-171209</v>
      </c>
      <c r="BH298" s="315">
        <v>-715948</v>
      </c>
      <c r="BI298" s="315">
        <v>0</v>
      </c>
      <c r="BJ298" s="315">
        <v>-142612</v>
      </c>
      <c r="BK298" s="315">
        <v>-744545</v>
      </c>
      <c r="BL298" s="315">
        <v>-4299</v>
      </c>
      <c r="BM298" s="315">
        <v>0</v>
      </c>
      <c r="BN298" s="315">
        <v>-581713</v>
      </c>
      <c r="BO298" s="315">
        <v>58333</v>
      </c>
      <c r="BP298" s="315">
        <v>15362</v>
      </c>
      <c r="BQ298" s="315">
        <v>15590</v>
      </c>
      <c r="BR298" s="315">
        <v>0</v>
      </c>
      <c r="BS298" s="315">
        <v>10735</v>
      </c>
      <c r="BT298" s="315">
        <v>1453</v>
      </c>
      <c r="BU298" s="315">
        <v>0</v>
      </c>
      <c r="BV298" s="315">
        <v>2025</v>
      </c>
      <c r="BW298" s="315">
        <v>7257</v>
      </c>
      <c r="BX298" s="315">
        <v>-76588</v>
      </c>
      <c r="BY298" s="315">
        <v>-605111</v>
      </c>
      <c r="BZ298" s="315">
        <v>-34</v>
      </c>
      <c r="CA298" s="315">
        <v>190051</v>
      </c>
      <c r="CB298" s="315">
        <v>-60152</v>
      </c>
      <c r="CC298" s="315">
        <v>-60152</v>
      </c>
      <c r="CD298" s="315">
        <v>0</v>
      </c>
      <c r="CE298" s="315">
        <v>129899</v>
      </c>
      <c r="CF298" s="315">
        <v>170181</v>
      </c>
      <c r="CG298" s="315">
        <v>8</v>
      </c>
      <c r="CH298" s="315">
        <v>-40290</v>
      </c>
      <c r="CI298" s="315">
        <v>5436835</v>
      </c>
      <c r="CJ298" s="315">
        <v>1473840</v>
      </c>
      <c r="CK298" s="315">
        <v>3962995</v>
      </c>
      <c r="CL298" s="315">
        <v>3511558</v>
      </c>
      <c r="CM298" s="315">
        <v>74185</v>
      </c>
      <c r="CN298" s="315">
        <v>377252</v>
      </c>
      <c r="CO298" s="315">
        <v>0</v>
      </c>
      <c r="CP298" s="315">
        <v>0</v>
      </c>
      <c r="CQ298" s="315">
        <v>377252</v>
      </c>
      <c r="CR298" s="315">
        <v>-2135602</v>
      </c>
      <c r="CS298" s="315">
        <v>-184589</v>
      </c>
      <c r="CT298" s="315">
        <v>-66887</v>
      </c>
      <c r="CU298" s="315">
        <v>-27508</v>
      </c>
      <c r="CV298" s="315">
        <v>-100</v>
      </c>
      <c r="CW298" s="315">
        <v>-90094</v>
      </c>
      <c r="CX298" s="315">
        <v>-1620300</v>
      </c>
      <c r="CY298" s="315">
        <v>-69729</v>
      </c>
      <c r="CZ298" s="315">
        <v>-1541569</v>
      </c>
      <c r="DA298" s="315">
        <v>-9002</v>
      </c>
      <c r="DB298" s="315">
        <v>0</v>
      </c>
      <c r="DC298" s="315">
        <v>-330713</v>
      </c>
      <c r="DD298" s="315">
        <v>3301233</v>
      </c>
      <c r="DE298" s="315">
        <v>317228</v>
      </c>
      <c r="DF298" s="315">
        <v>2984005</v>
      </c>
      <c r="DG298" s="315">
        <v>2922646</v>
      </c>
      <c r="DH298" s="315">
        <v>61359</v>
      </c>
      <c r="DI298" s="315">
        <v>1587092</v>
      </c>
      <c r="DJ298" s="315">
        <v>82969</v>
      </c>
      <c r="DK298" s="315">
        <v>24656</v>
      </c>
      <c r="DL298" s="315">
        <v>1608</v>
      </c>
      <c r="DM298" s="315">
        <v>945269</v>
      </c>
      <c r="DN298" s="315">
        <v>412951</v>
      </c>
      <c r="DO298" s="315">
        <v>119589</v>
      </c>
      <c r="DP298" s="315"/>
      <c r="DQ298" s="315">
        <v>0</v>
      </c>
      <c r="DR298" s="315">
        <v>50</v>
      </c>
      <c r="DS298" s="315">
        <v>-23568</v>
      </c>
      <c r="DT298" s="315">
        <v>-1531</v>
      </c>
      <c r="DU298" s="315">
        <v>-480</v>
      </c>
      <c r="DV298" s="315">
        <v>-37</v>
      </c>
      <c r="DW298" s="315">
        <v>-18581</v>
      </c>
      <c r="DX298" s="315">
        <v>-1231</v>
      </c>
      <c r="DY298" s="315">
        <v>-152</v>
      </c>
      <c r="DZ298" s="315">
        <v>-17198</v>
      </c>
      <c r="EA298" s="315">
        <v>-2353</v>
      </c>
      <c r="EB298" s="315">
        <v>-403</v>
      </c>
      <c r="EC298" s="315"/>
      <c r="ED298" s="315">
        <v>0</v>
      </c>
      <c r="EE298" s="315">
        <v>-183</v>
      </c>
      <c r="EF298" s="315">
        <v>1563524</v>
      </c>
      <c r="EG298" s="315">
        <v>462060</v>
      </c>
      <c r="EH298" s="315">
        <v>1101464</v>
      </c>
      <c r="EI298" s="315">
        <v>1083407</v>
      </c>
      <c r="EJ298" s="315">
        <v>18057</v>
      </c>
      <c r="EK298" s="315">
        <v>81438</v>
      </c>
      <c r="EL298" s="315">
        <v>38084</v>
      </c>
      <c r="EM298" s="315">
        <v>43354</v>
      </c>
      <c r="EN298" s="315">
        <v>42488</v>
      </c>
      <c r="EO298" s="315">
        <v>866</v>
      </c>
      <c r="EP298" s="315">
        <v>24176</v>
      </c>
      <c r="EQ298" s="315">
        <v>8221</v>
      </c>
      <c r="ER298" s="315">
        <v>15955</v>
      </c>
      <c r="ES298" s="315">
        <v>15631</v>
      </c>
      <c r="ET298" s="315">
        <v>324</v>
      </c>
      <c r="EU298" s="315">
        <v>1571</v>
      </c>
      <c r="EV298" s="315">
        <v>366</v>
      </c>
      <c r="EW298" s="315">
        <v>1205</v>
      </c>
      <c r="EX298" s="315">
        <v>1185</v>
      </c>
      <c r="EY298" s="315">
        <v>20</v>
      </c>
      <c r="EZ298" s="315">
        <v>926688</v>
      </c>
      <c r="FA298" s="315">
        <v>342980</v>
      </c>
      <c r="FB298" s="315">
        <v>583708</v>
      </c>
      <c r="FC298" s="315">
        <v>573449</v>
      </c>
      <c r="FD298" s="315">
        <v>10259</v>
      </c>
      <c r="FE298" s="315">
        <v>410598</v>
      </c>
      <c r="FF298" s="315">
        <v>70075</v>
      </c>
      <c r="FG298" s="315">
        <v>340523</v>
      </c>
      <c r="FH298" s="315">
        <v>333935</v>
      </c>
      <c r="FI298" s="315">
        <v>6588</v>
      </c>
      <c r="FJ298" s="315">
        <v>119186</v>
      </c>
      <c r="FK298" s="315">
        <v>2467</v>
      </c>
      <c r="FL298" s="315">
        <v>116719</v>
      </c>
      <c r="FM298" s="315">
        <v>116719</v>
      </c>
      <c r="FN298" s="315"/>
      <c r="FO298" s="315"/>
      <c r="FP298" s="315">
        <v>0</v>
      </c>
      <c r="FQ298" s="315">
        <v>-133</v>
      </c>
      <c r="FR298" s="315">
        <v>569122</v>
      </c>
      <c r="FS298" s="315">
        <v>-91454</v>
      </c>
      <c r="FT298" s="315">
        <v>477668</v>
      </c>
      <c r="FU298" s="315">
        <v>2912</v>
      </c>
      <c r="FV298" s="315">
        <v>2430</v>
      </c>
      <c r="FW298" s="315">
        <v>482</v>
      </c>
      <c r="FX298" s="315">
        <v>165721</v>
      </c>
      <c r="FY298" s="315">
        <v>125247</v>
      </c>
      <c r="FZ298" s="315"/>
      <c r="GA298" s="315"/>
      <c r="GB298" s="315">
        <v>82</v>
      </c>
      <c r="GC298" s="315">
        <v>70835</v>
      </c>
      <c r="GD298" s="315">
        <v>-27632</v>
      </c>
      <c r="GE298" s="315">
        <v>0</v>
      </c>
      <c r="GF298" s="315">
        <v>98467</v>
      </c>
      <c r="GG298" s="315">
        <v>112871</v>
      </c>
      <c r="GH298" s="315">
        <v>8782</v>
      </c>
      <c r="GI298" s="315">
        <v>553</v>
      </c>
      <c r="GJ298" s="315">
        <v>103536</v>
      </c>
      <c r="GL298"/>
      <c r="GM298"/>
      <c r="GN298"/>
      <c r="GO298"/>
    </row>
    <row r="299" spans="1:197">
      <c r="A299" s="98" t="s">
        <v>37</v>
      </c>
      <c r="B299" s="98">
        <v>4</v>
      </c>
      <c r="C299" s="98" t="s">
        <v>220</v>
      </c>
      <c r="D299" s="315">
        <v>26549453</v>
      </c>
      <c r="E299" s="315">
        <v>-5648204</v>
      </c>
      <c r="F299" s="315">
        <v>-14972</v>
      </c>
      <c r="G299" s="315">
        <v>20886277</v>
      </c>
      <c r="H299" s="315">
        <v>13403662</v>
      </c>
      <c r="I299" s="315">
        <v>7482615</v>
      </c>
      <c r="J299" s="315">
        <v>7334222</v>
      </c>
      <c r="K299" s="315">
        <v>148393</v>
      </c>
      <c r="L299" s="315">
        <v>8284139</v>
      </c>
      <c r="M299" s="315">
        <v>7069281</v>
      </c>
      <c r="N299" s="315">
        <v>111103</v>
      </c>
      <c r="O299" s="315">
        <v>0</v>
      </c>
      <c r="P299" s="315">
        <v>111103</v>
      </c>
      <c r="Q299" s="315">
        <v>66603</v>
      </c>
      <c r="R299" s="315">
        <v>1037152</v>
      </c>
      <c r="S299" s="315">
        <v>-2125606</v>
      </c>
      <c r="T299" s="315">
        <v>-2108774</v>
      </c>
      <c r="U299" s="315">
        <v>-80310</v>
      </c>
      <c r="V299" s="315">
        <v>-255</v>
      </c>
      <c r="W299" s="315">
        <v>-1850072</v>
      </c>
      <c r="X299" s="315">
        <v>0</v>
      </c>
      <c r="Y299" s="315">
        <v>-178137</v>
      </c>
      <c r="Z299" s="315">
        <v>-3915</v>
      </c>
      <c r="AA299" s="315">
        <v>-11642</v>
      </c>
      <c r="AB299" s="315">
        <v>-1275</v>
      </c>
      <c r="AC299" s="315">
        <v>-14972</v>
      </c>
      <c r="AD299" s="315">
        <v>6143561</v>
      </c>
      <c r="AE299" s="315">
        <v>2746412</v>
      </c>
      <c r="AF299" s="315">
        <v>3397149</v>
      </c>
      <c r="AG299" s="315">
        <v>3328172</v>
      </c>
      <c r="AH299" s="315">
        <v>68977</v>
      </c>
      <c r="AI299" s="315">
        <v>7058887</v>
      </c>
      <c r="AJ299" s="315">
        <v>1591513</v>
      </c>
      <c r="AK299" s="315">
        <v>2877625</v>
      </c>
      <c r="AL299" s="315">
        <v>2553259</v>
      </c>
      <c r="AM299" s="315">
        <v>241774</v>
      </c>
      <c r="AN299" s="315">
        <v>245160</v>
      </c>
      <c r="AO299" s="315">
        <v>49639</v>
      </c>
      <c r="AP299" s="315">
        <v>18627</v>
      </c>
      <c r="AQ299" s="315">
        <v>479429</v>
      </c>
      <c r="AR299" s="315">
        <v>-1997671</v>
      </c>
      <c r="AS299" s="315">
        <v>62688</v>
      </c>
      <c r="AT299" s="315">
        <v>0</v>
      </c>
      <c r="AU299" s="315">
        <v>-14972</v>
      </c>
      <c r="AV299" s="315">
        <v>5397981</v>
      </c>
      <c r="AW299" s="315">
        <v>4876349</v>
      </c>
      <c r="AX299" s="315">
        <v>132923</v>
      </c>
      <c r="AY299" s="315">
        <v>31311</v>
      </c>
      <c r="AZ299" s="315">
        <v>44894</v>
      </c>
      <c r="BA299" s="315">
        <v>36388</v>
      </c>
      <c r="BB299" s="315">
        <v>20330</v>
      </c>
      <c r="BC299" s="315">
        <v>163274</v>
      </c>
      <c r="BD299" s="315">
        <v>225435</v>
      </c>
      <c r="BE299" s="315">
        <v>-252989</v>
      </c>
      <c r="BF299" s="315">
        <v>-252072</v>
      </c>
      <c r="BG299" s="315">
        <v>-199312</v>
      </c>
      <c r="BH299" s="315">
        <v>-52760</v>
      </c>
      <c r="BI299" s="315">
        <v>0</v>
      </c>
      <c r="BJ299" s="315">
        <v>-71330</v>
      </c>
      <c r="BK299" s="315">
        <v>-180742</v>
      </c>
      <c r="BL299" s="315">
        <v>-917</v>
      </c>
      <c r="BM299" s="315">
        <v>0</v>
      </c>
      <c r="BN299" s="315">
        <v>5144992</v>
      </c>
      <c r="BO299" s="315">
        <v>102915</v>
      </c>
      <c r="BP299" s="315">
        <v>100874</v>
      </c>
      <c r="BQ299" s="315">
        <v>21132</v>
      </c>
      <c r="BR299" s="315">
        <v>25</v>
      </c>
      <c r="BS299" s="315">
        <v>4875915</v>
      </c>
      <c r="BT299" s="315">
        <v>1631126</v>
      </c>
      <c r="BU299" s="315">
        <v>2507133</v>
      </c>
      <c r="BV299" s="315">
        <v>617793</v>
      </c>
      <c r="BW299" s="315">
        <v>119863</v>
      </c>
      <c r="BX299" s="315">
        <v>-66389</v>
      </c>
      <c r="BY299" s="315">
        <v>110514</v>
      </c>
      <c r="BZ299" s="315">
        <v>6</v>
      </c>
      <c r="CA299" s="315">
        <v>231530</v>
      </c>
      <c r="CB299" s="315">
        <v>-72109</v>
      </c>
      <c r="CC299" s="315">
        <v>-72109</v>
      </c>
      <c r="CD299" s="315">
        <v>0</v>
      </c>
      <c r="CE299" s="315">
        <v>159421</v>
      </c>
      <c r="CF299" s="315">
        <v>171193</v>
      </c>
      <c r="CG299" s="315">
        <v>13568</v>
      </c>
      <c r="CH299" s="315">
        <v>-25340</v>
      </c>
      <c r="CI299" s="315">
        <v>9835090</v>
      </c>
      <c r="CJ299" s="315">
        <v>1392969</v>
      </c>
      <c r="CK299" s="315">
        <v>8442121</v>
      </c>
      <c r="CL299" s="315">
        <v>3654164</v>
      </c>
      <c r="CM299" s="315">
        <v>4344265</v>
      </c>
      <c r="CN299" s="315">
        <v>443692</v>
      </c>
      <c r="CO299" s="315">
        <v>0</v>
      </c>
      <c r="CP299" s="315">
        <v>0</v>
      </c>
      <c r="CQ299" s="315">
        <v>443692</v>
      </c>
      <c r="CR299" s="315">
        <v>-3057306</v>
      </c>
      <c r="CS299" s="315">
        <v>-880982</v>
      </c>
      <c r="CT299" s="315">
        <v>-766688</v>
      </c>
      <c r="CU299" s="315">
        <v>-32566</v>
      </c>
      <c r="CV299" s="315">
        <v>-156</v>
      </c>
      <c r="CW299" s="315">
        <v>-81572</v>
      </c>
      <c r="CX299" s="315">
        <v>-1692413</v>
      </c>
      <c r="CY299" s="315">
        <v>-800654</v>
      </c>
      <c r="CZ299" s="315">
        <v>-888104</v>
      </c>
      <c r="DA299" s="315">
        <v>-3655</v>
      </c>
      <c r="DB299" s="315">
        <v>-483911</v>
      </c>
      <c r="DC299" s="315">
        <v>0</v>
      </c>
      <c r="DD299" s="315">
        <v>6777784</v>
      </c>
      <c r="DE299" s="315">
        <v>3793783</v>
      </c>
      <c r="DF299" s="315">
        <v>2984001</v>
      </c>
      <c r="DG299" s="315">
        <v>2922645</v>
      </c>
      <c r="DH299" s="315">
        <v>61356</v>
      </c>
      <c r="DI299" s="315">
        <v>1926250</v>
      </c>
      <c r="DJ299" s="315">
        <v>38453</v>
      </c>
      <c r="DK299" s="315">
        <v>17735</v>
      </c>
      <c r="DL299" s="315">
        <v>798</v>
      </c>
      <c r="DM299" s="315">
        <v>1226386</v>
      </c>
      <c r="DN299" s="315">
        <v>489571</v>
      </c>
      <c r="DO299" s="315">
        <v>112749</v>
      </c>
      <c r="DP299" s="315"/>
      <c r="DQ299" s="315">
        <v>40506</v>
      </c>
      <c r="DR299" s="315">
        <v>52</v>
      </c>
      <c r="DS299" s="315">
        <v>-85593</v>
      </c>
      <c r="DT299" s="315">
        <v>-52916</v>
      </c>
      <c r="DU299" s="315">
        <v>-12152</v>
      </c>
      <c r="DV299" s="315">
        <v>-31</v>
      </c>
      <c r="DW299" s="315">
        <v>-3774</v>
      </c>
      <c r="DX299" s="315">
        <v>-2052</v>
      </c>
      <c r="DY299" s="315">
        <v>-61</v>
      </c>
      <c r="DZ299" s="315">
        <v>-1661</v>
      </c>
      <c r="EA299" s="315">
        <v>-16397</v>
      </c>
      <c r="EB299" s="315">
        <v>-252</v>
      </c>
      <c r="EC299" s="315"/>
      <c r="ED299" s="315">
        <v>0</v>
      </c>
      <c r="EE299" s="315">
        <v>-71</v>
      </c>
      <c r="EF299" s="315">
        <v>1840657</v>
      </c>
      <c r="EG299" s="315">
        <v>739192</v>
      </c>
      <c r="EH299" s="315">
        <v>1101465</v>
      </c>
      <c r="EI299" s="315">
        <v>1083405</v>
      </c>
      <c r="EJ299" s="315">
        <v>18060</v>
      </c>
      <c r="EK299" s="315">
        <v>-14463</v>
      </c>
      <c r="EL299" s="315">
        <v>-57816</v>
      </c>
      <c r="EM299" s="315">
        <v>43353</v>
      </c>
      <c r="EN299" s="315">
        <v>42488</v>
      </c>
      <c r="EO299" s="315">
        <v>865</v>
      </c>
      <c r="EP299" s="315">
        <v>5583</v>
      </c>
      <c r="EQ299" s="315">
        <v>-10371</v>
      </c>
      <c r="ER299" s="315">
        <v>15954</v>
      </c>
      <c r="ES299" s="315">
        <v>15631</v>
      </c>
      <c r="ET299" s="315">
        <v>323</v>
      </c>
      <c r="EU299" s="315">
        <v>767</v>
      </c>
      <c r="EV299" s="315">
        <v>-439</v>
      </c>
      <c r="EW299" s="315">
        <v>1206</v>
      </c>
      <c r="EX299" s="315">
        <v>1184</v>
      </c>
      <c r="EY299" s="315">
        <v>22</v>
      </c>
      <c r="EZ299" s="315">
        <v>1222612</v>
      </c>
      <c r="FA299" s="315">
        <v>638900</v>
      </c>
      <c r="FB299" s="315">
        <v>583712</v>
      </c>
      <c r="FC299" s="315">
        <v>573449</v>
      </c>
      <c r="FD299" s="315">
        <v>10263</v>
      </c>
      <c r="FE299" s="315">
        <v>473174</v>
      </c>
      <c r="FF299" s="315">
        <v>132652</v>
      </c>
      <c r="FG299" s="315">
        <v>340522</v>
      </c>
      <c r="FH299" s="315">
        <v>333935</v>
      </c>
      <c r="FI299" s="315">
        <v>6587</v>
      </c>
      <c r="FJ299" s="315">
        <v>112497</v>
      </c>
      <c r="FK299" s="315">
        <v>-4221</v>
      </c>
      <c r="FL299" s="315">
        <v>116718</v>
      </c>
      <c r="FM299" s="315">
        <v>116718</v>
      </c>
      <c r="FN299" s="315"/>
      <c r="FO299" s="315"/>
      <c r="FP299" s="315">
        <v>40506</v>
      </c>
      <c r="FQ299" s="315">
        <v>-19</v>
      </c>
      <c r="FR299" s="315">
        <v>874463</v>
      </c>
      <c r="FS299" s="315">
        <v>-54601</v>
      </c>
      <c r="FT299" s="315">
        <v>819862</v>
      </c>
      <c r="FU299" s="315">
        <v>452</v>
      </c>
      <c r="FV299" s="315">
        <v>-128</v>
      </c>
      <c r="FW299" s="315">
        <v>580</v>
      </c>
      <c r="FX299" s="315">
        <v>165613</v>
      </c>
      <c r="FY299" s="315">
        <v>122619</v>
      </c>
      <c r="FZ299" s="315"/>
      <c r="GA299" s="315"/>
      <c r="GB299" s="315">
        <v>19</v>
      </c>
      <c r="GC299" s="315">
        <v>409712</v>
      </c>
      <c r="GD299" s="315">
        <v>350137</v>
      </c>
      <c r="GE299" s="315">
        <v>20</v>
      </c>
      <c r="GF299" s="315">
        <v>59555</v>
      </c>
      <c r="GG299" s="315">
        <v>121447</v>
      </c>
      <c r="GH299" s="315">
        <v>8085</v>
      </c>
      <c r="GI299" s="315">
        <v>631</v>
      </c>
      <c r="GJ299" s="315">
        <v>112731</v>
      </c>
      <c r="GL299"/>
      <c r="GM299"/>
      <c r="GN299"/>
      <c r="GO299"/>
    </row>
    <row r="300" spans="1:197">
      <c r="A300" s="98" t="s">
        <v>37</v>
      </c>
      <c r="B300" s="98">
        <v>5</v>
      </c>
      <c r="C300" s="98" t="s">
        <v>221</v>
      </c>
      <c r="D300" s="315">
        <v>19714926</v>
      </c>
      <c r="E300" s="315">
        <v>-5217450</v>
      </c>
      <c r="F300" s="315">
        <v>-14972</v>
      </c>
      <c r="G300" s="315">
        <v>14482504</v>
      </c>
      <c r="H300" s="315">
        <v>6999886</v>
      </c>
      <c r="I300" s="315">
        <v>7482618</v>
      </c>
      <c r="J300" s="315">
        <v>7334221</v>
      </c>
      <c r="K300" s="315">
        <v>148397</v>
      </c>
      <c r="L300" s="315">
        <v>7621695</v>
      </c>
      <c r="M300" s="315">
        <v>6612862</v>
      </c>
      <c r="N300" s="315">
        <v>119048</v>
      </c>
      <c r="O300" s="315">
        <v>28245</v>
      </c>
      <c r="P300" s="315">
        <v>90803</v>
      </c>
      <c r="Q300" s="315">
        <v>69660</v>
      </c>
      <c r="R300" s="315">
        <v>820125</v>
      </c>
      <c r="S300" s="315">
        <v>-2544949</v>
      </c>
      <c r="T300" s="315">
        <v>-2536348</v>
      </c>
      <c r="U300" s="315">
        <v>-81331</v>
      </c>
      <c r="V300" s="315">
        <v>-89</v>
      </c>
      <c r="W300" s="315">
        <v>-2337539</v>
      </c>
      <c r="X300" s="315">
        <v>0</v>
      </c>
      <c r="Y300" s="315">
        <v>-117389</v>
      </c>
      <c r="Z300" s="315">
        <v>-4578</v>
      </c>
      <c r="AA300" s="315">
        <v>-4023</v>
      </c>
      <c r="AB300" s="315">
        <v>0</v>
      </c>
      <c r="AC300" s="315">
        <v>-14972</v>
      </c>
      <c r="AD300" s="315">
        <v>5061774</v>
      </c>
      <c r="AE300" s="315">
        <v>1664623</v>
      </c>
      <c r="AF300" s="315">
        <v>3397151</v>
      </c>
      <c r="AG300" s="315">
        <v>3328172</v>
      </c>
      <c r="AH300" s="315">
        <v>68979</v>
      </c>
      <c r="AI300" s="315">
        <v>6609630</v>
      </c>
      <c r="AJ300" s="315">
        <v>1800849</v>
      </c>
      <c r="AK300" s="315">
        <v>3261281</v>
      </c>
      <c r="AL300" s="315">
        <v>1511412</v>
      </c>
      <c r="AM300" s="315">
        <v>325640</v>
      </c>
      <c r="AN300" s="315">
        <v>182724</v>
      </c>
      <c r="AO300" s="315">
        <v>39741</v>
      </c>
      <c r="AP300" s="315">
        <v>14995</v>
      </c>
      <c r="AQ300" s="315">
        <v>256234</v>
      </c>
      <c r="AR300" s="315">
        <v>-2417300</v>
      </c>
      <c r="AS300" s="315">
        <v>65082</v>
      </c>
      <c r="AT300" s="315">
        <v>0</v>
      </c>
      <c r="AU300" s="315">
        <v>-14972</v>
      </c>
      <c r="AV300" s="315">
        <v>1241720</v>
      </c>
      <c r="AW300" s="315">
        <v>874416</v>
      </c>
      <c r="AX300" s="315">
        <v>46123</v>
      </c>
      <c r="AY300" s="315">
        <v>12005</v>
      </c>
      <c r="AZ300" s="315">
        <v>2595</v>
      </c>
      <c r="BA300" s="315">
        <v>12144</v>
      </c>
      <c r="BB300" s="315">
        <v>19379</v>
      </c>
      <c r="BC300" s="315">
        <v>94841</v>
      </c>
      <c r="BD300" s="315">
        <v>226340</v>
      </c>
      <c r="BE300" s="315">
        <v>-69731</v>
      </c>
      <c r="BF300" s="315">
        <v>-68539</v>
      </c>
      <c r="BG300" s="315">
        <v>-50966</v>
      </c>
      <c r="BH300" s="315">
        <v>-17573</v>
      </c>
      <c r="BI300" s="315">
        <v>0</v>
      </c>
      <c r="BJ300" s="315">
        <v>-36823</v>
      </c>
      <c r="BK300" s="315">
        <v>-31716</v>
      </c>
      <c r="BL300" s="315">
        <v>-1192</v>
      </c>
      <c r="BM300" s="315">
        <v>0</v>
      </c>
      <c r="BN300" s="315">
        <v>1171989</v>
      </c>
      <c r="BO300" s="315">
        <v>134950</v>
      </c>
      <c r="BP300" s="315">
        <v>74213</v>
      </c>
      <c r="BQ300" s="315">
        <v>16921</v>
      </c>
      <c r="BR300" s="315">
        <v>0</v>
      </c>
      <c r="BS300" s="315">
        <v>873475</v>
      </c>
      <c r="BT300" s="315">
        <v>289536</v>
      </c>
      <c r="BU300" s="315">
        <v>232318</v>
      </c>
      <c r="BV300" s="315">
        <v>342492</v>
      </c>
      <c r="BW300" s="315">
        <v>9129</v>
      </c>
      <c r="BX300" s="315">
        <v>-4843</v>
      </c>
      <c r="BY300" s="315">
        <v>77268</v>
      </c>
      <c r="BZ300" s="315">
        <v>5</v>
      </c>
      <c r="CA300" s="315">
        <v>239146</v>
      </c>
      <c r="CB300" s="315">
        <v>-49966</v>
      </c>
      <c r="CC300" s="315">
        <v>-49966</v>
      </c>
      <c r="CD300" s="315">
        <v>0</v>
      </c>
      <c r="CE300" s="315">
        <v>189180</v>
      </c>
      <c r="CF300" s="315">
        <v>208844</v>
      </c>
      <c r="CG300" s="315">
        <v>3810</v>
      </c>
      <c r="CH300" s="315">
        <v>-23474</v>
      </c>
      <c r="CI300" s="315">
        <v>8163969</v>
      </c>
      <c r="CJ300" s="315">
        <v>1453395</v>
      </c>
      <c r="CK300" s="315">
        <v>6710574</v>
      </c>
      <c r="CL300" s="315">
        <v>3905179</v>
      </c>
      <c r="CM300" s="315">
        <v>2294561</v>
      </c>
      <c r="CN300" s="315">
        <v>510834</v>
      </c>
      <c r="CO300" s="315">
        <v>0</v>
      </c>
      <c r="CP300" s="315">
        <v>0</v>
      </c>
      <c r="CQ300" s="315">
        <v>510834</v>
      </c>
      <c r="CR300" s="315">
        <v>-2447779</v>
      </c>
      <c r="CS300" s="315">
        <v>-787501</v>
      </c>
      <c r="CT300" s="315">
        <v>-691271</v>
      </c>
      <c r="CU300" s="315">
        <v>-15378</v>
      </c>
      <c r="CV300" s="315">
        <v>-576</v>
      </c>
      <c r="CW300" s="315">
        <v>-80276</v>
      </c>
      <c r="CX300" s="315">
        <v>-1660278</v>
      </c>
      <c r="CY300" s="315">
        <v>-1240067</v>
      </c>
      <c r="CZ300" s="315">
        <v>-343586</v>
      </c>
      <c r="DA300" s="315">
        <v>-76625</v>
      </c>
      <c r="DB300" s="315">
        <v>0</v>
      </c>
      <c r="DC300" s="315">
        <v>0</v>
      </c>
      <c r="DD300" s="315">
        <v>5716190</v>
      </c>
      <c r="DE300" s="315">
        <v>2732185</v>
      </c>
      <c r="DF300" s="315">
        <v>2984005</v>
      </c>
      <c r="DG300" s="315">
        <v>2922646</v>
      </c>
      <c r="DH300" s="315">
        <v>61359</v>
      </c>
      <c r="DI300" s="315">
        <v>1814488</v>
      </c>
      <c r="DJ300" s="315">
        <v>69137</v>
      </c>
      <c r="DK300" s="315">
        <v>29051</v>
      </c>
      <c r="DL300" s="315">
        <v>2836</v>
      </c>
      <c r="DM300" s="315">
        <v>1061514</v>
      </c>
      <c r="DN300" s="315">
        <v>534750</v>
      </c>
      <c r="DO300" s="315">
        <v>116062</v>
      </c>
      <c r="DP300" s="315"/>
      <c r="DQ300" s="315">
        <v>1032</v>
      </c>
      <c r="DR300" s="315">
        <v>106</v>
      </c>
      <c r="DS300" s="315">
        <v>-59453</v>
      </c>
      <c r="DT300" s="315">
        <v>-2192</v>
      </c>
      <c r="DU300" s="315">
        <v>-773</v>
      </c>
      <c r="DV300" s="315">
        <v>-101</v>
      </c>
      <c r="DW300" s="315">
        <v>-56268</v>
      </c>
      <c r="DX300" s="315">
        <v>-9710</v>
      </c>
      <c r="DY300" s="315">
        <v>-45283</v>
      </c>
      <c r="DZ300" s="315">
        <v>-1275</v>
      </c>
      <c r="EA300" s="315">
        <v>-12</v>
      </c>
      <c r="EB300" s="315">
        <v>-105</v>
      </c>
      <c r="EC300" s="315"/>
      <c r="ED300" s="315">
        <v>0</v>
      </c>
      <c r="EE300" s="315">
        <v>-2</v>
      </c>
      <c r="EF300" s="315">
        <v>1755035</v>
      </c>
      <c r="EG300" s="315">
        <v>653573</v>
      </c>
      <c r="EH300" s="315">
        <v>1101462</v>
      </c>
      <c r="EI300" s="315">
        <v>1083403</v>
      </c>
      <c r="EJ300" s="315">
        <v>18059</v>
      </c>
      <c r="EK300" s="315">
        <v>66945</v>
      </c>
      <c r="EL300" s="315">
        <v>23593</v>
      </c>
      <c r="EM300" s="315">
        <v>43352</v>
      </c>
      <c r="EN300" s="315">
        <v>42487</v>
      </c>
      <c r="EO300" s="315">
        <v>865</v>
      </c>
      <c r="EP300" s="315">
        <v>28278</v>
      </c>
      <c r="EQ300" s="315">
        <v>12322</v>
      </c>
      <c r="ER300" s="315">
        <v>15956</v>
      </c>
      <c r="ES300" s="315">
        <v>15631</v>
      </c>
      <c r="ET300" s="315">
        <v>325</v>
      </c>
      <c r="EU300" s="315">
        <v>2735</v>
      </c>
      <c r="EV300" s="315">
        <v>1529</v>
      </c>
      <c r="EW300" s="315">
        <v>1206</v>
      </c>
      <c r="EX300" s="315">
        <v>1184</v>
      </c>
      <c r="EY300" s="315">
        <v>22</v>
      </c>
      <c r="EZ300" s="315">
        <v>1005246</v>
      </c>
      <c r="FA300" s="315">
        <v>421538</v>
      </c>
      <c r="FB300" s="315">
        <v>583708</v>
      </c>
      <c r="FC300" s="315">
        <v>573448</v>
      </c>
      <c r="FD300" s="315">
        <v>10260</v>
      </c>
      <c r="FE300" s="315">
        <v>534738</v>
      </c>
      <c r="FF300" s="315">
        <v>194216</v>
      </c>
      <c r="FG300" s="315">
        <v>340522</v>
      </c>
      <c r="FH300" s="315">
        <v>333935</v>
      </c>
      <c r="FI300" s="315">
        <v>6587</v>
      </c>
      <c r="FJ300" s="315">
        <v>115957</v>
      </c>
      <c r="FK300" s="315">
        <v>-761</v>
      </c>
      <c r="FL300" s="315">
        <v>116718</v>
      </c>
      <c r="FM300" s="315">
        <v>116718</v>
      </c>
      <c r="FN300" s="315"/>
      <c r="FO300" s="315"/>
      <c r="FP300" s="315">
        <v>1032</v>
      </c>
      <c r="FQ300" s="315">
        <v>104</v>
      </c>
      <c r="FR300" s="315">
        <v>633908</v>
      </c>
      <c r="FS300" s="315">
        <v>-45572</v>
      </c>
      <c r="FT300" s="315">
        <v>588336</v>
      </c>
      <c r="FU300" s="315">
        <v>25708</v>
      </c>
      <c r="FV300" s="315">
        <v>5808</v>
      </c>
      <c r="FW300" s="315">
        <v>19900</v>
      </c>
      <c r="FX300" s="315">
        <v>153798</v>
      </c>
      <c r="FY300" s="315">
        <v>144174</v>
      </c>
      <c r="FZ300" s="315"/>
      <c r="GA300" s="315"/>
      <c r="GB300" s="315">
        <v>14821</v>
      </c>
      <c r="GC300" s="315">
        <v>133641</v>
      </c>
      <c r="GD300" s="315">
        <v>-30757</v>
      </c>
      <c r="GE300" s="315">
        <v>88156</v>
      </c>
      <c r="GF300" s="315">
        <v>76242</v>
      </c>
      <c r="GG300" s="315">
        <v>116194</v>
      </c>
      <c r="GH300" s="315">
        <v>4153</v>
      </c>
      <c r="GI300" s="315">
        <v>535</v>
      </c>
      <c r="GJ300" s="315">
        <v>111506</v>
      </c>
      <c r="GL300"/>
      <c r="GM300"/>
      <c r="GN300"/>
      <c r="GO300"/>
    </row>
    <row r="301" spans="1:197">
      <c r="A301" s="98" t="s">
        <v>37</v>
      </c>
      <c r="B301" s="98">
        <v>6</v>
      </c>
      <c r="C301" s="98" t="s">
        <v>222</v>
      </c>
      <c r="D301" s="315">
        <v>14599662</v>
      </c>
      <c r="E301" s="315">
        <v>-5899297</v>
      </c>
      <c r="F301" s="315">
        <v>-15186</v>
      </c>
      <c r="G301" s="315">
        <v>8685179</v>
      </c>
      <c r="H301" s="315">
        <v>1202560</v>
      </c>
      <c r="I301" s="315">
        <v>7482619</v>
      </c>
      <c r="J301" s="315">
        <v>7334223</v>
      </c>
      <c r="K301" s="315">
        <v>148396</v>
      </c>
      <c r="L301" s="315">
        <v>5352243</v>
      </c>
      <c r="M301" s="315">
        <v>4709509</v>
      </c>
      <c r="N301" s="315">
        <v>205054</v>
      </c>
      <c r="O301" s="315">
        <v>101840</v>
      </c>
      <c r="P301" s="315">
        <v>103214</v>
      </c>
      <c r="Q301" s="315">
        <v>72764</v>
      </c>
      <c r="R301" s="315">
        <v>364916</v>
      </c>
      <c r="S301" s="315">
        <v>-2867430</v>
      </c>
      <c r="T301" s="315">
        <v>-2836903</v>
      </c>
      <c r="U301" s="315">
        <v>-53557</v>
      </c>
      <c r="V301" s="315">
        <v>-52</v>
      </c>
      <c r="W301" s="315">
        <v>-2579769</v>
      </c>
      <c r="X301" s="315">
        <v>0</v>
      </c>
      <c r="Y301" s="315">
        <v>-203525</v>
      </c>
      <c r="Z301" s="315">
        <v>-10170</v>
      </c>
      <c r="AA301" s="315">
        <v>-19242</v>
      </c>
      <c r="AB301" s="315">
        <v>-1115</v>
      </c>
      <c r="AC301" s="315">
        <v>-15186</v>
      </c>
      <c r="AD301" s="315">
        <v>2469627</v>
      </c>
      <c r="AE301" s="315">
        <v>-927521</v>
      </c>
      <c r="AF301" s="315">
        <v>3397148</v>
      </c>
      <c r="AG301" s="315">
        <v>3328172</v>
      </c>
      <c r="AH301" s="315">
        <v>68976</v>
      </c>
      <c r="AI301" s="315">
        <v>4694526</v>
      </c>
      <c r="AJ301" s="315">
        <v>1966082</v>
      </c>
      <c r="AK301" s="315">
        <v>2666762</v>
      </c>
      <c r="AL301" s="315">
        <v>19639</v>
      </c>
      <c r="AM301" s="315">
        <v>240409</v>
      </c>
      <c r="AN301" s="315">
        <v>46614</v>
      </c>
      <c r="AO301" s="315">
        <v>30848</v>
      </c>
      <c r="AP301" s="315">
        <v>12800</v>
      </c>
      <c r="AQ301" s="315">
        <v>28871</v>
      </c>
      <c r="AR301" s="315">
        <v>-2631849</v>
      </c>
      <c r="AS301" s="315">
        <v>62594</v>
      </c>
      <c r="AT301" s="315">
        <v>0</v>
      </c>
      <c r="AU301" s="315">
        <v>-15186</v>
      </c>
      <c r="AV301" s="315">
        <v>509960</v>
      </c>
      <c r="AW301" s="315">
        <v>46770</v>
      </c>
      <c r="AX301" s="315">
        <v>54080</v>
      </c>
      <c r="AY301" s="315">
        <v>6271</v>
      </c>
      <c r="AZ301" s="315">
        <v>15507</v>
      </c>
      <c r="BA301" s="315">
        <v>9667</v>
      </c>
      <c r="BB301" s="315">
        <v>22635</v>
      </c>
      <c r="BC301" s="315">
        <v>276720</v>
      </c>
      <c r="BD301" s="315">
        <v>132390</v>
      </c>
      <c r="BE301" s="315">
        <v>-116184</v>
      </c>
      <c r="BF301" s="315">
        <v>-112764</v>
      </c>
      <c r="BG301" s="315">
        <v>-96374</v>
      </c>
      <c r="BH301" s="315">
        <v>-16390</v>
      </c>
      <c r="BI301" s="315">
        <v>0</v>
      </c>
      <c r="BJ301" s="315">
        <v>-42885</v>
      </c>
      <c r="BK301" s="315">
        <v>-69879</v>
      </c>
      <c r="BL301" s="315">
        <v>-3420</v>
      </c>
      <c r="BM301" s="315">
        <v>0</v>
      </c>
      <c r="BN301" s="315">
        <v>393776</v>
      </c>
      <c r="BO301" s="315">
        <v>101377</v>
      </c>
      <c r="BP301" s="315">
        <v>16122</v>
      </c>
      <c r="BQ301" s="315">
        <v>13132</v>
      </c>
      <c r="BR301" s="315">
        <v>6</v>
      </c>
      <c r="BS301" s="315">
        <v>45038</v>
      </c>
      <c r="BT301" s="315">
        <v>14757</v>
      </c>
      <c r="BU301" s="315">
        <v>18200</v>
      </c>
      <c r="BV301" s="315">
        <v>2574</v>
      </c>
      <c r="BW301" s="315">
        <v>9507</v>
      </c>
      <c r="BX301" s="315">
        <v>-42294</v>
      </c>
      <c r="BY301" s="315">
        <v>260330</v>
      </c>
      <c r="BZ301" s="315">
        <v>65</v>
      </c>
      <c r="CA301" s="315">
        <v>268498</v>
      </c>
      <c r="CB301" s="315">
        <v>-120298</v>
      </c>
      <c r="CC301" s="315">
        <v>-120298</v>
      </c>
      <c r="CD301" s="315">
        <v>0</v>
      </c>
      <c r="CE301" s="315">
        <v>148200</v>
      </c>
      <c r="CF301" s="315">
        <v>244778</v>
      </c>
      <c r="CG301" s="315">
        <v>91</v>
      </c>
      <c r="CH301" s="315">
        <v>-96669</v>
      </c>
      <c r="CI301" s="315">
        <v>5923226</v>
      </c>
      <c r="CJ301" s="315">
        <v>1542200</v>
      </c>
      <c r="CK301" s="315">
        <v>4381026</v>
      </c>
      <c r="CL301" s="315">
        <v>3812393</v>
      </c>
      <c r="CM301" s="315">
        <v>77898</v>
      </c>
      <c r="CN301" s="315">
        <v>490735</v>
      </c>
      <c r="CO301" s="315">
        <v>0</v>
      </c>
      <c r="CP301" s="315">
        <v>0</v>
      </c>
      <c r="CQ301" s="315">
        <v>490735</v>
      </c>
      <c r="CR301" s="315">
        <v>-2658046</v>
      </c>
      <c r="CS301" s="315">
        <v>-703452</v>
      </c>
      <c r="CT301" s="315">
        <v>-589417</v>
      </c>
      <c r="CU301" s="315">
        <v>-34118</v>
      </c>
      <c r="CV301" s="315">
        <v>-3157</v>
      </c>
      <c r="CW301" s="315">
        <v>-76760</v>
      </c>
      <c r="CX301" s="315">
        <v>-1832108</v>
      </c>
      <c r="CY301" s="315">
        <v>-1563299</v>
      </c>
      <c r="CZ301" s="315">
        <v>-267608</v>
      </c>
      <c r="DA301" s="315">
        <v>-1201</v>
      </c>
      <c r="DB301" s="315">
        <v>0</v>
      </c>
      <c r="DC301" s="315">
        <v>-122486</v>
      </c>
      <c r="DD301" s="315">
        <v>3265180</v>
      </c>
      <c r="DE301" s="315">
        <v>281177</v>
      </c>
      <c r="DF301" s="315">
        <v>2984003</v>
      </c>
      <c r="DG301" s="315">
        <v>2922646</v>
      </c>
      <c r="DH301" s="315">
        <v>61357</v>
      </c>
      <c r="DI301" s="315">
        <v>1864921</v>
      </c>
      <c r="DJ301" s="315">
        <v>67541</v>
      </c>
      <c r="DK301" s="315">
        <v>21157</v>
      </c>
      <c r="DL301" s="315">
        <v>1191</v>
      </c>
      <c r="DM301" s="315">
        <v>1058918</v>
      </c>
      <c r="DN301" s="315">
        <v>606553</v>
      </c>
      <c r="DO301" s="315">
        <v>109432</v>
      </c>
      <c r="DP301" s="315"/>
      <c r="DQ301" s="315">
        <v>16</v>
      </c>
      <c r="DR301" s="315">
        <v>113</v>
      </c>
      <c r="DS301" s="315">
        <v>-45567</v>
      </c>
      <c r="DT301" s="315">
        <v>-1010</v>
      </c>
      <c r="DU301" s="315">
        <v>-2267</v>
      </c>
      <c r="DV301" s="315">
        <v>-25</v>
      </c>
      <c r="DW301" s="315">
        <v>-40687</v>
      </c>
      <c r="DX301" s="315">
        <v>-12869</v>
      </c>
      <c r="DY301" s="315">
        <v>-9876</v>
      </c>
      <c r="DZ301" s="315">
        <v>-17942</v>
      </c>
      <c r="EA301" s="315">
        <v>-1096</v>
      </c>
      <c r="EB301" s="315">
        <v>-257</v>
      </c>
      <c r="EC301" s="315"/>
      <c r="ED301" s="315">
        <v>-119</v>
      </c>
      <c r="EE301" s="315">
        <v>-106</v>
      </c>
      <c r="EF301" s="315">
        <v>1819354</v>
      </c>
      <c r="EG301" s="315">
        <v>717886</v>
      </c>
      <c r="EH301" s="315">
        <v>1101468</v>
      </c>
      <c r="EI301" s="315">
        <v>1083405</v>
      </c>
      <c r="EJ301" s="315">
        <v>18063</v>
      </c>
      <c r="EK301" s="315">
        <v>66531</v>
      </c>
      <c r="EL301" s="315">
        <v>23176</v>
      </c>
      <c r="EM301" s="315">
        <v>43355</v>
      </c>
      <c r="EN301" s="315">
        <v>42488</v>
      </c>
      <c r="EO301" s="315">
        <v>867</v>
      </c>
      <c r="EP301" s="315">
        <v>18890</v>
      </c>
      <c r="EQ301" s="315">
        <v>2935</v>
      </c>
      <c r="ER301" s="315">
        <v>15955</v>
      </c>
      <c r="ES301" s="315">
        <v>15631</v>
      </c>
      <c r="ET301" s="315">
        <v>324</v>
      </c>
      <c r="EU301" s="315">
        <v>1166</v>
      </c>
      <c r="EV301" s="315">
        <v>-40</v>
      </c>
      <c r="EW301" s="315">
        <v>1206</v>
      </c>
      <c r="EX301" s="315">
        <v>1184</v>
      </c>
      <c r="EY301" s="315">
        <v>22</v>
      </c>
      <c r="EZ301" s="315">
        <v>1018231</v>
      </c>
      <c r="FA301" s="315">
        <v>434519</v>
      </c>
      <c r="FB301" s="315">
        <v>583712</v>
      </c>
      <c r="FC301" s="315">
        <v>573449</v>
      </c>
      <c r="FD301" s="315">
        <v>10263</v>
      </c>
      <c r="FE301" s="315">
        <v>605457</v>
      </c>
      <c r="FF301" s="315">
        <v>264935</v>
      </c>
      <c r="FG301" s="315">
        <v>340522</v>
      </c>
      <c r="FH301" s="315">
        <v>333935</v>
      </c>
      <c r="FI301" s="315">
        <v>6587</v>
      </c>
      <c r="FJ301" s="315">
        <v>109175</v>
      </c>
      <c r="FK301" s="315">
        <v>-7543</v>
      </c>
      <c r="FL301" s="315">
        <v>116718</v>
      </c>
      <c r="FM301" s="315">
        <v>116718</v>
      </c>
      <c r="FN301" s="315"/>
      <c r="FO301" s="315"/>
      <c r="FP301" s="315">
        <v>-103</v>
      </c>
      <c r="FQ301" s="315">
        <v>7</v>
      </c>
      <c r="FR301" s="315">
        <v>680814</v>
      </c>
      <c r="FS301" s="315">
        <v>-91772</v>
      </c>
      <c r="FT301" s="315">
        <v>589042</v>
      </c>
      <c r="FU301" s="315">
        <v>142352</v>
      </c>
      <c r="FV301" s="315">
        <v>141659</v>
      </c>
      <c r="FW301" s="315">
        <v>693</v>
      </c>
      <c r="FX301" s="315">
        <v>164715</v>
      </c>
      <c r="FY301" s="315">
        <v>126356</v>
      </c>
      <c r="FZ301" s="315"/>
      <c r="GA301" s="315"/>
      <c r="GB301" s="315">
        <v>96</v>
      </c>
      <c r="GC301" s="315">
        <v>64944</v>
      </c>
      <c r="GD301" s="315">
        <v>-30145</v>
      </c>
      <c r="GE301" s="315">
        <v>95737</v>
      </c>
      <c r="GF301" s="315">
        <v>-648</v>
      </c>
      <c r="GG301" s="315">
        <v>90579</v>
      </c>
      <c r="GH301" s="315">
        <v>10434</v>
      </c>
      <c r="GI301" s="315">
        <v>1036</v>
      </c>
      <c r="GJ301" s="315">
        <v>79109</v>
      </c>
      <c r="GL301"/>
      <c r="GM301"/>
      <c r="GN301"/>
      <c r="GO301"/>
    </row>
    <row r="302" spans="1:197">
      <c r="A302" s="98" t="s">
        <v>37</v>
      </c>
      <c r="B302" s="98">
        <v>7</v>
      </c>
      <c r="C302" s="98" t="s">
        <v>223</v>
      </c>
      <c r="D302" s="315">
        <v>37627284</v>
      </c>
      <c r="E302" s="315">
        <v>-4895440</v>
      </c>
      <c r="F302" s="315">
        <v>-14972</v>
      </c>
      <c r="G302" s="315">
        <v>32716872</v>
      </c>
      <c r="H302" s="315">
        <v>23658067</v>
      </c>
      <c r="I302" s="315">
        <v>9058805</v>
      </c>
      <c r="J302" s="315">
        <v>8910414</v>
      </c>
      <c r="K302" s="315">
        <v>148391</v>
      </c>
      <c r="L302" s="315">
        <v>20391158</v>
      </c>
      <c r="M302" s="315">
        <v>10840872</v>
      </c>
      <c r="N302" s="315">
        <v>7688506</v>
      </c>
      <c r="O302" s="315">
        <v>7571430</v>
      </c>
      <c r="P302" s="315">
        <v>117076</v>
      </c>
      <c r="Q302" s="315">
        <v>177473</v>
      </c>
      <c r="R302" s="315">
        <v>1684307</v>
      </c>
      <c r="S302" s="315">
        <v>-1400456</v>
      </c>
      <c r="T302" s="315">
        <v>-1384051</v>
      </c>
      <c r="U302" s="315">
        <v>-109641</v>
      </c>
      <c r="V302" s="315">
        <v>-48</v>
      </c>
      <c r="W302" s="315">
        <v>-1185176</v>
      </c>
      <c r="X302" s="315">
        <v>0</v>
      </c>
      <c r="Y302" s="315">
        <v>-89186</v>
      </c>
      <c r="Z302" s="315">
        <v>-8751</v>
      </c>
      <c r="AA302" s="315">
        <v>-7654</v>
      </c>
      <c r="AB302" s="315">
        <v>0</v>
      </c>
      <c r="AC302" s="315">
        <v>-14972</v>
      </c>
      <c r="AD302" s="315">
        <v>18975730</v>
      </c>
      <c r="AE302" s="315">
        <v>12649577</v>
      </c>
      <c r="AF302" s="315">
        <v>6326153</v>
      </c>
      <c r="AG302" s="315">
        <v>6257175</v>
      </c>
      <c r="AH302" s="315">
        <v>68978</v>
      </c>
      <c r="AI302" s="315">
        <v>10835393</v>
      </c>
      <c r="AJ302" s="315">
        <v>2785620</v>
      </c>
      <c r="AK302" s="315">
        <v>3626010</v>
      </c>
      <c r="AL302" s="315">
        <v>4376869</v>
      </c>
      <c r="AM302" s="315">
        <v>481416</v>
      </c>
      <c r="AN302" s="315">
        <v>386820</v>
      </c>
      <c r="AO302" s="315">
        <v>54938</v>
      </c>
      <c r="AP302" s="315">
        <v>8720</v>
      </c>
      <c r="AQ302" s="315">
        <v>750238</v>
      </c>
      <c r="AR302" s="315">
        <v>6304455</v>
      </c>
      <c r="AS302" s="315">
        <v>168722</v>
      </c>
      <c r="AT302" s="315">
        <v>0</v>
      </c>
      <c r="AU302" s="315">
        <v>-14972</v>
      </c>
      <c r="AV302" s="315">
        <v>1096243</v>
      </c>
      <c r="AW302" s="315">
        <v>18871</v>
      </c>
      <c r="AX302" s="315">
        <v>533356</v>
      </c>
      <c r="AY302" s="315">
        <v>157346</v>
      </c>
      <c r="AZ302" s="315">
        <v>171932</v>
      </c>
      <c r="BA302" s="315">
        <v>183231</v>
      </c>
      <c r="BB302" s="315">
        <v>20847</v>
      </c>
      <c r="BC302" s="315">
        <v>154318</v>
      </c>
      <c r="BD302" s="315">
        <v>389698</v>
      </c>
      <c r="BE302" s="315">
        <v>-321902</v>
      </c>
      <c r="BF302" s="315">
        <v>-318244</v>
      </c>
      <c r="BG302" s="315">
        <v>-79948</v>
      </c>
      <c r="BH302" s="315">
        <v>-238296</v>
      </c>
      <c r="BI302" s="315">
        <v>0</v>
      </c>
      <c r="BJ302" s="315">
        <v>-59881</v>
      </c>
      <c r="BK302" s="315">
        <v>-258363</v>
      </c>
      <c r="BL302" s="315">
        <v>-3658</v>
      </c>
      <c r="BM302" s="315">
        <v>0</v>
      </c>
      <c r="BN302" s="315">
        <v>774341</v>
      </c>
      <c r="BO302" s="315">
        <v>204468</v>
      </c>
      <c r="BP302" s="315">
        <v>160900</v>
      </c>
      <c r="BQ302" s="315">
        <v>23386</v>
      </c>
      <c r="BR302" s="315">
        <v>19</v>
      </c>
      <c r="BS302" s="315">
        <v>16060</v>
      </c>
      <c r="BT302" s="315">
        <v>1580</v>
      </c>
      <c r="BU302" s="315">
        <v>1716</v>
      </c>
      <c r="BV302" s="315">
        <v>4663</v>
      </c>
      <c r="BW302" s="315">
        <v>8101</v>
      </c>
      <c r="BX302" s="315">
        <v>453408</v>
      </c>
      <c r="BY302" s="315">
        <v>-83978</v>
      </c>
      <c r="BZ302" s="315">
        <v>78</v>
      </c>
      <c r="CA302" s="315">
        <v>382732</v>
      </c>
      <c r="CB302" s="315">
        <v>-59336</v>
      </c>
      <c r="CC302" s="315">
        <v>-59336</v>
      </c>
      <c r="CD302" s="315">
        <v>0</v>
      </c>
      <c r="CE302" s="315">
        <v>323396</v>
      </c>
      <c r="CF302" s="315">
        <v>314568</v>
      </c>
      <c r="CG302" s="315">
        <v>34</v>
      </c>
      <c r="CH302" s="315">
        <v>8794</v>
      </c>
      <c r="CI302" s="315">
        <v>13161202</v>
      </c>
      <c r="CJ302" s="315">
        <v>1517359</v>
      </c>
      <c r="CK302" s="315">
        <v>11643843</v>
      </c>
      <c r="CL302" s="315">
        <v>4094510</v>
      </c>
      <c r="CM302" s="315">
        <v>7067829</v>
      </c>
      <c r="CN302" s="315">
        <v>481504</v>
      </c>
      <c r="CO302" s="315">
        <v>0</v>
      </c>
      <c r="CP302" s="315">
        <v>0</v>
      </c>
      <c r="CQ302" s="315">
        <v>481504</v>
      </c>
      <c r="CR302" s="315">
        <v>-2973240</v>
      </c>
      <c r="CS302" s="315">
        <v>-948107</v>
      </c>
      <c r="CT302" s="315">
        <v>-869612</v>
      </c>
      <c r="CU302" s="315">
        <v>-9619</v>
      </c>
      <c r="CV302" s="315">
        <v>-2156</v>
      </c>
      <c r="CW302" s="315">
        <v>-66720</v>
      </c>
      <c r="CX302" s="315">
        <v>-1587942</v>
      </c>
      <c r="CY302" s="315">
        <v>-1402572</v>
      </c>
      <c r="CZ302" s="315">
        <v>-183998</v>
      </c>
      <c r="DA302" s="315">
        <v>-1372</v>
      </c>
      <c r="DB302" s="315">
        <v>-437191</v>
      </c>
      <c r="DC302" s="315">
        <v>0</v>
      </c>
      <c r="DD302" s="315">
        <v>10187962</v>
      </c>
      <c r="DE302" s="315">
        <v>8437274</v>
      </c>
      <c r="DF302" s="315">
        <v>1750688</v>
      </c>
      <c r="DG302" s="315">
        <v>1689331</v>
      </c>
      <c r="DH302" s="315">
        <v>61357</v>
      </c>
      <c r="DI302" s="315">
        <v>1850973</v>
      </c>
      <c r="DJ302" s="315">
        <v>49196</v>
      </c>
      <c r="DK302" s="315">
        <v>36357</v>
      </c>
      <c r="DL302" s="315">
        <v>1346</v>
      </c>
      <c r="DM302" s="315">
        <v>1084391</v>
      </c>
      <c r="DN302" s="315">
        <v>557372</v>
      </c>
      <c r="DO302" s="315">
        <v>105743</v>
      </c>
      <c r="DP302" s="315"/>
      <c r="DQ302" s="315">
        <v>16484</v>
      </c>
      <c r="DR302" s="315">
        <v>84</v>
      </c>
      <c r="DS302" s="315">
        <v>-47792</v>
      </c>
      <c r="DT302" s="315">
        <v>-5704</v>
      </c>
      <c r="DU302" s="315">
        <v>-2330</v>
      </c>
      <c r="DV302" s="315">
        <v>-5</v>
      </c>
      <c r="DW302" s="315">
        <v>-31329</v>
      </c>
      <c r="DX302" s="315">
        <v>-11172</v>
      </c>
      <c r="DY302" s="315">
        <v>-18493</v>
      </c>
      <c r="DZ302" s="315">
        <v>-1664</v>
      </c>
      <c r="EA302" s="315">
        <v>-8366</v>
      </c>
      <c r="EB302" s="315">
        <v>-2</v>
      </c>
      <c r="EC302" s="315"/>
      <c r="ED302" s="315">
        <v>0</v>
      </c>
      <c r="EE302" s="315">
        <v>-56</v>
      </c>
      <c r="EF302" s="315">
        <v>1803181</v>
      </c>
      <c r="EG302" s="315">
        <v>821217</v>
      </c>
      <c r="EH302" s="315">
        <v>981964</v>
      </c>
      <c r="EI302" s="315">
        <v>963908</v>
      </c>
      <c r="EJ302" s="315">
        <v>18056</v>
      </c>
      <c r="EK302" s="315">
        <v>43492</v>
      </c>
      <c r="EL302" s="315">
        <v>15460</v>
      </c>
      <c r="EM302" s="315">
        <v>28032</v>
      </c>
      <c r="EN302" s="315">
        <v>27166</v>
      </c>
      <c r="EO302" s="315">
        <v>866</v>
      </c>
      <c r="EP302" s="315">
        <v>34027</v>
      </c>
      <c r="EQ302" s="315">
        <v>15044</v>
      </c>
      <c r="ER302" s="315">
        <v>18983</v>
      </c>
      <c r="ES302" s="315">
        <v>18659</v>
      </c>
      <c r="ET302" s="315">
        <v>324</v>
      </c>
      <c r="EU302" s="315">
        <v>1341</v>
      </c>
      <c r="EV302" s="315">
        <v>1182</v>
      </c>
      <c r="EW302" s="315">
        <v>159</v>
      </c>
      <c r="EX302" s="315">
        <v>139</v>
      </c>
      <c r="EY302" s="315">
        <v>20</v>
      </c>
      <c r="EZ302" s="315">
        <v>1053062</v>
      </c>
      <c r="FA302" s="315">
        <v>380456</v>
      </c>
      <c r="FB302" s="315">
        <v>672606</v>
      </c>
      <c r="FC302" s="315">
        <v>662347</v>
      </c>
      <c r="FD302" s="315">
        <v>10259</v>
      </c>
      <c r="FE302" s="315">
        <v>549006</v>
      </c>
      <c r="FF302" s="315">
        <v>300778</v>
      </c>
      <c r="FG302" s="315">
        <v>248228</v>
      </c>
      <c r="FH302" s="315">
        <v>241641</v>
      </c>
      <c r="FI302" s="315">
        <v>6587</v>
      </c>
      <c r="FJ302" s="315">
        <v>105741</v>
      </c>
      <c r="FK302" s="315">
        <v>91785</v>
      </c>
      <c r="FL302" s="315">
        <v>13956</v>
      </c>
      <c r="FM302" s="315">
        <v>13956</v>
      </c>
      <c r="FN302" s="315"/>
      <c r="FO302" s="315"/>
      <c r="FP302" s="315">
        <v>16484</v>
      </c>
      <c r="FQ302" s="315">
        <v>28</v>
      </c>
      <c r="FR302" s="315">
        <v>744976</v>
      </c>
      <c r="FS302" s="315">
        <v>-92714</v>
      </c>
      <c r="FT302" s="315">
        <v>652262</v>
      </c>
      <c r="FU302" s="315">
        <v>4711</v>
      </c>
      <c r="FV302" s="315">
        <v>4309</v>
      </c>
      <c r="FW302" s="315">
        <v>402</v>
      </c>
      <c r="FX302" s="315">
        <v>157640</v>
      </c>
      <c r="FY302" s="315">
        <v>130590</v>
      </c>
      <c r="FZ302" s="315"/>
      <c r="GA302" s="315"/>
      <c r="GB302" s="315">
        <v>128</v>
      </c>
      <c r="GC302" s="315">
        <v>89118</v>
      </c>
      <c r="GD302" s="315">
        <v>-20316</v>
      </c>
      <c r="GE302" s="315">
        <v>92824</v>
      </c>
      <c r="GF302" s="315">
        <v>16610</v>
      </c>
      <c r="GG302" s="315">
        <v>270075</v>
      </c>
      <c r="GH302" s="315">
        <v>82431</v>
      </c>
      <c r="GI302" s="315">
        <v>591</v>
      </c>
      <c r="GJ302" s="315">
        <v>187053</v>
      </c>
      <c r="GL302"/>
      <c r="GM302"/>
      <c r="GN302"/>
      <c r="GO302"/>
    </row>
    <row r="303" spans="1:197">
      <c r="A303" s="98" t="s">
        <v>37</v>
      </c>
      <c r="B303" s="98">
        <v>8</v>
      </c>
      <c r="C303" s="98" t="s">
        <v>224</v>
      </c>
      <c r="D303" s="315">
        <v>20700187</v>
      </c>
      <c r="E303" s="315">
        <v>-2821271</v>
      </c>
      <c r="F303" s="315">
        <v>-14972</v>
      </c>
      <c r="G303" s="315">
        <v>17863944</v>
      </c>
      <c r="H303" s="315">
        <v>10381326</v>
      </c>
      <c r="I303" s="315">
        <v>7482618</v>
      </c>
      <c r="J303" s="315">
        <v>7334221</v>
      </c>
      <c r="K303" s="315">
        <v>148397</v>
      </c>
      <c r="L303" s="315">
        <v>5491429</v>
      </c>
      <c r="M303" s="315">
        <v>4879468</v>
      </c>
      <c r="N303" s="315">
        <v>124470</v>
      </c>
      <c r="O303" s="315">
        <v>24922</v>
      </c>
      <c r="P303" s="315">
        <v>99548</v>
      </c>
      <c r="Q303" s="315">
        <v>58203</v>
      </c>
      <c r="R303" s="315">
        <v>429288</v>
      </c>
      <c r="S303" s="315">
        <v>-345133</v>
      </c>
      <c r="T303" s="315">
        <v>-340374</v>
      </c>
      <c r="U303" s="315">
        <v>-77084</v>
      </c>
      <c r="V303" s="315">
        <v>-17</v>
      </c>
      <c r="W303" s="315">
        <v>-224153</v>
      </c>
      <c r="X303" s="315">
        <v>0</v>
      </c>
      <c r="Y303" s="315">
        <v>-39120</v>
      </c>
      <c r="Z303" s="315">
        <v>-2348</v>
      </c>
      <c r="AA303" s="315">
        <v>-2411</v>
      </c>
      <c r="AB303" s="315">
        <v>0</v>
      </c>
      <c r="AC303" s="315">
        <v>-14972</v>
      </c>
      <c r="AD303" s="315">
        <v>5131324</v>
      </c>
      <c r="AE303" s="315">
        <v>1734175</v>
      </c>
      <c r="AF303" s="315">
        <v>3397149</v>
      </c>
      <c r="AG303" s="315">
        <v>3328172</v>
      </c>
      <c r="AH303" s="315">
        <v>68977</v>
      </c>
      <c r="AI303" s="315">
        <v>4877851</v>
      </c>
      <c r="AJ303" s="315">
        <v>1721857</v>
      </c>
      <c r="AK303" s="315">
        <v>3088077</v>
      </c>
      <c r="AL303" s="315">
        <v>34304</v>
      </c>
      <c r="AM303" s="315">
        <v>246166</v>
      </c>
      <c r="AN303" s="315">
        <v>52606</v>
      </c>
      <c r="AO303" s="315">
        <v>68068</v>
      </c>
      <c r="AP303" s="315">
        <v>35083</v>
      </c>
      <c r="AQ303" s="315">
        <v>26571</v>
      </c>
      <c r="AR303" s="315">
        <v>-215904</v>
      </c>
      <c r="AS303" s="315">
        <v>55855</v>
      </c>
      <c r="AT303" s="315">
        <v>0</v>
      </c>
      <c r="AU303" s="315">
        <v>-14972</v>
      </c>
      <c r="AV303" s="315">
        <v>5948901</v>
      </c>
      <c r="AW303" s="315">
        <v>5471</v>
      </c>
      <c r="AX303" s="315">
        <v>5702828</v>
      </c>
      <c r="AY303" s="315">
        <v>1743657</v>
      </c>
      <c r="AZ303" s="315">
        <v>666701</v>
      </c>
      <c r="BA303" s="315">
        <v>3245284</v>
      </c>
      <c r="BB303" s="315">
        <v>47186</v>
      </c>
      <c r="BC303" s="315">
        <v>92624</v>
      </c>
      <c r="BD303" s="315">
        <v>147978</v>
      </c>
      <c r="BE303" s="315">
        <v>-93691</v>
      </c>
      <c r="BF303" s="315">
        <v>-93109</v>
      </c>
      <c r="BG303" s="315">
        <v>-84590</v>
      </c>
      <c r="BH303" s="315">
        <v>-8519</v>
      </c>
      <c r="BI303" s="315">
        <v>0</v>
      </c>
      <c r="BJ303" s="315">
        <v>-78499</v>
      </c>
      <c r="BK303" s="315">
        <v>-14610</v>
      </c>
      <c r="BL303" s="315">
        <v>-582</v>
      </c>
      <c r="BM303" s="315">
        <v>0</v>
      </c>
      <c r="BN303" s="315">
        <v>5855210</v>
      </c>
      <c r="BO303" s="315">
        <v>99868</v>
      </c>
      <c r="BP303" s="315">
        <v>18774</v>
      </c>
      <c r="BQ303" s="315">
        <v>28978</v>
      </c>
      <c r="BR303" s="315">
        <v>0</v>
      </c>
      <c r="BS303" s="315">
        <v>5176</v>
      </c>
      <c r="BT303" s="315">
        <v>548</v>
      </c>
      <c r="BU303" s="315">
        <v>266</v>
      </c>
      <c r="BV303" s="315">
        <v>455</v>
      </c>
      <c r="BW303" s="315">
        <v>3907</v>
      </c>
      <c r="BX303" s="315">
        <v>5618238</v>
      </c>
      <c r="BY303" s="315">
        <v>84105</v>
      </c>
      <c r="BZ303" s="315">
        <v>71</v>
      </c>
      <c r="CA303" s="315">
        <v>334675</v>
      </c>
      <c r="CB303" s="315">
        <v>-59462</v>
      </c>
      <c r="CC303" s="315">
        <v>-59462</v>
      </c>
      <c r="CD303" s="315">
        <v>0</v>
      </c>
      <c r="CE303" s="315">
        <v>275213</v>
      </c>
      <c r="CF303" s="315">
        <v>272851</v>
      </c>
      <c r="CG303" s="315">
        <v>4</v>
      </c>
      <c r="CH303" s="315">
        <v>2358</v>
      </c>
      <c r="CI303" s="315">
        <v>6476909</v>
      </c>
      <c r="CJ303" s="315">
        <v>1356495</v>
      </c>
      <c r="CK303" s="315">
        <v>5120414</v>
      </c>
      <c r="CL303" s="315">
        <v>4542341</v>
      </c>
      <c r="CM303" s="315">
        <v>173542</v>
      </c>
      <c r="CN303" s="315">
        <v>404531</v>
      </c>
      <c r="CO303" s="315">
        <v>0</v>
      </c>
      <c r="CP303" s="315">
        <v>0</v>
      </c>
      <c r="CQ303" s="315">
        <v>404531</v>
      </c>
      <c r="CR303" s="315">
        <v>-2245274</v>
      </c>
      <c r="CS303" s="315">
        <v>-574545</v>
      </c>
      <c r="CT303" s="315">
        <v>-464513</v>
      </c>
      <c r="CU303" s="315">
        <v>-3470</v>
      </c>
      <c r="CV303" s="315">
        <v>-408</v>
      </c>
      <c r="CW303" s="315">
        <v>-106154</v>
      </c>
      <c r="CX303" s="315">
        <v>-1670729</v>
      </c>
      <c r="CY303" s="315">
        <v>-1645831</v>
      </c>
      <c r="CZ303" s="315">
        <v>-23650</v>
      </c>
      <c r="DA303" s="315">
        <v>-1248</v>
      </c>
      <c r="DB303" s="315">
        <v>0</v>
      </c>
      <c r="DC303" s="315">
        <v>0</v>
      </c>
      <c r="DD303" s="315">
        <v>4231635</v>
      </c>
      <c r="DE303" s="315">
        <v>1247632</v>
      </c>
      <c r="DF303" s="315">
        <v>2984003</v>
      </c>
      <c r="DG303" s="315">
        <v>2922645</v>
      </c>
      <c r="DH303" s="315">
        <v>61358</v>
      </c>
      <c r="DI303" s="315">
        <v>2065751</v>
      </c>
      <c r="DJ303" s="315">
        <v>98833</v>
      </c>
      <c r="DK303" s="315">
        <v>35897</v>
      </c>
      <c r="DL303" s="315">
        <v>3558</v>
      </c>
      <c r="DM303" s="315">
        <v>1145267</v>
      </c>
      <c r="DN303" s="315">
        <v>670165</v>
      </c>
      <c r="DO303" s="315">
        <v>111952</v>
      </c>
      <c r="DP303" s="315"/>
      <c r="DQ303" s="315">
        <v>5</v>
      </c>
      <c r="DR303" s="315">
        <v>74</v>
      </c>
      <c r="DS303" s="315">
        <v>-37568</v>
      </c>
      <c r="DT303" s="315">
        <v>-2583</v>
      </c>
      <c r="DU303" s="315">
        <v>-157</v>
      </c>
      <c r="DV303" s="315">
        <v>-22</v>
      </c>
      <c r="DW303" s="315">
        <v>-34379</v>
      </c>
      <c r="DX303" s="315">
        <v>-6197</v>
      </c>
      <c r="DY303" s="315">
        <v>-25900</v>
      </c>
      <c r="DZ303" s="315">
        <v>-2282</v>
      </c>
      <c r="EA303" s="315">
        <v>-281</v>
      </c>
      <c r="EB303" s="315">
        <v>-10</v>
      </c>
      <c r="EC303" s="315"/>
      <c r="ED303" s="315">
        <v>0</v>
      </c>
      <c r="EE303" s="315">
        <v>-136</v>
      </c>
      <c r="EF303" s="315">
        <v>2028183</v>
      </c>
      <c r="EG303" s="315">
        <v>926717</v>
      </c>
      <c r="EH303" s="315">
        <v>1101466</v>
      </c>
      <c r="EI303" s="315">
        <v>1083404</v>
      </c>
      <c r="EJ303" s="315">
        <v>18062</v>
      </c>
      <c r="EK303" s="315">
        <v>96250</v>
      </c>
      <c r="EL303" s="315">
        <v>52897</v>
      </c>
      <c r="EM303" s="315">
        <v>43353</v>
      </c>
      <c r="EN303" s="315">
        <v>42488</v>
      </c>
      <c r="EO303" s="315">
        <v>865</v>
      </c>
      <c r="EP303" s="315">
        <v>35740</v>
      </c>
      <c r="EQ303" s="315">
        <v>19784</v>
      </c>
      <c r="ER303" s="315">
        <v>15956</v>
      </c>
      <c r="ES303" s="315">
        <v>15631</v>
      </c>
      <c r="ET303" s="315">
        <v>325</v>
      </c>
      <c r="EU303" s="315">
        <v>3536</v>
      </c>
      <c r="EV303" s="315">
        <v>2330</v>
      </c>
      <c r="EW303" s="315">
        <v>1206</v>
      </c>
      <c r="EX303" s="315">
        <v>1184</v>
      </c>
      <c r="EY303" s="315">
        <v>22</v>
      </c>
      <c r="EZ303" s="315">
        <v>1110888</v>
      </c>
      <c r="FA303" s="315">
        <v>527178</v>
      </c>
      <c r="FB303" s="315">
        <v>583710</v>
      </c>
      <c r="FC303" s="315">
        <v>573448</v>
      </c>
      <c r="FD303" s="315">
        <v>10262</v>
      </c>
      <c r="FE303" s="315">
        <v>669884</v>
      </c>
      <c r="FF303" s="315">
        <v>329361</v>
      </c>
      <c r="FG303" s="315">
        <v>340523</v>
      </c>
      <c r="FH303" s="315">
        <v>333935</v>
      </c>
      <c r="FI303" s="315">
        <v>6588</v>
      </c>
      <c r="FJ303" s="315">
        <v>111942</v>
      </c>
      <c r="FK303" s="315">
        <v>-4776</v>
      </c>
      <c r="FL303" s="315">
        <v>116718</v>
      </c>
      <c r="FM303" s="315">
        <v>116718</v>
      </c>
      <c r="FN303" s="315"/>
      <c r="FO303" s="315"/>
      <c r="FP303" s="315">
        <v>5</v>
      </c>
      <c r="FQ303" s="315">
        <v>-62</v>
      </c>
      <c r="FR303" s="315">
        <v>382522</v>
      </c>
      <c r="FS303" s="315">
        <v>-40143</v>
      </c>
      <c r="FT303" s="315">
        <v>342379</v>
      </c>
      <c r="FU303" s="315">
        <v>1182</v>
      </c>
      <c r="FV303" s="315">
        <v>344</v>
      </c>
      <c r="FW303" s="315">
        <v>838</v>
      </c>
      <c r="FX303" s="315">
        <v>163536</v>
      </c>
      <c r="FY303" s="315">
        <v>32319</v>
      </c>
      <c r="FZ303" s="315"/>
      <c r="GA303" s="315"/>
      <c r="GB303" s="315">
        <v>10487</v>
      </c>
      <c r="GC303" s="315">
        <v>38714</v>
      </c>
      <c r="GD303" s="315">
        <v>-30210</v>
      </c>
      <c r="GE303" s="315">
        <v>64</v>
      </c>
      <c r="GF303" s="315">
        <v>68860</v>
      </c>
      <c r="GG303" s="315">
        <v>96141</v>
      </c>
      <c r="GH303" s="315">
        <v>14827</v>
      </c>
      <c r="GI303" s="315">
        <v>380</v>
      </c>
      <c r="GJ303" s="315">
        <v>80934</v>
      </c>
      <c r="GL303"/>
      <c r="GM303"/>
      <c r="GN303"/>
      <c r="GO303"/>
    </row>
    <row r="304" spans="1:197">
      <c r="A304" s="98" t="s">
        <v>37</v>
      </c>
      <c r="B304" s="98">
        <v>9</v>
      </c>
      <c r="C304" s="98" t="s">
        <v>225</v>
      </c>
      <c r="D304" s="315">
        <v>14023107</v>
      </c>
      <c r="E304" s="315">
        <v>-2823540</v>
      </c>
      <c r="F304" s="315">
        <v>-14972</v>
      </c>
      <c r="G304" s="315">
        <v>11184595</v>
      </c>
      <c r="H304" s="315">
        <v>3701975</v>
      </c>
      <c r="I304" s="315">
        <v>7482620</v>
      </c>
      <c r="J304" s="315">
        <v>7334224</v>
      </c>
      <c r="K304" s="315">
        <v>148396</v>
      </c>
      <c r="L304" s="315">
        <v>4700820</v>
      </c>
      <c r="M304" s="315">
        <v>4307964</v>
      </c>
      <c r="N304" s="315">
        <v>133067</v>
      </c>
      <c r="O304" s="315">
        <v>19172</v>
      </c>
      <c r="P304" s="315">
        <v>113895</v>
      </c>
      <c r="Q304" s="315">
        <v>60650</v>
      </c>
      <c r="R304" s="315">
        <v>199139</v>
      </c>
      <c r="S304" s="315">
        <v>-574558</v>
      </c>
      <c r="T304" s="315">
        <v>-558088</v>
      </c>
      <c r="U304" s="315">
        <v>-79719</v>
      </c>
      <c r="V304" s="315">
        <v>-26</v>
      </c>
      <c r="W304" s="315">
        <v>-421838</v>
      </c>
      <c r="X304" s="315">
        <v>0</v>
      </c>
      <c r="Y304" s="315">
        <v>-56505</v>
      </c>
      <c r="Z304" s="315">
        <v>-5941</v>
      </c>
      <c r="AA304" s="315">
        <v>-3867</v>
      </c>
      <c r="AB304" s="315">
        <v>-6662</v>
      </c>
      <c r="AC304" s="315">
        <v>-14972</v>
      </c>
      <c r="AD304" s="315">
        <v>4111290</v>
      </c>
      <c r="AE304" s="315">
        <v>714138</v>
      </c>
      <c r="AF304" s="315">
        <v>3397152</v>
      </c>
      <c r="AG304" s="315">
        <v>3328173</v>
      </c>
      <c r="AH304" s="315">
        <v>68979</v>
      </c>
      <c r="AI304" s="315">
        <v>4304760</v>
      </c>
      <c r="AJ304" s="315">
        <v>1719868</v>
      </c>
      <c r="AK304" s="315">
        <v>2530130</v>
      </c>
      <c r="AL304" s="315">
        <v>10063</v>
      </c>
      <c r="AM304" s="315">
        <v>85947</v>
      </c>
      <c r="AN304" s="315">
        <v>43299</v>
      </c>
      <c r="AO304" s="315">
        <v>18086</v>
      </c>
      <c r="AP304" s="315">
        <v>20589</v>
      </c>
      <c r="AQ304" s="315">
        <v>23893</v>
      </c>
      <c r="AR304" s="315">
        <v>-425021</v>
      </c>
      <c r="AS304" s="315">
        <v>54709</v>
      </c>
      <c r="AT304" s="315">
        <v>0</v>
      </c>
      <c r="AU304" s="315">
        <v>-14972</v>
      </c>
      <c r="AV304" s="315">
        <v>258745</v>
      </c>
      <c r="AW304" s="315">
        <v>4537</v>
      </c>
      <c r="AX304" s="315">
        <v>94957</v>
      </c>
      <c r="AY304" s="315">
        <v>14152</v>
      </c>
      <c r="AZ304" s="315">
        <v>20207</v>
      </c>
      <c r="BA304" s="315">
        <v>6139</v>
      </c>
      <c r="BB304" s="315">
        <v>54459</v>
      </c>
      <c r="BC304" s="315">
        <v>96675</v>
      </c>
      <c r="BD304" s="315">
        <v>62576</v>
      </c>
      <c r="BE304" s="315">
        <v>-56749</v>
      </c>
      <c r="BF304" s="315">
        <v>-56465</v>
      </c>
      <c r="BG304" s="315">
        <v>-45707</v>
      </c>
      <c r="BH304" s="315">
        <v>-10758</v>
      </c>
      <c r="BI304" s="315">
        <v>0</v>
      </c>
      <c r="BJ304" s="315">
        <v>-15355</v>
      </c>
      <c r="BK304" s="315">
        <v>-41110</v>
      </c>
      <c r="BL304" s="315">
        <v>-284</v>
      </c>
      <c r="BM304" s="315">
        <v>0</v>
      </c>
      <c r="BN304" s="315">
        <v>201996</v>
      </c>
      <c r="BO304" s="315">
        <v>39001</v>
      </c>
      <c r="BP304" s="315">
        <v>15665</v>
      </c>
      <c r="BQ304" s="315">
        <v>7698</v>
      </c>
      <c r="BR304" s="315">
        <v>8</v>
      </c>
      <c r="BS304" s="315">
        <v>4447</v>
      </c>
      <c r="BT304" s="315">
        <v>386</v>
      </c>
      <c r="BU304" s="315">
        <v>118</v>
      </c>
      <c r="BV304" s="315">
        <v>250</v>
      </c>
      <c r="BW304" s="315">
        <v>3693</v>
      </c>
      <c r="BX304" s="315">
        <v>49250</v>
      </c>
      <c r="BY304" s="315">
        <v>85917</v>
      </c>
      <c r="BZ304" s="315">
        <v>10</v>
      </c>
      <c r="CA304" s="315">
        <v>101441</v>
      </c>
      <c r="CB304" s="315">
        <v>-73728</v>
      </c>
      <c r="CC304" s="315">
        <v>-73728</v>
      </c>
      <c r="CD304" s="315">
        <v>0</v>
      </c>
      <c r="CE304" s="315">
        <v>27713</v>
      </c>
      <c r="CF304" s="315">
        <v>83982</v>
      </c>
      <c r="CG304" s="315">
        <v>1</v>
      </c>
      <c r="CH304" s="315">
        <v>-56270</v>
      </c>
      <c r="CI304" s="315">
        <v>6187080</v>
      </c>
      <c r="CJ304" s="315">
        <v>1542273</v>
      </c>
      <c r="CK304" s="315">
        <v>4644807</v>
      </c>
      <c r="CL304" s="315">
        <v>4149719</v>
      </c>
      <c r="CM304" s="315">
        <v>66242</v>
      </c>
      <c r="CN304" s="315">
        <v>428846</v>
      </c>
      <c r="CO304" s="315">
        <v>0</v>
      </c>
      <c r="CP304" s="315">
        <v>0</v>
      </c>
      <c r="CQ304" s="315">
        <v>428846</v>
      </c>
      <c r="CR304" s="315">
        <v>-2016977</v>
      </c>
      <c r="CS304" s="315">
        <v>-443872</v>
      </c>
      <c r="CT304" s="315">
        <v>-322521</v>
      </c>
      <c r="CU304" s="315">
        <v>-15603</v>
      </c>
      <c r="CV304" s="315">
        <v>-99</v>
      </c>
      <c r="CW304" s="315">
        <v>-105649</v>
      </c>
      <c r="CX304" s="315">
        <v>-1316063</v>
      </c>
      <c r="CY304" s="315">
        <v>-1302857</v>
      </c>
      <c r="CZ304" s="315">
        <v>-12528</v>
      </c>
      <c r="DA304" s="315">
        <v>-678</v>
      </c>
      <c r="DB304" s="315">
        <v>0</v>
      </c>
      <c r="DC304" s="315">
        <v>-257042</v>
      </c>
      <c r="DD304" s="315">
        <v>4170103</v>
      </c>
      <c r="DE304" s="315">
        <v>1186100</v>
      </c>
      <c r="DF304" s="315">
        <v>2984003</v>
      </c>
      <c r="DG304" s="315">
        <v>2922646</v>
      </c>
      <c r="DH304" s="315">
        <v>61357</v>
      </c>
      <c r="DI304" s="315">
        <v>1907707</v>
      </c>
      <c r="DJ304" s="315">
        <v>80912</v>
      </c>
      <c r="DK304" s="315">
        <v>32557</v>
      </c>
      <c r="DL304" s="315">
        <v>1256</v>
      </c>
      <c r="DM304" s="315">
        <v>1068042</v>
      </c>
      <c r="DN304" s="315">
        <v>600350</v>
      </c>
      <c r="DO304" s="315">
        <v>124503</v>
      </c>
      <c r="DP304" s="315"/>
      <c r="DQ304" s="315">
        <v>3</v>
      </c>
      <c r="DR304" s="315">
        <v>84</v>
      </c>
      <c r="DS304" s="315">
        <v>-54316</v>
      </c>
      <c r="DT304" s="315">
        <v>-4519</v>
      </c>
      <c r="DU304" s="315">
        <v>-2242</v>
      </c>
      <c r="DV304" s="315">
        <v>-9</v>
      </c>
      <c r="DW304" s="315">
        <v>-42808</v>
      </c>
      <c r="DX304" s="315">
        <v>-9381</v>
      </c>
      <c r="DY304" s="315">
        <v>-17070</v>
      </c>
      <c r="DZ304" s="315">
        <v>-16357</v>
      </c>
      <c r="EA304" s="315">
        <v>-4697</v>
      </c>
      <c r="EB304" s="315">
        <v>-40</v>
      </c>
      <c r="EC304" s="315"/>
      <c r="ED304" s="315">
        <v>0</v>
      </c>
      <c r="EE304" s="315">
        <v>-1</v>
      </c>
      <c r="EF304" s="315">
        <v>1853391</v>
      </c>
      <c r="EG304" s="315">
        <v>751926</v>
      </c>
      <c r="EH304" s="315">
        <v>1101465</v>
      </c>
      <c r="EI304" s="315">
        <v>1083405</v>
      </c>
      <c r="EJ304" s="315">
        <v>18060</v>
      </c>
      <c r="EK304" s="315">
        <v>76393</v>
      </c>
      <c r="EL304" s="315">
        <v>33038</v>
      </c>
      <c r="EM304" s="315">
        <v>43355</v>
      </c>
      <c r="EN304" s="315">
        <v>42488</v>
      </c>
      <c r="EO304" s="315">
        <v>867</v>
      </c>
      <c r="EP304" s="315">
        <v>30315</v>
      </c>
      <c r="EQ304" s="315">
        <v>14360</v>
      </c>
      <c r="ER304" s="315">
        <v>15955</v>
      </c>
      <c r="ES304" s="315">
        <v>15631</v>
      </c>
      <c r="ET304" s="315">
        <v>324</v>
      </c>
      <c r="EU304" s="315">
        <v>1247</v>
      </c>
      <c r="EV304" s="315">
        <v>42</v>
      </c>
      <c r="EW304" s="315">
        <v>1205</v>
      </c>
      <c r="EX304" s="315">
        <v>1184</v>
      </c>
      <c r="EY304" s="315">
        <v>21</v>
      </c>
      <c r="EZ304" s="315">
        <v>1025234</v>
      </c>
      <c r="FA304" s="315">
        <v>441524</v>
      </c>
      <c r="FB304" s="315">
        <v>583710</v>
      </c>
      <c r="FC304" s="315">
        <v>573449</v>
      </c>
      <c r="FD304" s="315">
        <v>10261</v>
      </c>
      <c r="FE304" s="315">
        <v>595653</v>
      </c>
      <c r="FF304" s="315">
        <v>255131</v>
      </c>
      <c r="FG304" s="315">
        <v>340522</v>
      </c>
      <c r="FH304" s="315">
        <v>333935</v>
      </c>
      <c r="FI304" s="315">
        <v>6587</v>
      </c>
      <c r="FJ304" s="315">
        <v>124463</v>
      </c>
      <c r="FK304" s="315">
        <v>7745</v>
      </c>
      <c r="FL304" s="315">
        <v>116718</v>
      </c>
      <c r="FM304" s="315">
        <v>116718</v>
      </c>
      <c r="FN304" s="315"/>
      <c r="FO304" s="315"/>
      <c r="FP304" s="315">
        <v>3</v>
      </c>
      <c r="FQ304" s="315">
        <v>83</v>
      </c>
      <c r="FR304" s="315">
        <v>867314</v>
      </c>
      <c r="FS304" s="315">
        <v>-47212</v>
      </c>
      <c r="FT304" s="315">
        <v>820102</v>
      </c>
      <c r="FU304" s="315">
        <v>348361</v>
      </c>
      <c r="FV304" s="315">
        <v>315968</v>
      </c>
      <c r="FW304" s="315">
        <v>32393</v>
      </c>
      <c r="FX304" s="315">
        <v>174686</v>
      </c>
      <c r="FY304" s="315">
        <v>229263</v>
      </c>
      <c r="FZ304" s="315"/>
      <c r="GA304" s="315"/>
      <c r="GB304" s="315">
        <v>124</v>
      </c>
      <c r="GC304" s="315">
        <v>2900</v>
      </c>
      <c r="GD304" s="315">
        <v>-31335</v>
      </c>
      <c r="GE304" s="315">
        <v>0</v>
      </c>
      <c r="GF304" s="315">
        <v>34235</v>
      </c>
      <c r="GG304" s="315">
        <v>64768</v>
      </c>
      <c r="GH304" s="315">
        <v>5933</v>
      </c>
      <c r="GI304" s="315">
        <v>540</v>
      </c>
      <c r="GJ304" s="315">
        <v>58295</v>
      </c>
      <c r="GL304"/>
      <c r="GM304"/>
      <c r="GN304"/>
      <c r="GO304"/>
    </row>
    <row r="305" spans="1:197">
      <c r="A305" s="98" t="s">
        <v>37</v>
      </c>
      <c r="B305" s="98">
        <v>10</v>
      </c>
      <c r="C305" s="98" t="s">
        <v>226</v>
      </c>
      <c r="D305" s="315">
        <v>37604327</v>
      </c>
      <c r="E305" s="315">
        <v>-3700649</v>
      </c>
      <c r="F305" s="315">
        <v>-14972</v>
      </c>
      <c r="G305" s="315">
        <v>33888706</v>
      </c>
      <c r="H305" s="315">
        <v>26406088</v>
      </c>
      <c r="I305" s="315">
        <v>7482618</v>
      </c>
      <c r="J305" s="315">
        <v>7334222</v>
      </c>
      <c r="K305" s="315">
        <v>148396</v>
      </c>
      <c r="L305" s="315">
        <v>10336190</v>
      </c>
      <c r="M305" s="315">
        <v>8592578</v>
      </c>
      <c r="N305" s="315">
        <v>145938</v>
      </c>
      <c r="O305" s="315">
        <v>30326</v>
      </c>
      <c r="P305" s="315">
        <v>115612</v>
      </c>
      <c r="Q305" s="315">
        <v>85255</v>
      </c>
      <c r="R305" s="315">
        <v>1512419</v>
      </c>
      <c r="S305" s="315">
        <v>-557336</v>
      </c>
      <c r="T305" s="315">
        <v>-537911</v>
      </c>
      <c r="U305" s="315">
        <v>-84145</v>
      </c>
      <c r="V305" s="315">
        <v>-33</v>
      </c>
      <c r="W305" s="315">
        <v>-377529</v>
      </c>
      <c r="X305" s="315">
        <v>0</v>
      </c>
      <c r="Y305" s="315">
        <v>-76204</v>
      </c>
      <c r="Z305" s="315">
        <v>-9345</v>
      </c>
      <c r="AA305" s="315">
        <v>-10080</v>
      </c>
      <c r="AB305" s="315">
        <v>0</v>
      </c>
      <c r="AC305" s="315">
        <v>-14972</v>
      </c>
      <c r="AD305" s="315">
        <v>9763882</v>
      </c>
      <c r="AE305" s="315">
        <v>6366733</v>
      </c>
      <c r="AF305" s="315">
        <v>3397149</v>
      </c>
      <c r="AG305" s="315">
        <v>3328172</v>
      </c>
      <c r="AH305" s="315">
        <v>68977</v>
      </c>
      <c r="AI305" s="315">
        <v>8583950</v>
      </c>
      <c r="AJ305" s="315">
        <v>1750157</v>
      </c>
      <c r="AK305" s="315">
        <v>2642514</v>
      </c>
      <c r="AL305" s="315">
        <v>4151485</v>
      </c>
      <c r="AM305" s="315">
        <v>320611</v>
      </c>
      <c r="AN305" s="315">
        <v>393626</v>
      </c>
      <c r="AO305" s="315">
        <v>35774</v>
      </c>
      <c r="AP305" s="315">
        <v>15711</v>
      </c>
      <c r="AQ305" s="315">
        <v>745245</v>
      </c>
      <c r="AR305" s="315">
        <v>-391973</v>
      </c>
      <c r="AS305" s="315">
        <v>75910</v>
      </c>
      <c r="AT305" s="315">
        <v>0</v>
      </c>
      <c r="AU305" s="315">
        <v>-14972</v>
      </c>
      <c r="AV305" s="315">
        <v>12120021</v>
      </c>
      <c r="AW305" s="315">
        <v>11600569</v>
      </c>
      <c r="AX305" s="315">
        <v>119471</v>
      </c>
      <c r="AY305" s="315">
        <v>7511</v>
      </c>
      <c r="AZ305" s="315">
        <v>3739</v>
      </c>
      <c r="BA305" s="315">
        <v>10162</v>
      </c>
      <c r="BB305" s="315">
        <v>98059</v>
      </c>
      <c r="BC305" s="315">
        <v>83813</v>
      </c>
      <c r="BD305" s="315">
        <v>316168</v>
      </c>
      <c r="BE305" s="315">
        <v>-506595</v>
      </c>
      <c r="BF305" s="315">
        <v>-505592</v>
      </c>
      <c r="BG305" s="315">
        <v>-484760</v>
      </c>
      <c r="BH305" s="315">
        <v>-20832</v>
      </c>
      <c r="BI305" s="315">
        <v>0</v>
      </c>
      <c r="BJ305" s="315">
        <v>-200063</v>
      </c>
      <c r="BK305" s="315">
        <v>-305529</v>
      </c>
      <c r="BL305" s="315">
        <v>-1003</v>
      </c>
      <c r="BM305" s="315">
        <v>0</v>
      </c>
      <c r="BN305" s="315">
        <v>11613426</v>
      </c>
      <c r="BO305" s="315">
        <v>135655</v>
      </c>
      <c r="BP305" s="315">
        <v>164530</v>
      </c>
      <c r="BQ305" s="315">
        <v>15232</v>
      </c>
      <c r="BR305" s="315">
        <v>43</v>
      </c>
      <c r="BS305" s="315">
        <v>11600085</v>
      </c>
      <c r="BT305" s="315">
        <v>3803787</v>
      </c>
      <c r="BU305" s="315">
        <v>6201382</v>
      </c>
      <c r="BV305" s="315">
        <v>1333331</v>
      </c>
      <c r="BW305" s="315">
        <v>261585</v>
      </c>
      <c r="BX305" s="315">
        <v>-365289</v>
      </c>
      <c r="BY305" s="315">
        <v>62981</v>
      </c>
      <c r="BZ305" s="315">
        <v>189</v>
      </c>
      <c r="CA305" s="315">
        <v>262828</v>
      </c>
      <c r="CB305" s="315">
        <v>-35964</v>
      </c>
      <c r="CC305" s="315">
        <v>-35964</v>
      </c>
      <c r="CD305" s="315">
        <v>0</v>
      </c>
      <c r="CE305" s="315">
        <v>226864</v>
      </c>
      <c r="CF305" s="315">
        <v>163657</v>
      </c>
      <c r="CG305" s="315">
        <v>30986</v>
      </c>
      <c r="CH305" s="315">
        <v>32221</v>
      </c>
      <c r="CI305" s="315">
        <v>12454783</v>
      </c>
      <c r="CJ305" s="315">
        <v>1365797</v>
      </c>
      <c r="CK305" s="315">
        <v>11088986</v>
      </c>
      <c r="CL305" s="315">
        <v>3690005</v>
      </c>
      <c r="CM305" s="315">
        <v>6967846</v>
      </c>
      <c r="CN305" s="315">
        <v>431135</v>
      </c>
      <c r="CO305" s="315">
        <v>1757</v>
      </c>
      <c r="CP305" s="315">
        <v>0</v>
      </c>
      <c r="CQ305" s="315">
        <v>429378</v>
      </c>
      <c r="CR305" s="315">
        <v>-2462516</v>
      </c>
      <c r="CS305" s="315">
        <v>-553663</v>
      </c>
      <c r="CT305" s="315">
        <v>-444054</v>
      </c>
      <c r="CU305" s="315">
        <v>-4781</v>
      </c>
      <c r="CV305" s="315">
        <v>-368</v>
      </c>
      <c r="CW305" s="315">
        <v>-104460</v>
      </c>
      <c r="CX305" s="315">
        <v>-1423062</v>
      </c>
      <c r="CY305" s="315">
        <v>-1384945</v>
      </c>
      <c r="CZ305" s="315">
        <v>-11250</v>
      </c>
      <c r="DA305" s="315">
        <v>-26867</v>
      </c>
      <c r="DB305" s="315">
        <v>-485791</v>
      </c>
      <c r="DC305" s="315">
        <v>0</v>
      </c>
      <c r="DD305" s="315">
        <v>9992267</v>
      </c>
      <c r="DE305" s="315">
        <v>7008264</v>
      </c>
      <c r="DF305" s="315">
        <v>2984003</v>
      </c>
      <c r="DG305" s="315">
        <v>2922646</v>
      </c>
      <c r="DH305" s="315">
        <v>61357</v>
      </c>
      <c r="DI305" s="315">
        <v>1858962</v>
      </c>
      <c r="DJ305" s="315">
        <v>67705</v>
      </c>
      <c r="DK305" s="315">
        <v>39460</v>
      </c>
      <c r="DL305" s="315">
        <v>939</v>
      </c>
      <c r="DM305" s="315">
        <v>1035078</v>
      </c>
      <c r="DN305" s="315">
        <v>588136</v>
      </c>
      <c r="DO305" s="315">
        <v>117962</v>
      </c>
      <c r="DP305" s="315"/>
      <c r="DQ305" s="315">
        <v>9628</v>
      </c>
      <c r="DR305" s="315">
        <v>54</v>
      </c>
      <c r="DS305" s="315">
        <v>-29317</v>
      </c>
      <c r="DT305" s="315">
        <v>-7647</v>
      </c>
      <c r="DU305" s="315">
        <v>-1735</v>
      </c>
      <c r="DV305" s="315">
        <v>-19</v>
      </c>
      <c r="DW305" s="315">
        <v>-19674</v>
      </c>
      <c r="DX305" s="315">
        <v>-5977</v>
      </c>
      <c r="DY305" s="315">
        <v>-12175</v>
      </c>
      <c r="DZ305" s="315">
        <v>-1522</v>
      </c>
      <c r="EA305" s="315">
        <v>-116</v>
      </c>
      <c r="EB305" s="315">
        <v>0</v>
      </c>
      <c r="EC305" s="315"/>
      <c r="ED305" s="315">
        <v>-3</v>
      </c>
      <c r="EE305" s="315">
        <v>-123</v>
      </c>
      <c r="EF305" s="315">
        <v>1829645</v>
      </c>
      <c r="EG305" s="315">
        <v>728179</v>
      </c>
      <c r="EH305" s="315">
        <v>1101466</v>
      </c>
      <c r="EI305" s="315">
        <v>1083404</v>
      </c>
      <c r="EJ305" s="315">
        <v>18062</v>
      </c>
      <c r="EK305" s="315">
        <v>60058</v>
      </c>
      <c r="EL305" s="315">
        <v>16706</v>
      </c>
      <c r="EM305" s="315">
        <v>43352</v>
      </c>
      <c r="EN305" s="315">
        <v>42487</v>
      </c>
      <c r="EO305" s="315">
        <v>865</v>
      </c>
      <c r="EP305" s="315">
        <v>37725</v>
      </c>
      <c r="EQ305" s="315">
        <v>21769</v>
      </c>
      <c r="ER305" s="315">
        <v>15956</v>
      </c>
      <c r="ES305" s="315">
        <v>15631</v>
      </c>
      <c r="ET305" s="315">
        <v>325</v>
      </c>
      <c r="EU305" s="315">
        <v>920</v>
      </c>
      <c r="EV305" s="315">
        <v>-286</v>
      </c>
      <c r="EW305" s="315">
        <v>1206</v>
      </c>
      <c r="EX305" s="315">
        <v>1184</v>
      </c>
      <c r="EY305" s="315">
        <v>22</v>
      </c>
      <c r="EZ305" s="315">
        <v>1015404</v>
      </c>
      <c r="FA305" s="315">
        <v>431693</v>
      </c>
      <c r="FB305" s="315">
        <v>583711</v>
      </c>
      <c r="FC305" s="315">
        <v>573449</v>
      </c>
      <c r="FD305" s="315">
        <v>10262</v>
      </c>
      <c r="FE305" s="315">
        <v>588020</v>
      </c>
      <c r="FF305" s="315">
        <v>247497</v>
      </c>
      <c r="FG305" s="315">
        <v>340523</v>
      </c>
      <c r="FH305" s="315">
        <v>333935</v>
      </c>
      <c r="FI305" s="315">
        <v>6588</v>
      </c>
      <c r="FJ305" s="315">
        <v>117962</v>
      </c>
      <c r="FK305" s="315">
        <v>1244</v>
      </c>
      <c r="FL305" s="315">
        <v>116718</v>
      </c>
      <c r="FM305" s="315">
        <v>116718</v>
      </c>
      <c r="FN305" s="315"/>
      <c r="FO305" s="315"/>
      <c r="FP305" s="315">
        <v>9625</v>
      </c>
      <c r="FQ305" s="315">
        <v>-69</v>
      </c>
      <c r="FR305" s="315">
        <v>571543</v>
      </c>
      <c r="FS305" s="315">
        <v>-108921</v>
      </c>
      <c r="FT305" s="315">
        <v>462622</v>
      </c>
      <c r="FU305" s="315">
        <v>4275</v>
      </c>
      <c r="FV305" s="315">
        <v>3691</v>
      </c>
      <c r="FW305" s="315">
        <v>584</v>
      </c>
      <c r="FX305" s="315">
        <v>183222</v>
      </c>
      <c r="FY305" s="315">
        <v>114264</v>
      </c>
      <c r="FZ305" s="315"/>
      <c r="GA305" s="315"/>
      <c r="GB305" s="315">
        <v>46</v>
      </c>
      <c r="GC305" s="315">
        <v>43845</v>
      </c>
      <c r="GD305" s="315">
        <v>14873</v>
      </c>
      <c r="GE305" s="315">
        <v>18629</v>
      </c>
      <c r="GF305" s="315">
        <v>10343</v>
      </c>
      <c r="GG305" s="315">
        <v>116970</v>
      </c>
      <c r="GH305" s="315">
        <v>4564</v>
      </c>
      <c r="GI305" s="315">
        <v>500</v>
      </c>
      <c r="GJ305" s="315">
        <v>111906</v>
      </c>
      <c r="GL305"/>
      <c r="GM305"/>
      <c r="GN305"/>
      <c r="GO305"/>
    </row>
    <row r="306" spans="1:197">
      <c r="A306" s="98" t="s">
        <v>37</v>
      </c>
      <c r="B306" s="98">
        <v>11</v>
      </c>
      <c r="C306" s="98" t="s">
        <v>227</v>
      </c>
      <c r="D306" s="315">
        <v>18005575</v>
      </c>
      <c r="E306" s="315">
        <v>-3247790</v>
      </c>
      <c r="F306" s="315">
        <v>-14972</v>
      </c>
      <c r="G306" s="315">
        <v>14742813</v>
      </c>
      <c r="H306" s="315">
        <v>4922566</v>
      </c>
      <c r="I306" s="315">
        <v>9820247</v>
      </c>
      <c r="J306" s="315">
        <v>9516258</v>
      </c>
      <c r="K306" s="315">
        <v>303989</v>
      </c>
      <c r="L306" s="315">
        <v>8750954</v>
      </c>
      <c r="M306" s="315">
        <v>4561633</v>
      </c>
      <c r="N306" s="315">
        <v>3851675</v>
      </c>
      <c r="O306" s="315">
        <v>3740421</v>
      </c>
      <c r="P306" s="315">
        <v>111254</v>
      </c>
      <c r="Q306" s="315">
        <v>63153</v>
      </c>
      <c r="R306" s="315">
        <v>274493</v>
      </c>
      <c r="S306" s="315">
        <v>-810206</v>
      </c>
      <c r="T306" s="315">
        <v>-791320</v>
      </c>
      <c r="U306" s="315">
        <v>-80872</v>
      </c>
      <c r="V306" s="315">
        <v>-15</v>
      </c>
      <c r="W306" s="315">
        <v>-649072</v>
      </c>
      <c r="X306" s="315">
        <v>0</v>
      </c>
      <c r="Y306" s="315">
        <v>-61361</v>
      </c>
      <c r="Z306" s="315">
        <v>-9101</v>
      </c>
      <c r="AA306" s="315">
        <v>-9785</v>
      </c>
      <c r="AB306" s="315">
        <v>0</v>
      </c>
      <c r="AC306" s="315">
        <v>-14972</v>
      </c>
      <c r="AD306" s="315">
        <v>7925776</v>
      </c>
      <c r="AE306" s="315">
        <v>3260813</v>
      </c>
      <c r="AF306" s="315">
        <v>4664963</v>
      </c>
      <c r="AG306" s="315">
        <v>4476976</v>
      </c>
      <c r="AH306" s="315">
        <v>187987</v>
      </c>
      <c r="AI306" s="315">
        <v>4553966</v>
      </c>
      <c r="AJ306" s="315">
        <v>1801650</v>
      </c>
      <c r="AK306" s="315">
        <v>2675238</v>
      </c>
      <c r="AL306" s="315">
        <v>36129</v>
      </c>
      <c r="AM306" s="315">
        <v>135811</v>
      </c>
      <c r="AN306" s="315">
        <v>51250</v>
      </c>
      <c r="AO306" s="315">
        <v>42287</v>
      </c>
      <c r="AP306" s="315">
        <v>15810</v>
      </c>
      <c r="AQ306" s="315">
        <v>27217</v>
      </c>
      <c r="AR306" s="315">
        <v>3060355</v>
      </c>
      <c r="AS306" s="315">
        <v>54052</v>
      </c>
      <c r="AT306" s="315">
        <v>0</v>
      </c>
      <c r="AU306" s="315">
        <v>-14972</v>
      </c>
      <c r="AV306" s="315">
        <v>435398</v>
      </c>
      <c r="AW306" s="315">
        <v>51629</v>
      </c>
      <c r="AX306" s="315">
        <v>133988</v>
      </c>
      <c r="AY306" s="315">
        <v>15591</v>
      </c>
      <c r="AZ306" s="315">
        <v>7019</v>
      </c>
      <c r="BA306" s="315">
        <v>11545</v>
      </c>
      <c r="BB306" s="315">
        <v>99833</v>
      </c>
      <c r="BC306" s="315">
        <v>159537</v>
      </c>
      <c r="BD306" s="315">
        <v>90244</v>
      </c>
      <c r="BE306" s="315">
        <v>-659022</v>
      </c>
      <c r="BF306" s="315">
        <v>-654755</v>
      </c>
      <c r="BG306" s="315">
        <v>-615008</v>
      </c>
      <c r="BH306" s="315">
        <v>-39747</v>
      </c>
      <c r="BI306" s="315">
        <v>-589522</v>
      </c>
      <c r="BJ306" s="315">
        <v>-3017</v>
      </c>
      <c r="BK306" s="315">
        <v>-62216</v>
      </c>
      <c r="BL306" s="315">
        <v>-4267</v>
      </c>
      <c r="BM306" s="315">
        <v>0</v>
      </c>
      <c r="BN306" s="315">
        <v>-223624</v>
      </c>
      <c r="BO306" s="315">
        <v>52230</v>
      </c>
      <c r="BP306" s="315">
        <v>19232</v>
      </c>
      <c r="BQ306" s="315">
        <v>18000</v>
      </c>
      <c r="BR306" s="315">
        <v>0</v>
      </c>
      <c r="BS306" s="315">
        <v>48046</v>
      </c>
      <c r="BT306" s="315">
        <v>14956</v>
      </c>
      <c r="BU306" s="315">
        <v>15698</v>
      </c>
      <c r="BV306" s="315">
        <v>7127</v>
      </c>
      <c r="BW306" s="315">
        <v>10265</v>
      </c>
      <c r="BX306" s="315">
        <v>-481020</v>
      </c>
      <c r="BY306" s="315">
        <v>119790</v>
      </c>
      <c r="BZ306" s="315">
        <v>98</v>
      </c>
      <c r="CA306" s="315">
        <v>189603</v>
      </c>
      <c r="CB306" s="315">
        <v>-37592</v>
      </c>
      <c r="CC306" s="315">
        <v>-37592</v>
      </c>
      <c r="CD306" s="315">
        <v>0</v>
      </c>
      <c r="CE306" s="315">
        <v>152011</v>
      </c>
      <c r="CF306" s="315">
        <v>145085</v>
      </c>
      <c r="CG306" s="315">
        <v>110</v>
      </c>
      <c r="CH306" s="315">
        <v>6816</v>
      </c>
      <c r="CI306" s="315">
        <v>5829405</v>
      </c>
      <c r="CJ306" s="315">
        <v>1481793</v>
      </c>
      <c r="CK306" s="315">
        <v>4347612</v>
      </c>
      <c r="CL306" s="315">
        <v>3698718</v>
      </c>
      <c r="CM306" s="315">
        <v>166448</v>
      </c>
      <c r="CN306" s="315">
        <v>482446</v>
      </c>
      <c r="CO306" s="315">
        <v>34003</v>
      </c>
      <c r="CP306" s="315">
        <v>0</v>
      </c>
      <c r="CQ306" s="315">
        <v>448443</v>
      </c>
      <c r="CR306" s="315">
        <v>-1516210</v>
      </c>
      <c r="CS306" s="315">
        <v>-356493</v>
      </c>
      <c r="CT306" s="315">
        <v>-268595</v>
      </c>
      <c r="CU306" s="315">
        <v>-2942</v>
      </c>
      <c r="CV306" s="315">
        <v>-162</v>
      </c>
      <c r="CW306" s="315">
        <v>-84794</v>
      </c>
      <c r="CX306" s="315">
        <v>-1118598</v>
      </c>
      <c r="CY306" s="315">
        <v>-1111427</v>
      </c>
      <c r="CZ306" s="315">
        <v>-5045</v>
      </c>
      <c r="DA306" s="315">
        <v>-2126</v>
      </c>
      <c r="DB306" s="315">
        <v>-41119</v>
      </c>
      <c r="DC306" s="315">
        <v>0</v>
      </c>
      <c r="DD306" s="315">
        <v>4313195</v>
      </c>
      <c r="DE306" s="315">
        <v>773326</v>
      </c>
      <c r="DF306" s="315">
        <v>3539869</v>
      </c>
      <c r="DG306" s="315">
        <v>3446211</v>
      </c>
      <c r="DH306" s="315">
        <v>93658</v>
      </c>
      <c r="DI306" s="315">
        <v>1907907</v>
      </c>
      <c r="DJ306" s="315">
        <v>103379</v>
      </c>
      <c r="DK306" s="315">
        <v>38727</v>
      </c>
      <c r="DL306" s="315">
        <v>2753</v>
      </c>
      <c r="DM306" s="315">
        <v>1072786</v>
      </c>
      <c r="DN306" s="315">
        <v>581002</v>
      </c>
      <c r="DO306" s="315">
        <v>109165</v>
      </c>
      <c r="DP306" s="315"/>
      <c r="DQ306" s="315">
        <v>0</v>
      </c>
      <c r="DR306" s="315">
        <v>95</v>
      </c>
      <c r="DS306" s="315">
        <v>-49067</v>
      </c>
      <c r="DT306" s="315">
        <v>-1853</v>
      </c>
      <c r="DU306" s="315">
        <v>-211</v>
      </c>
      <c r="DV306" s="315">
        <v>-43</v>
      </c>
      <c r="DW306" s="315">
        <v>-46694</v>
      </c>
      <c r="DX306" s="315">
        <v>-4676</v>
      </c>
      <c r="DY306" s="315">
        <v>-39284</v>
      </c>
      <c r="DZ306" s="315">
        <v>-2734</v>
      </c>
      <c r="EA306" s="315">
        <v>-29</v>
      </c>
      <c r="EB306" s="315">
        <v>-36</v>
      </c>
      <c r="EC306" s="315"/>
      <c r="ED306" s="315">
        <v>0</v>
      </c>
      <c r="EE306" s="315">
        <v>-201</v>
      </c>
      <c r="EF306" s="315">
        <v>1858840</v>
      </c>
      <c r="EG306" s="315">
        <v>243425</v>
      </c>
      <c r="EH306" s="315">
        <v>1615415</v>
      </c>
      <c r="EI306" s="315">
        <v>1593071</v>
      </c>
      <c r="EJ306" s="315">
        <v>22344</v>
      </c>
      <c r="EK306" s="315">
        <v>101526</v>
      </c>
      <c r="EL306" s="315">
        <v>64712</v>
      </c>
      <c r="EM306" s="315">
        <v>36814</v>
      </c>
      <c r="EN306" s="315">
        <v>35952</v>
      </c>
      <c r="EO306" s="315">
        <v>862</v>
      </c>
      <c r="EP306" s="315">
        <v>38516</v>
      </c>
      <c r="EQ306" s="315">
        <v>19587</v>
      </c>
      <c r="ER306" s="315">
        <v>18929</v>
      </c>
      <c r="ES306" s="315">
        <v>18473</v>
      </c>
      <c r="ET306" s="315">
        <v>456</v>
      </c>
      <c r="EU306" s="315">
        <v>2710</v>
      </c>
      <c r="EV306" s="315">
        <v>2057</v>
      </c>
      <c r="EW306" s="315">
        <v>653</v>
      </c>
      <c r="EX306" s="315">
        <v>616</v>
      </c>
      <c r="EY306" s="315">
        <v>37</v>
      </c>
      <c r="EZ306" s="315">
        <v>1026092</v>
      </c>
      <c r="FA306" s="315">
        <v>-244817</v>
      </c>
      <c r="FB306" s="315">
        <v>1270909</v>
      </c>
      <c r="FC306" s="315">
        <v>1255607</v>
      </c>
      <c r="FD306" s="315">
        <v>15302</v>
      </c>
      <c r="FE306" s="315">
        <v>580973</v>
      </c>
      <c r="FF306" s="315">
        <v>370947</v>
      </c>
      <c r="FG306" s="315">
        <v>210026</v>
      </c>
      <c r="FH306" s="315">
        <v>204339</v>
      </c>
      <c r="FI306" s="315">
        <v>5687</v>
      </c>
      <c r="FJ306" s="315">
        <v>109129</v>
      </c>
      <c r="FK306" s="315">
        <v>31045</v>
      </c>
      <c r="FL306" s="315">
        <v>78084</v>
      </c>
      <c r="FM306" s="315">
        <v>78084</v>
      </c>
      <c r="FN306" s="315"/>
      <c r="FO306" s="315"/>
      <c r="FP306" s="315">
        <v>0</v>
      </c>
      <c r="FQ306" s="315">
        <v>-106</v>
      </c>
      <c r="FR306" s="315">
        <v>892308</v>
      </c>
      <c r="FS306" s="315">
        <v>-175693</v>
      </c>
      <c r="FT306" s="315">
        <v>716615</v>
      </c>
      <c r="FU306" s="315">
        <v>381845</v>
      </c>
      <c r="FV306" s="315">
        <v>380132</v>
      </c>
      <c r="FW306" s="315">
        <v>1713</v>
      </c>
      <c r="FX306" s="315">
        <v>176309</v>
      </c>
      <c r="FY306" s="315">
        <v>130533</v>
      </c>
      <c r="FZ306" s="315"/>
      <c r="GA306" s="315"/>
      <c r="GB306" s="315">
        <v>9572</v>
      </c>
      <c r="GC306" s="315">
        <v>45222</v>
      </c>
      <c r="GD306" s="315">
        <v>-31550</v>
      </c>
      <c r="GE306" s="315">
        <v>5</v>
      </c>
      <c r="GF306" s="315">
        <v>76767</v>
      </c>
      <c r="GG306" s="315">
        <v>-26866</v>
      </c>
      <c r="GH306" s="315">
        <v>-119042</v>
      </c>
      <c r="GI306" s="315">
        <v>680</v>
      </c>
      <c r="GJ306" s="315">
        <v>91496</v>
      </c>
      <c r="GL306"/>
      <c r="GM306"/>
      <c r="GN306"/>
      <c r="GO306"/>
    </row>
    <row r="307" spans="1:197">
      <c r="A307" s="98" t="s">
        <v>37</v>
      </c>
      <c r="B307" s="98">
        <v>12</v>
      </c>
      <c r="C307" s="98" t="s">
        <v>228</v>
      </c>
      <c r="D307" s="315">
        <v>20459989</v>
      </c>
      <c r="E307" s="315">
        <v>-5489996</v>
      </c>
      <c r="F307" s="315">
        <v>-14972</v>
      </c>
      <c r="G307" s="315">
        <v>14955021</v>
      </c>
      <c r="H307" s="315">
        <v>5268981</v>
      </c>
      <c r="I307" s="315">
        <v>9686040</v>
      </c>
      <c r="J307" s="315">
        <v>9516258</v>
      </c>
      <c r="K307" s="315">
        <v>169782</v>
      </c>
      <c r="L307" s="315">
        <v>6007379</v>
      </c>
      <c r="M307" s="315">
        <v>5493350</v>
      </c>
      <c r="N307" s="315">
        <v>138767</v>
      </c>
      <c r="O307" s="315">
        <v>35374</v>
      </c>
      <c r="P307" s="315">
        <v>103393</v>
      </c>
      <c r="Q307" s="315">
        <v>55539</v>
      </c>
      <c r="R307" s="315">
        <v>319723</v>
      </c>
      <c r="S307" s="315">
        <v>-633260</v>
      </c>
      <c r="T307" s="315">
        <v>-612314</v>
      </c>
      <c r="U307" s="315">
        <v>-78534</v>
      </c>
      <c r="V307" s="315">
        <v>-17</v>
      </c>
      <c r="W307" s="315">
        <v>-494582</v>
      </c>
      <c r="X307" s="315">
        <v>0</v>
      </c>
      <c r="Y307" s="315">
        <v>-39181</v>
      </c>
      <c r="Z307" s="315">
        <v>-11373</v>
      </c>
      <c r="AA307" s="315">
        <v>-3895</v>
      </c>
      <c r="AB307" s="315">
        <v>-5678</v>
      </c>
      <c r="AC307" s="315">
        <v>-14972</v>
      </c>
      <c r="AD307" s="315">
        <v>5359147</v>
      </c>
      <c r="AE307" s="315">
        <v>768368</v>
      </c>
      <c r="AF307" s="315">
        <v>4590779</v>
      </c>
      <c r="AG307" s="315">
        <v>4476976</v>
      </c>
      <c r="AH307" s="315">
        <v>113803</v>
      </c>
      <c r="AI307" s="315">
        <v>5490811</v>
      </c>
      <c r="AJ307" s="315">
        <v>2679187</v>
      </c>
      <c r="AK307" s="315">
        <v>2765149</v>
      </c>
      <c r="AL307" s="315">
        <v>17564</v>
      </c>
      <c r="AM307" s="315">
        <v>184780</v>
      </c>
      <c r="AN307" s="315">
        <v>43677</v>
      </c>
      <c r="AO307" s="315">
        <v>44863</v>
      </c>
      <c r="AP307" s="315">
        <v>16304</v>
      </c>
      <c r="AQ307" s="315">
        <v>23065</v>
      </c>
      <c r="AR307" s="315">
        <v>-473547</v>
      </c>
      <c r="AS307" s="315">
        <v>44166</v>
      </c>
      <c r="AT307" s="315">
        <v>0</v>
      </c>
      <c r="AU307" s="315">
        <v>-14972</v>
      </c>
      <c r="AV307" s="315">
        <v>5160015</v>
      </c>
      <c r="AW307" s="315">
        <v>4914300</v>
      </c>
      <c r="AX307" s="315">
        <v>83731</v>
      </c>
      <c r="AY307" s="315">
        <v>9232</v>
      </c>
      <c r="AZ307" s="315">
        <v>2556</v>
      </c>
      <c r="BA307" s="315">
        <v>7818</v>
      </c>
      <c r="BB307" s="315">
        <v>64125</v>
      </c>
      <c r="BC307" s="315">
        <v>45558</v>
      </c>
      <c r="BD307" s="315">
        <v>116426</v>
      </c>
      <c r="BE307" s="315">
        <v>-1256614</v>
      </c>
      <c r="BF307" s="315">
        <v>-1254491</v>
      </c>
      <c r="BG307" s="315">
        <v>-1231633</v>
      </c>
      <c r="BH307" s="315">
        <v>-22858</v>
      </c>
      <c r="BI307" s="315">
        <v>-1181700</v>
      </c>
      <c r="BJ307" s="315">
        <v>-1846</v>
      </c>
      <c r="BK307" s="315">
        <v>-70945</v>
      </c>
      <c r="BL307" s="315">
        <v>-2123</v>
      </c>
      <c r="BM307" s="315">
        <v>0</v>
      </c>
      <c r="BN307" s="315">
        <v>3903401</v>
      </c>
      <c r="BO307" s="315">
        <v>80820</v>
      </c>
      <c r="BP307" s="315">
        <v>15929</v>
      </c>
      <c r="BQ307" s="315">
        <v>19100</v>
      </c>
      <c r="BR307" s="315">
        <v>96</v>
      </c>
      <c r="BS307" s="315">
        <v>4912649</v>
      </c>
      <c r="BT307" s="315">
        <v>1586797</v>
      </c>
      <c r="BU307" s="315">
        <v>2290086</v>
      </c>
      <c r="BV307" s="315">
        <v>1015951</v>
      </c>
      <c r="BW307" s="315">
        <v>19815</v>
      </c>
      <c r="BX307" s="315">
        <v>-1147902</v>
      </c>
      <c r="BY307" s="315">
        <v>22700</v>
      </c>
      <c r="BZ307" s="315">
        <v>9</v>
      </c>
      <c r="CA307" s="315">
        <v>341627</v>
      </c>
      <c r="CB307" s="315">
        <v>-46655</v>
      </c>
      <c r="CC307" s="315">
        <v>-46655</v>
      </c>
      <c r="CD307" s="315">
        <v>0</v>
      </c>
      <c r="CE307" s="315">
        <v>294972</v>
      </c>
      <c r="CF307" s="315">
        <v>266548</v>
      </c>
      <c r="CG307" s="315">
        <v>15696</v>
      </c>
      <c r="CH307" s="315">
        <v>12728</v>
      </c>
      <c r="CI307" s="315">
        <v>6561592</v>
      </c>
      <c r="CJ307" s="315">
        <v>1544892</v>
      </c>
      <c r="CK307" s="315">
        <v>5016700</v>
      </c>
      <c r="CL307" s="315">
        <v>4504523</v>
      </c>
      <c r="CM307" s="315">
        <v>80285</v>
      </c>
      <c r="CN307" s="315">
        <v>431892</v>
      </c>
      <c r="CO307" s="315">
        <v>0</v>
      </c>
      <c r="CP307" s="315">
        <v>0</v>
      </c>
      <c r="CQ307" s="315">
        <v>431892</v>
      </c>
      <c r="CR307" s="315">
        <v>-3385007</v>
      </c>
      <c r="CS307" s="315">
        <v>-217196</v>
      </c>
      <c r="CT307" s="315">
        <v>-143261</v>
      </c>
      <c r="CU307" s="315">
        <v>-2629</v>
      </c>
      <c r="CV307" s="315">
        <v>-916</v>
      </c>
      <c r="CW307" s="315">
        <v>-70390</v>
      </c>
      <c r="CX307" s="315">
        <v>-2330925</v>
      </c>
      <c r="CY307" s="315">
        <v>-2312689</v>
      </c>
      <c r="CZ307" s="315">
        <v>-4447</v>
      </c>
      <c r="DA307" s="315">
        <v>-13789</v>
      </c>
      <c r="DB307" s="315">
        <v>-493773</v>
      </c>
      <c r="DC307" s="315">
        <v>-343113</v>
      </c>
      <c r="DD307" s="315">
        <v>3176585</v>
      </c>
      <c r="DE307" s="315">
        <v>-316606</v>
      </c>
      <c r="DF307" s="315">
        <v>3493191</v>
      </c>
      <c r="DG307" s="315">
        <v>3446211</v>
      </c>
      <c r="DH307" s="315">
        <v>46980</v>
      </c>
      <c r="DI307" s="315">
        <v>1767710</v>
      </c>
      <c r="DJ307" s="315">
        <v>79281</v>
      </c>
      <c r="DK307" s="315">
        <v>28122</v>
      </c>
      <c r="DL307" s="315">
        <v>1254</v>
      </c>
      <c r="DM307" s="315">
        <v>1055068</v>
      </c>
      <c r="DN307" s="315">
        <v>494049</v>
      </c>
      <c r="DO307" s="315">
        <v>109876</v>
      </c>
      <c r="DP307" s="315"/>
      <c r="DQ307" s="315">
        <v>-11</v>
      </c>
      <c r="DR307" s="315">
        <v>71</v>
      </c>
      <c r="DS307" s="315">
        <v>-125839</v>
      </c>
      <c r="DT307" s="315">
        <v>-2363</v>
      </c>
      <c r="DU307" s="315">
        <v>-2873</v>
      </c>
      <c r="DV307" s="315">
        <v>-4</v>
      </c>
      <c r="DW307" s="315">
        <v>-84833</v>
      </c>
      <c r="DX307" s="315">
        <v>-3415</v>
      </c>
      <c r="DY307" s="315">
        <v>-18222</v>
      </c>
      <c r="DZ307" s="315">
        <v>-63196</v>
      </c>
      <c r="EA307" s="315">
        <v>-35377</v>
      </c>
      <c r="EB307" s="315">
        <v>-329</v>
      </c>
      <c r="EC307" s="315"/>
      <c r="ED307" s="315">
        <v>0</v>
      </c>
      <c r="EE307" s="315">
        <v>-60</v>
      </c>
      <c r="EF307" s="315">
        <v>1641871</v>
      </c>
      <c r="EG307" s="315">
        <v>39801</v>
      </c>
      <c r="EH307" s="315">
        <v>1602070</v>
      </c>
      <c r="EI307" s="315">
        <v>1593071</v>
      </c>
      <c r="EJ307" s="315">
        <v>8999</v>
      </c>
      <c r="EK307" s="315">
        <v>76918</v>
      </c>
      <c r="EL307" s="315">
        <v>40795</v>
      </c>
      <c r="EM307" s="315">
        <v>36123</v>
      </c>
      <c r="EN307" s="315">
        <v>35951</v>
      </c>
      <c r="EO307" s="315">
        <v>172</v>
      </c>
      <c r="EP307" s="315">
        <v>25249</v>
      </c>
      <c r="EQ307" s="315">
        <v>6484</v>
      </c>
      <c r="ER307" s="315">
        <v>18765</v>
      </c>
      <c r="ES307" s="315">
        <v>18473</v>
      </c>
      <c r="ET307" s="315">
        <v>292</v>
      </c>
      <c r="EU307" s="315">
        <v>1250</v>
      </c>
      <c r="EV307" s="315">
        <v>645</v>
      </c>
      <c r="EW307" s="315">
        <v>605</v>
      </c>
      <c r="EX307" s="315">
        <v>616</v>
      </c>
      <c r="EY307" s="315">
        <v>-11</v>
      </c>
      <c r="EZ307" s="315">
        <v>970235</v>
      </c>
      <c r="FA307" s="315">
        <v>-295142</v>
      </c>
      <c r="FB307" s="315">
        <v>1265377</v>
      </c>
      <c r="FC307" s="315">
        <v>1255607</v>
      </c>
      <c r="FD307" s="315">
        <v>9770</v>
      </c>
      <c r="FE307" s="315">
        <v>458672</v>
      </c>
      <c r="FF307" s="315">
        <v>255556</v>
      </c>
      <c r="FG307" s="315">
        <v>203116</v>
      </c>
      <c r="FH307" s="315">
        <v>204340</v>
      </c>
      <c r="FI307" s="315">
        <v>-1224</v>
      </c>
      <c r="FJ307" s="315">
        <v>109547</v>
      </c>
      <c r="FK307" s="315">
        <v>31463</v>
      </c>
      <c r="FL307" s="315">
        <v>78084</v>
      </c>
      <c r="FM307" s="315">
        <v>78084</v>
      </c>
      <c r="FN307" s="315"/>
      <c r="FO307" s="315"/>
      <c r="FP307" s="315">
        <v>-11</v>
      </c>
      <c r="FQ307" s="315">
        <v>11</v>
      </c>
      <c r="FR307" s="315">
        <v>621666</v>
      </c>
      <c r="FS307" s="315">
        <v>-42621</v>
      </c>
      <c r="FT307" s="315">
        <v>579045</v>
      </c>
      <c r="FU307" s="315">
        <v>163971</v>
      </c>
      <c r="FV307" s="315">
        <v>163397</v>
      </c>
      <c r="FW307" s="315">
        <v>574</v>
      </c>
      <c r="FX307" s="315">
        <v>160835</v>
      </c>
      <c r="FY307" s="315">
        <v>119942</v>
      </c>
      <c r="FZ307" s="315"/>
      <c r="GA307" s="315"/>
      <c r="GB307" s="315">
        <v>2387</v>
      </c>
      <c r="GC307" s="315">
        <v>40647</v>
      </c>
      <c r="GD307" s="315">
        <v>-31570</v>
      </c>
      <c r="GE307" s="315">
        <v>528</v>
      </c>
      <c r="GF307" s="315">
        <v>71689</v>
      </c>
      <c r="GG307" s="315">
        <v>91263</v>
      </c>
      <c r="GH307" s="315">
        <v>15264</v>
      </c>
      <c r="GI307" s="315">
        <v>505</v>
      </c>
      <c r="GJ307" s="315">
        <v>75494</v>
      </c>
      <c r="GL307"/>
      <c r="GM307"/>
      <c r="GN307"/>
      <c r="GO307"/>
    </row>
    <row r="308" spans="1:197">
      <c r="A308" s="96">
        <v>2020</v>
      </c>
      <c r="B308" s="96">
        <v>1</v>
      </c>
      <c r="C308" s="97" t="s">
        <v>217</v>
      </c>
      <c r="D308" s="314">
        <v>21841593</v>
      </c>
      <c r="E308" s="314">
        <v>-6946963</v>
      </c>
      <c r="F308" s="314">
        <v>-124671</v>
      </c>
      <c r="G308" s="314">
        <v>14769959</v>
      </c>
      <c r="H308" s="314">
        <v>6847806</v>
      </c>
      <c r="I308" s="314">
        <v>7922153</v>
      </c>
      <c r="J308" s="314">
        <v>7760990</v>
      </c>
      <c r="K308" s="314">
        <v>161163</v>
      </c>
      <c r="L308" s="314">
        <v>13145542</v>
      </c>
      <c r="M308" s="314">
        <v>11509478</v>
      </c>
      <c r="N308" s="314">
        <v>99151</v>
      </c>
      <c r="O308" s="314">
        <v>0</v>
      </c>
      <c r="P308" s="314">
        <v>99151</v>
      </c>
      <c r="Q308" s="314">
        <v>71171</v>
      </c>
      <c r="R308" s="314">
        <v>1465742</v>
      </c>
      <c r="S308" s="314">
        <v>-359974</v>
      </c>
      <c r="T308" s="314">
        <v>-345706</v>
      </c>
      <c r="U308" s="314">
        <v>0</v>
      </c>
      <c r="V308" s="314">
        <v>-83446</v>
      </c>
      <c r="W308" s="314">
        <v>0</v>
      </c>
      <c r="X308" s="314">
        <v>-224854</v>
      </c>
      <c r="Y308" s="314">
        <v>-37406</v>
      </c>
      <c r="Z308" s="314">
        <v>-5743</v>
      </c>
      <c r="AA308" s="314">
        <v>-8525</v>
      </c>
      <c r="AB308" s="314">
        <v>0</v>
      </c>
      <c r="AC308" s="314">
        <v>-124671</v>
      </c>
      <c r="AD308" s="314">
        <v>12660897</v>
      </c>
      <c r="AE308" s="314">
        <v>9001617</v>
      </c>
      <c r="AF308" s="314">
        <v>3659280</v>
      </c>
      <c r="AG308" s="314">
        <v>3582712</v>
      </c>
      <c r="AH308" s="314">
        <v>76568</v>
      </c>
      <c r="AI308" s="314">
        <v>11501996</v>
      </c>
      <c r="AJ308" s="314">
        <v>2286645</v>
      </c>
      <c r="AK308" s="314">
        <v>4211077</v>
      </c>
      <c r="AL308" s="314">
        <v>4963821</v>
      </c>
      <c r="AM308" s="314">
        <v>858612</v>
      </c>
      <c r="AN308" s="314">
        <v>390195</v>
      </c>
      <c r="AO308" s="314">
        <v>75371</v>
      </c>
      <c r="AP308" s="314">
        <v>83847</v>
      </c>
      <c r="AQ308" s="314">
        <v>56674</v>
      </c>
      <c r="AR308" s="314">
        <v>-246555</v>
      </c>
      <c r="AS308" s="314">
        <v>65428</v>
      </c>
      <c r="AT308" s="314">
        <v>0</v>
      </c>
      <c r="AU308" s="314">
        <v>-124671</v>
      </c>
      <c r="AV308" s="314">
        <v>889577</v>
      </c>
      <c r="AW308" s="314">
        <v>46957</v>
      </c>
      <c r="AX308" s="314">
        <v>84793</v>
      </c>
      <c r="AY308" s="314">
        <v>13662</v>
      </c>
      <c r="AZ308" s="314">
        <v>11525</v>
      </c>
      <c r="BA308" s="314">
        <v>6804</v>
      </c>
      <c r="BB308" s="314">
        <v>52802</v>
      </c>
      <c r="BC308" s="314">
        <v>136690</v>
      </c>
      <c r="BD308" s="314">
        <v>621137</v>
      </c>
      <c r="BE308" s="314">
        <v>-4503749</v>
      </c>
      <c r="BF308" s="314">
        <v>-4502884</v>
      </c>
      <c r="BG308" s="314">
        <v>-4494131</v>
      </c>
      <c r="BH308" s="314">
        <v>-8753</v>
      </c>
      <c r="BI308" s="314">
        <v>0</v>
      </c>
      <c r="BJ308" s="314">
        <v>-4464344</v>
      </c>
      <c r="BK308" s="314">
        <v>-38540</v>
      </c>
      <c r="BL308" s="314">
        <v>-865</v>
      </c>
      <c r="BM308" s="314">
        <v>0</v>
      </c>
      <c r="BN308" s="314">
        <v>-3614172</v>
      </c>
      <c r="BO308" s="314">
        <v>364547</v>
      </c>
      <c r="BP308" s="314">
        <v>163266</v>
      </c>
      <c r="BQ308" s="314">
        <v>32086</v>
      </c>
      <c r="BR308" s="314">
        <v>60832</v>
      </c>
      <c r="BS308" s="314">
        <v>46489</v>
      </c>
      <c r="BT308" s="314">
        <v>4423</v>
      </c>
      <c r="BU308" s="314">
        <v>934</v>
      </c>
      <c r="BV308" s="314">
        <v>11912</v>
      </c>
      <c r="BW308" s="314">
        <v>29220</v>
      </c>
      <c r="BX308" s="314">
        <v>-4409338</v>
      </c>
      <c r="BY308" s="314">
        <v>127937</v>
      </c>
      <c r="BZ308" s="314">
        <v>9</v>
      </c>
      <c r="CA308" s="314">
        <v>430112</v>
      </c>
      <c r="CB308" s="314">
        <v>-67894</v>
      </c>
      <c r="CC308" s="314">
        <v>-67894</v>
      </c>
      <c r="CD308" s="314">
        <v>0</v>
      </c>
      <c r="CE308" s="314">
        <v>362218</v>
      </c>
      <c r="CF308" s="314">
        <v>333985</v>
      </c>
      <c r="CG308" s="314">
        <v>90</v>
      </c>
      <c r="CH308" s="314">
        <v>28143</v>
      </c>
      <c r="CI308" s="314">
        <v>5187527</v>
      </c>
      <c r="CJ308" s="314">
        <v>1336612</v>
      </c>
      <c r="CK308" s="314">
        <v>3850915</v>
      </c>
      <c r="CL308" s="314">
        <v>3098650</v>
      </c>
      <c r="CM308" s="314">
        <v>309930</v>
      </c>
      <c r="CN308" s="314">
        <v>442335</v>
      </c>
      <c r="CO308" s="314">
        <v>0</v>
      </c>
      <c r="CP308" s="314">
        <v>0</v>
      </c>
      <c r="CQ308" s="314">
        <v>442335</v>
      </c>
      <c r="CR308" s="314">
        <v>-1986793</v>
      </c>
      <c r="CS308" s="314">
        <v>-178225</v>
      </c>
      <c r="CT308" s="314">
        <v>-5084</v>
      </c>
      <c r="CU308" s="314">
        <v>-61533</v>
      </c>
      <c r="CV308" s="314">
        <v>-610</v>
      </c>
      <c r="CW308" s="314">
        <v>-110998</v>
      </c>
      <c r="CX308" s="314">
        <v>-1808568</v>
      </c>
      <c r="CY308" s="314">
        <v>0</v>
      </c>
      <c r="CZ308" s="314">
        <v>-1802805</v>
      </c>
      <c r="DA308" s="314">
        <v>-5763</v>
      </c>
      <c r="DB308" s="314">
        <v>0</v>
      </c>
      <c r="DC308" s="314">
        <v>0</v>
      </c>
      <c r="DD308" s="314">
        <v>3200734</v>
      </c>
      <c r="DE308" s="314">
        <v>124086</v>
      </c>
      <c r="DF308" s="314">
        <v>3076648</v>
      </c>
      <c r="DG308" s="314">
        <v>3009907</v>
      </c>
      <c r="DH308" s="314">
        <v>66741</v>
      </c>
      <c r="DI308" s="314">
        <v>1752637</v>
      </c>
      <c r="DJ308" s="314">
        <v>55590</v>
      </c>
      <c r="DK308" s="314">
        <v>29526</v>
      </c>
      <c r="DL308" s="314">
        <v>1122</v>
      </c>
      <c r="DM308" s="314">
        <v>1016434</v>
      </c>
      <c r="DN308" s="314">
        <v>521635</v>
      </c>
      <c r="DO308" s="314">
        <v>113525</v>
      </c>
      <c r="DP308" s="314"/>
      <c r="DQ308" s="314">
        <v>14756</v>
      </c>
      <c r="DR308" s="314">
        <v>49</v>
      </c>
      <c r="DS308" s="314">
        <v>-16389</v>
      </c>
      <c r="DT308" s="314">
        <v>-5119</v>
      </c>
      <c r="DU308" s="314">
        <v>-165</v>
      </c>
      <c r="DV308" s="314">
        <v>-41</v>
      </c>
      <c r="DW308" s="314">
        <v>-10779</v>
      </c>
      <c r="DX308" s="314">
        <v>-3337</v>
      </c>
      <c r="DY308" s="314">
        <v>-6957</v>
      </c>
      <c r="DZ308" s="314">
        <v>-485</v>
      </c>
      <c r="EA308" s="314">
        <v>-179</v>
      </c>
      <c r="EB308" s="314">
        <v>-2</v>
      </c>
      <c r="EC308" s="314"/>
      <c r="ED308" s="314">
        <v>0</v>
      </c>
      <c r="EE308" s="314">
        <v>-104</v>
      </c>
      <c r="EF308" s="314">
        <v>1736248</v>
      </c>
      <c r="EG308" s="314">
        <v>550023</v>
      </c>
      <c r="EH308" s="314">
        <v>1186225</v>
      </c>
      <c r="EI308" s="314">
        <v>1168371</v>
      </c>
      <c r="EJ308" s="314">
        <v>17854</v>
      </c>
      <c r="EK308" s="314">
        <v>50471</v>
      </c>
      <c r="EL308" s="314">
        <v>8208</v>
      </c>
      <c r="EM308" s="314">
        <v>42263</v>
      </c>
      <c r="EN308" s="314">
        <v>41398</v>
      </c>
      <c r="EO308" s="314">
        <v>865</v>
      </c>
      <c r="EP308" s="314">
        <v>29361</v>
      </c>
      <c r="EQ308" s="314">
        <v>12936</v>
      </c>
      <c r="ER308" s="314">
        <v>16425</v>
      </c>
      <c r="ES308" s="314">
        <v>16105</v>
      </c>
      <c r="ET308" s="314">
        <v>320</v>
      </c>
      <c r="EU308" s="314">
        <v>1081</v>
      </c>
      <c r="EV308" s="314">
        <v>-32</v>
      </c>
      <c r="EW308" s="314">
        <v>1113</v>
      </c>
      <c r="EX308" s="314">
        <v>1089</v>
      </c>
      <c r="EY308" s="314">
        <v>24</v>
      </c>
      <c r="EZ308" s="314">
        <v>1005655</v>
      </c>
      <c r="FA308" s="314">
        <v>308253</v>
      </c>
      <c r="FB308" s="314">
        <v>697402</v>
      </c>
      <c r="FC308" s="314">
        <v>687142</v>
      </c>
      <c r="FD308" s="314">
        <v>10260</v>
      </c>
      <c r="FE308" s="314">
        <v>521456</v>
      </c>
      <c r="FF308" s="314">
        <v>202735</v>
      </c>
      <c r="FG308" s="314">
        <v>318721</v>
      </c>
      <c r="FH308" s="314">
        <v>312336</v>
      </c>
      <c r="FI308" s="314">
        <v>6385</v>
      </c>
      <c r="FJ308" s="314">
        <v>113523</v>
      </c>
      <c r="FK308" s="314">
        <v>3222</v>
      </c>
      <c r="FL308" s="314">
        <v>110301</v>
      </c>
      <c r="FM308" s="314">
        <v>110301</v>
      </c>
      <c r="FN308" s="314"/>
      <c r="FO308" s="314"/>
      <c r="FP308" s="314">
        <v>14756</v>
      </c>
      <c r="FQ308" s="314">
        <v>-55</v>
      </c>
      <c r="FR308" s="314">
        <v>436198</v>
      </c>
      <c r="FS308" s="314">
        <v>-12164</v>
      </c>
      <c r="FT308" s="314">
        <v>424034</v>
      </c>
      <c r="FU308" s="314">
        <v>28223</v>
      </c>
      <c r="FV308" s="314">
        <v>7336</v>
      </c>
      <c r="FW308" s="314">
        <v>20887</v>
      </c>
      <c r="FX308" s="314">
        <v>145162</v>
      </c>
      <c r="FY308" s="314">
        <v>122128</v>
      </c>
      <c r="FZ308" s="314"/>
      <c r="GA308" s="314"/>
      <c r="GB308" s="314">
        <v>22</v>
      </c>
      <c r="GC308" s="314">
        <v>38366</v>
      </c>
      <c r="GD308" s="314">
        <v>188</v>
      </c>
      <c r="GE308" s="314">
        <v>6</v>
      </c>
      <c r="GF308" s="314">
        <v>38172</v>
      </c>
      <c r="GG308" s="314">
        <v>90133</v>
      </c>
      <c r="GH308" s="314">
        <v>14678</v>
      </c>
      <c r="GI308" s="314">
        <v>594</v>
      </c>
      <c r="GJ308" s="314">
        <v>74861</v>
      </c>
      <c r="GL308"/>
      <c r="GM308"/>
      <c r="GN308"/>
      <c r="GO308"/>
    </row>
    <row r="309" spans="1:197">
      <c r="A309" s="98">
        <v>2020</v>
      </c>
      <c r="B309" s="98">
        <v>2</v>
      </c>
      <c r="C309" s="98" t="s">
        <v>218</v>
      </c>
      <c r="D309" s="315">
        <v>24218356</v>
      </c>
      <c r="E309" s="315">
        <v>-2989200</v>
      </c>
      <c r="F309" s="315">
        <v>-15636</v>
      </c>
      <c r="G309" s="315">
        <v>21213520</v>
      </c>
      <c r="H309" s="315">
        <v>13291327</v>
      </c>
      <c r="I309" s="315">
        <v>7922193</v>
      </c>
      <c r="J309" s="315">
        <v>7760989</v>
      </c>
      <c r="K309" s="315">
        <v>161204</v>
      </c>
      <c r="L309" s="315">
        <v>6023809</v>
      </c>
      <c r="M309" s="315">
        <v>4772305</v>
      </c>
      <c r="N309" s="315">
        <v>120904</v>
      </c>
      <c r="O309" s="315">
        <v>0</v>
      </c>
      <c r="P309" s="315">
        <v>120904</v>
      </c>
      <c r="Q309" s="315">
        <v>52321</v>
      </c>
      <c r="R309" s="315">
        <v>1078279</v>
      </c>
      <c r="S309" s="315">
        <v>-224648</v>
      </c>
      <c r="T309" s="315">
        <v>-186589</v>
      </c>
      <c r="U309" s="315">
        <v>-37535</v>
      </c>
      <c r="V309" s="315">
        <v>-5359</v>
      </c>
      <c r="W309" s="315">
        <v>0</v>
      </c>
      <c r="X309" s="315">
        <v>-96191</v>
      </c>
      <c r="Y309" s="315">
        <v>-47504</v>
      </c>
      <c r="Z309" s="315">
        <v>-13584</v>
      </c>
      <c r="AA309" s="315">
        <v>-24475</v>
      </c>
      <c r="AB309" s="315">
        <v>0</v>
      </c>
      <c r="AC309" s="315">
        <v>-15636</v>
      </c>
      <c r="AD309" s="315">
        <v>5783525</v>
      </c>
      <c r="AE309" s="315">
        <v>2124244</v>
      </c>
      <c r="AF309" s="315">
        <v>3659281</v>
      </c>
      <c r="AG309" s="315">
        <v>3582712</v>
      </c>
      <c r="AH309" s="315">
        <v>76569</v>
      </c>
      <c r="AI309" s="315">
        <v>4750096</v>
      </c>
      <c r="AJ309" s="315">
        <v>1732541</v>
      </c>
      <c r="AK309" s="315">
        <v>2821810</v>
      </c>
      <c r="AL309" s="315">
        <v>174946</v>
      </c>
      <c r="AM309" s="315">
        <v>158298</v>
      </c>
      <c r="AN309" s="315">
        <v>65655</v>
      </c>
      <c r="AO309" s="315">
        <v>56972</v>
      </c>
      <c r="AP309" s="315">
        <v>54795</v>
      </c>
      <c r="AQ309" s="315">
        <v>740293</v>
      </c>
      <c r="AR309" s="315">
        <v>-65685</v>
      </c>
      <c r="AS309" s="315">
        <v>38737</v>
      </c>
      <c r="AT309" s="315">
        <v>0</v>
      </c>
      <c r="AU309" s="315">
        <v>-15636</v>
      </c>
      <c r="AV309" s="315">
        <v>383839</v>
      </c>
      <c r="AW309" s="315">
        <v>22353</v>
      </c>
      <c r="AX309" s="315">
        <v>149147</v>
      </c>
      <c r="AY309" s="315">
        <v>51100</v>
      </c>
      <c r="AZ309" s="315">
        <v>26088</v>
      </c>
      <c r="BA309" s="315">
        <v>15283</v>
      </c>
      <c r="BB309" s="315">
        <v>56676</v>
      </c>
      <c r="BC309" s="315">
        <v>102734</v>
      </c>
      <c r="BD309" s="315">
        <v>109605</v>
      </c>
      <c r="BE309" s="315">
        <v>-1081495</v>
      </c>
      <c r="BF309" s="315">
        <v>-1079884</v>
      </c>
      <c r="BG309" s="315">
        <v>-1049915</v>
      </c>
      <c r="BH309" s="315">
        <v>-29969</v>
      </c>
      <c r="BI309" s="315">
        <v>0</v>
      </c>
      <c r="BJ309" s="315">
        <v>-1017602</v>
      </c>
      <c r="BK309" s="315">
        <v>-62282</v>
      </c>
      <c r="BL309" s="315">
        <v>-1611</v>
      </c>
      <c r="BM309" s="315">
        <v>0</v>
      </c>
      <c r="BN309" s="315">
        <v>-697656</v>
      </c>
      <c r="BO309" s="315">
        <v>59318</v>
      </c>
      <c r="BP309" s="315">
        <v>25132</v>
      </c>
      <c r="BQ309" s="315">
        <v>24250</v>
      </c>
      <c r="BR309" s="315">
        <v>0</v>
      </c>
      <c r="BS309" s="315">
        <v>21643</v>
      </c>
      <c r="BT309" s="315">
        <v>605</v>
      </c>
      <c r="BU309" s="315">
        <v>90</v>
      </c>
      <c r="BV309" s="315">
        <v>3941</v>
      </c>
      <c r="BW309" s="315">
        <v>17007</v>
      </c>
      <c r="BX309" s="315">
        <v>-900768</v>
      </c>
      <c r="BY309" s="315">
        <v>72765</v>
      </c>
      <c r="BZ309" s="315">
        <v>4</v>
      </c>
      <c r="CA309" s="315">
        <v>214204</v>
      </c>
      <c r="CB309" s="315">
        <v>-93192</v>
      </c>
      <c r="CC309" s="315">
        <v>-93192</v>
      </c>
      <c r="CD309" s="315">
        <v>0</v>
      </c>
      <c r="CE309" s="315">
        <v>121012</v>
      </c>
      <c r="CF309" s="315">
        <v>181029</v>
      </c>
      <c r="CG309" s="315">
        <v>26</v>
      </c>
      <c r="CH309" s="315">
        <v>-60043</v>
      </c>
      <c r="CI309" s="315">
        <v>14880899</v>
      </c>
      <c r="CJ309" s="315">
        <v>1124403</v>
      </c>
      <c r="CK309" s="315">
        <v>13756496</v>
      </c>
      <c r="CL309" s="315">
        <v>6015710</v>
      </c>
      <c r="CM309" s="315">
        <v>7251349</v>
      </c>
      <c r="CN309" s="315">
        <v>489437</v>
      </c>
      <c r="CO309" s="315">
        <v>0</v>
      </c>
      <c r="CP309" s="315">
        <v>12281</v>
      </c>
      <c r="CQ309" s="315">
        <v>477156</v>
      </c>
      <c r="CR309" s="315">
        <v>-1452203</v>
      </c>
      <c r="CS309" s="315">
        <v>-230720</v>
      </c>
      <c r="CT309" s="315">
        <v>-8284</v>
      </c>
      <c r="CU309" s="315">
        <v>-46333</v>
      </c>
      <c r="CV309" s="315">
        <v>-485</v>
      </c>
      <c r="CW309" s="315">
        <v>-175618</v>
      </c>
      <c r="CX309" s="315">
        <v>-1211094</v>
      </c>
      <c r="CY309" s="315">
        <v>-84</v>
      </c>
      <c r="CZ309" s="315">
        <v>-1207134</v>
      </c>
      <c r="DA309" s="315">
        <v>-3876</v>
      </c>
      <c r="DB309" s="315">
        <v>0</v>
      </c>
      <c r="DC309" s="315">
        <v>-10389</v>
      </c>
      <c r="DD309" s="315">
        <v>13428696</v>
      </c>
      <c r="DE309" s="315">
        <v>10352050</v>
      </c>
      <c r="DF309" s="315">
        <v>3076646</v>
      </c>
      <c r="DG309" s="315">
        <v>3009906</v>
      </c>
      <c r="DH309" s="315">
        <v>66740</v>
      </c>
      <c r="DI309" s="315">
        <v>1863652</v>
      </c>
      <c r="DJ309" s="315">
        <v>103277</v>
      </c>
      <c r="DK309" s="315">
        <v>26471</v>
      </c>
      <c r="DL309" s="315">
        <v>3549</v>
      </c>
      <c r="DM309" s="315">
        <v>992037</v>
      </c>
      <c r="DN309" s="315">
        <v>621023</v>
      </c>
      <c r="DO309" s="315">
        <v>117145</v>
      </c>
      <c r="DP309" s="315"/>
      <c r="DQ309" s="315">
        <v>94</v>
      </c>
      <c r="DR309" s="315">
        <v>56</v>
      </c>
      <c r="DS309" s="315">
        <v>-52673</v>
      </c>
      <c r="DT309" s="315">
        <v>-2916</v>
      </c>
      <c r="DU309" s="315">
        <v>-112</v>
      </c>
      <c r="DV309" s="315">
        <v>-29</v>
      </c>
      <c r="DW309" s="315">
        <v>-49586</v>
      </c>
      <c r="DX309" s="315">
        <v>-2934</v>
      </c>
      <c r="DY309" s="315">
        <v>-45106</v>
      </c>
      <c r="DZ309" s="315">
        <v>-1546</v>
      </c>
      <c r="EA309" s="315">
        <v>-23</v>
      </c>
      <c r="EB309" s="315">
        <v>-4</v>
      </c>
      <c r="EC309" s="315"/>
      <c r="ED309" s="315">
        <v>0</v>
      </c>
      <c r="EE309" s="315">
        <v>-3</v>
      </c>
      <c r="EF309" s="315">
        <v>1810979</v>
      </c>
      <c r="EG309" s="315">
        <v>624713</v>
      </c>
      <c r="EH309" s="315">
        <v>1186266</v>
      </c>
      <c r="EI309" s="315">
        <v>1168371</v>
      </c>
      <c r="EJ309" s="315">
        <v>17895</v>
      </c>
      <c r="EK309" s="315">
        <v>100361</v>
      </c>
      <c r="EL309" s="315">
        <v>58096</v>
      </c>
      <c r="EM309" s="315">
        <v>42265</v>
      </c>
      <c r="EN309" s="315">
        <v>41399</v>
      </c>
      <c r="EO309" s="315">
        <v>866</v>
      </c>
      <c r="EP309" s="315">
        <v>26359</v>
      </c>
      <c r="EQ309" s="315">
        <v>9935</v>
      </c>
      <c r="ER309" s="315">
        <v>16424</v>
      </c>
      <c r="ES309" s="315">
        <v>16104</v>
      </c>
      <c r="ET309" s="315">
        <v>320</v>
      </c>
      <c r="EU309" s="315">
        <v>3520</v>
      </c>
      <c r="EV309" s="315">
        <v>2406</v>
      </c>
      <c r="EW309" s="315">
        <v>1114</v>
      </c>
      <c r="EX309" s="315">
        <v>1090</v>
      </c>
      <c r="EY309" s="315">
        <v>24</v>
      </c>
      <c r="EZ309" s="315">
        <v>942451</v>
      </c>
      <c r="FA309" s="315">
        <v>245048</v>
      </c>
      <c r="FB309" s="315">
        <v>697403</v>
      </c>
      <c r="FC309" s="315">
        <v>687141</v>
      </c>
      <c r="FD309" s="315">
        <v>10262</v>
      </c>
      <c r="FE309" s="315">
        <v>621000</v>
      </c>
      <c r="FF309" s="315">
        <v>302241</v>
      </c>
      <c r="FG309" s="315">
        <v>318759</v>
      </c>
      <c r="FH309" s="315">
        <v>312336</v>
      </c>
      <c r="FI309" s="315">
        <v>6423</v>
      </c>
      <c r="FJ309" s="315">
        <v>117141</v>
      </c>
      <c r="FK309" s="315">
        <v>6840</v>
      </c>
      <c r="FL309" s="315">
        <v>110301</v>
      </c>
      <c r="FM309" s="315">
        <v>110301</v>
      </c>
      <c r="FN309" s="315"/>
      <c r="FO309" s="315"/>
      <c r="FP309" s="315">
        <v>94</v>
      </c>
      <c r="FQ309" s="315">
        <v>53</v>
      </c>
      <c r="FR309" s="315">
        <v>851953</v>
      </c>
      <c r="FS309" s="315">
        <v>-84989</v>
      </c>
      <c r="FT309" s="315">
        <v>766964</v>
      </c>
      <c r="FU309" s="315">
        <v>295672</v>
      </c>
      <c r="FV309" s="315">
        <v>295058</v>
      </c>
      <c r="FW309" s="315">
        <v>614</v>
      </c>
      <c r="FX309" s="315">
        <v>165110</v>
      </c>
      <c r="FY309" s="315">
        <v>157412</v>
      </c>
      <c r="FZ309" s="315"/>
      <c r="GA309" s="315"/>
      <c r="GB309" s="315">
        <v>16101</v>
      </c>
      <c r="GC309" s="315">
        <v>38817</v>
      </c>
      <c r="GD309" s="315">
        <v>-60349</v>
      </c>
      <c r="GE309" s="315">
        <v>0</v>
      </c>
      <c r="GF309" s="315">
        <v>99166</v>
      </c>
      <c r="GG309" s="315">
        <v>93852</v>
      </c>
      <c r="GH309" s="315">
        <v>4396</v>
      </c>
      <c r="GI309" s="315">
        <v>608</v>
      </c>
      <c r="GJ309" s="315">
        <v>88848</v>
      </c>
      <c r="GL309"/>
      <c r="GM309"/>
      <c r="GN309"/>
      <c r="GO309"/>
    </row>
    <row r="310" spans="1:197">
      <c r="A310" s="98">
        <v>2020</v>
      </c>
      <c r="B310" s="98">
        <v>3</v>
      </c>
      <c r="C310" s="98" t="s">
        <v>219</v>
      </c>
      <c r="D310" s="315">
        <v>13621227</v>
      </c>
      <c r="E310" s="315">
        <v>-2587097</v>
      </c>
      <c r="F310" s="315">
        <v>-15636</v>
      </c>
      <c r="G310" s="315">
        <v>11018494</v>
      </c>
      <c r="H310" s="315">
        <v>1887978</v>
      </c>
      <c r="I310" s="315">
        <v>9130516</v>
      </c>
      <c r="J310" s="315">
        <v>8969316</v>
      </c>
      <c r="K310" s="315">
        <v>161200</v>
      </c>
      <c r="L310" s="315">
        <v>5382853</v>
      </c>
      <c r="M310" s="315">
        <v>5013659</v>
      </c>
      <c r="N310" s="315">
        <v>92423</v>
      </c>
      <c r="O310" s="315">
        <v>0</v>
      </c>
      <c r="P310" s="315">
        <v>92423</v>
      </c>
      <c r="Q310" s="315">
        <v>47876</v>
      </c>
      <c r="R310" s="315">
        <v>228895</v>
      </c>
      <c r="S310" s="315">
        <v>-252752</v>
      </c>
      <c r="T310" s="315">
        <v>-225293</v>
      </c>
      <c r="U310" s="315">
        <v>-108982</v>
      </c>
      <c r="V310" s="315">
        <v>-936</v>
      </c>
      <c r="W310" s="315">
        <v>0</v>
      </c>
      <c r="X310" s="315">
        <v>-67739</v>
      </c>
      <c r="Y310" s="315">
        <v>-47636</v>
      </c>
      <c r="Z310" s="315">
        <v>-13122</v>
      </c>
      <c r="AA310" s="315">
        <v>-6541</v>
      </c>
      <c r="AB310" s="315">
        <v>-7796</v>
      </c>
      <c r="AC310" s="315">
        <v>-15636</v>
      </c>
      <c r="AD310" s="315">
        <v>5114465</v>
      </c>
      <c r="AE310" s="315">
        <v>538148</v>
      </c>
      <c r="AF310" s="315">
        <v>4576317</v>
      </c>
      <c r="AG310" s="315">
        <v>4499749</v>
      </c>
      <c r="AH310" s="315">
        <v>76568</v>
      </c>
      <c r="AI310" s="315">
        <v>5008436</v>
      </c>
      <c r="AJ310" s="315">
        <v>1781936</v>
      </c>
      <c r="AK310" s="315">
        <v>3180666</v>
      </c>
      <c r="AL310" s="315">
        <v>22606</v>
      </c>
      <c r="AM310" s="315">
        <v>82261</v>
      </c>
      <c r="AN310" s="315">
        <v>41850</v>
      </c>
      <c r="AO310" s="315">
        <v>54405</v>
      </c>
      <c r="AP310" s="315">
        <v>28913</v>
      </c>
      <c r="AQ310" s="315">
        <v>12352</v>
      </c>
      <c r="AR310" s="315">
        <v>-132870</v>
      </c>
      <c r="AS310" s="315">
        <v>34754</v>
      </c>
      <c r="AT310" s="315">
        <v>0</v>
      </c>
      <c r="AU310" s="315">
        <v>-15636</v>
      </c>
      <c r="AV310" s="315">
        <v>249625</v>
      </c>
      <c r="AW310" s="315">
        <v>12928</v>
      </c>
      <c r="AX310" s="315">
        <v>73804</v>
      </c>
      <c r="AY310" s="315">
        <v>17762</v>
      </c>
      <c r="AZ310" s="315">
        <v>2825</v>
      </c>
      <c r="BA310" s="315">
        <v>17899</v>
      </c>
      <c r="BB310" s="315">
        <v>35318</v>
      </c>
      <c r="BC310" s="315">
        <v>70378</v>
      </c>
      <c r="BD310" s="315">
        <v>92515</v>
      </c>
      <c r="BE310" s="315">
        <v>-197839</v>
      </c>
      <c r="BF310" s="315">
        <v>-177228</v>
      </c>
      <c r="BG310" s="315">
        <v>-163034</v>
      </c>
      <c r="BH310" s="315">
        <v>-14194</v>
      </c>
      <c r="BI310" s="315">
        <v>0</v>
      </c>
      <c r="BJ310" s="315">
        <v>-147376</v>
      </c>
      <c r="BK310" s="315">
        <v>-29852</v>
      </c>
      <c r="BL310" s="315">
        <v>-20611</v>
      </c>
      <c r="BM310" s="315">
        <v>0</v>
      </c>
      <c r="BN310" s="315">
        <v>51786</v>
      </c>
      <c r="BO310" s="315">
        <v>37940</v>
      </c>
      <c r="BP310" s="315">
        <v>15716</v>
      </c>
      <c r="BQ310" s="315">
        <v>23144</v>
      </c>
      <c r="BR310" s="315">
        <v>15202</v>
      </c>
      <c r="BS310" s="315">
        <v>-7259</v>
      </c>
      <c r="BT310" s="315">
        <v>1208</v>
      </c>
      <c r="BU310" s="315">
        <v>36</v>
      </c>
      <c r="BV310" s="315">
        <v>3428</v>
      </c>
      <c r="BW310" s="315">
        <v>-11931</v>
      </c>
      <c r="BX310" s="315">
        <v>-89230</v>
      </c>
      <c r="BY310" s="315">
        <v>56184</v>
      </c>
      <c r="BZ310" s="315">
        <v>89</v>
      </c>
      <c r="CA310" s="315">
        <v>114940</v>
      </c>
      <c r="CB310" s="315">
        <v>-45916</v>
      </c>
      <c r="CC310" s="315">
        <v>-45916</v>
      </c>
      <c r="CD310" s="315">
        <v>0</v>
      </c>
      <c r="CE310" s="315">
        <v>69024</v>
      </c>
      <c r="CF310" s="315">
        <v>92917</v>
      </c>
      <c r="CG310" s="315">
        <v>-89</v>
      </c>
      <c r="CH310" s="315">
        <v>-23804</v>
      </c>
      <c r="CI310" s="315">
        <v>5757661</v>
      </c>
      <c r="CJ310" s="315">
        <v>1467806</v>
      </c>
      <c r="CK310" s="315">
        <v>4289855</v>
      </c>
      <c r="CL310" s="315">
        <v>3867219</v>
      </c>
      <c r="CM310" s="315">
        <v>93016</v>
      </c>
      <c r="CN310" s="315">
        <v>329620</v>
      </c>
      <c r="CO310" s="315">
        <v>0</v>
      </c>
      <c r="CP310" s="315">
        <v>23424</v>
      </c>
      <c r="CQ310" s="315">
        <v>306196</v>
      </c>
      <c r="CR310" s="315">
        <v>-1926014</v>
      </c>
      <c r="CS310" s="315">
        <v>-196365</v>
      </c>
      <c r="CT310" s="315">
        <v>-78486</v>
      </c>
      <c r="CU310" s="315">
        <v>-25267</v>
      </c>
      <c r="CV310" s="315">
        <v>-1411</v>
      </c>
      <c r="CW310" s="315">
        <v>-91201</v>
      </c>
      <c r="CX310" s="315">
        <v>-1417552</v>
      </c>
      <c r="CY310" s="315">
        <v>-70848</v>
      </c>
      <c r="CZ310" s="315">
        <v>-1343403</v>
      </c>
      <c r="DA310" s="315">
        <v>-3301</v>
      </c>
      <c r="DB310" s="315">
        <v>0</v>
      </c>
      <c r="DC310" s="315">
        <v>-312097</v>
      </c>
      <c r="DD310" s="315">
        <v>3831647</v>
      </c>
      <c r="DE310" s="315">
        <v>441644</v>
      </c>
      <c r="DF310" s="315">
        <v>3390003</v>
      </c>
      <c r="DG310" s="315">
        <v>3323262</v>
      </c>
      <c r="DH310" s="315">
        <v>66741</v>
      </c>
      <c r="DI310" s="315">
        <v>1661101</v>
      </c>
      <c r="DJ310" s="315">
        <v>83033</v>
      </c>
      <c r="DK310" s="315">
        <v>27059</v>
      </c>
      <c r="DL310" s="315">
        <v>1769</v>
      </c>
      <c r="DM310" s="315">
        <v>967003</v>
      </c>
      <c r="DN310" s="315">
        <v>470750</v>
      </c>
      <c r="DO310" s="315">
        <v>111440</v>
      </c>
      <c r="DP310" s="315"/>
      <c r="DQ310" s="315">
        <v>0</v>
      </c>
      <c r="DR310" s="315">
        <v>47</v>
      </c>
      <c r="DS310" s="315">
        <v>-28469</v>
      </c>
      <c r="DT310" s="315">
        <v>-1715</v>
      </c>
      <c r="DU310" s="315">
        <v>-673</v>
      </c>
      <c r="DV310" s="315">
        <v>-7</v>
      </c>
      <c r="DW310" s="315">
        <v>-21983</v>
      </c>
      <c r="DX310" s="315">
        <v>-1619</v>
      </c>
      <c r="DY310" s="315">
        <v>-11110</v>
      </c>
      <c r="DZ310" s="315">
        <v>-9254</v>
      </c>
      <c r="EA310" s="315">
        <v>-3633</v>
      </c>
      <c r="EB310" s="315">
        <v>0</v>
      </c>
      <c r="EC310" s="315"/>
      <c r="ED310" s="315">
        <v>0</v>
      </c>
      <c r="EE310" s="315">
        <v>-458</v>
      </c>
      <c r="EF310" s="315">
        <v>1632632</v>
      </c>
      <c r="EG310" s="315">
        <v>468436</v>
      </c>
      <c r="EH310" s="315">
        <v>1164196</v>
      </c>
      <c r="EI310" s="315">
        <v>1146305</v>
      </c>
      <c r="EJ310" s="315">
        <v>17891</v>
      </c>
      <c r="EK310" s="315">
        <v>81318</v>
      </c>
      <c r="EL310" s="315">
        <v>55823</v>
      </c>
      <c r="EM310" s="315">
        <v>25495</v>
      </c>
      <c r="EN310" s="315">
        <v>24631</v>
      </c>
      <c r="EO310" s="315">
        <v>864</v>
      </c>
      <c r="EP310" s="315">
        <v>26386</v>
      </c>
      <c r="EQ310" s="315">
        <v>8826</v>
      </c>
      <c r="ER310" s="315">
        <v>17560</v>
      </c>
      <c r="ES310" s="315">
        <v>17242</v>
      </c>
      <c r="ET310" s="315">
        <v>318</v>
      </c>
      <c r="EU310" s="315">
        <v>1762</v>
      </c>
      <c r="EV310" s="315">
        <v>931</v>
      </c>
      <c r="EW310" s="315">
        <v>831</v>
      </c>
      <c r="EX310" s="315">
        <v>805</v>
      </c>
      <c r="EY310" s="315">
        <v>26</v>
      </c>
      <c r="EZ310" s="315">
        <v>945020</v>
      </c>
      <c r="FA310" s="315">
        <v>261507</v>
      </c>
      <c r="FB310" s="315">
        <v>683513</v>
      </c>
      <c r="FC310" s="315">
        <v>673255</v>
      </c>
      <c r="FD310" s="315">
        <v>10258</v>
      </c>
      <c r="FE310" s="315">
        <v>467117</v>
      </c>
      <c r="FF310" s="315">
        <v>166545</v>
      </c>
      <c r="FG310" s="315">
        <v>300572</v>
      </c>
      <c r="FH310" s="315">
        <v>294147</v>
      </c>
      <c r="FI310" s="315">
        <v>6425</v>
      </c>
      <c r="FJ310" s="315">
        <v>111440</v>
      </c>
      <c r="FK310" s="315">
        <v>-24785</v>
      </c>
      <c r="FL310" s="315">
        <v>136225</v>
      </c>
      <c r="FM310" s="315">
        <v>136225</v>
      </c>
      <c r="FN310" s="315"/>
      <c r="FO310" s="315"/>
      <c r="FP310" s="315">
        <v>0</v>
      </c>
      <c r="FQ310" s="315">
        <v>-411</v>
      </c>
      <c r="FR310" s="315">
        <v>455047</v>
      </c>
      <c r="FS310" s="315">
        <v>-136107</v>
      </c>
      <c r="FT310" s="315">
        <v>318940</v>
      </c>
      <c r="FU310" s="315">
        <v>2021</v>
      </c>
      <c r="FV310" s="315">
        <v>1766</v>
      </c>
      <c r="FW310" s="315">
        <v>255</v>
      </c>
      <c r="FX310" s="315">
        <v>154860</v>
      </c>
      <c r="FY310" s="315">
        <v>131726</v>
      </c>
      <c r="FZ310" s="315"/>
      <c r="GA310" s="315"/>
      <c r="GB310" s="315">
        <v>95</v>
      </c>
      <c r="GC310" s="315">
        <v>-28476</v>
      </c>
      <c r="GD310" s="315">
        <v>-58273</v>
      </c>
      <c r="GE310" s="315">
        <v>10</v>
      </c>
      <c r="GF310" s="315">
        <v>29787</v>
      </c>
      <c r="GG310" s="315">
        <v>58714</v>
      </c>
      <c r="GH310" s="315">
        <v>3602</v>
      </c>
      <c r="GI310" s="315">
        <v>386</v>
      </c>
      <c r="GJ310" s="315">
        <v>54726</v>
      </c>
      <c r="GL310"/>
      <c r="GM310"/>
      <c r="GN310"/>
      <c r="GO310"/>
    </row>
    <row r="311" spans="1:197">
      <c r="A311" s="98">
        <v>2020</v>
      </c>
      <c r="B311" s="98">
        <v>4</v>
      </c>
      <c r="C311" s="98" t="s">
        <v>220</v>
      </c>
      <c r="D311" s="99">
        <v>22459456</v>
      </c>
      <c r="E311" s="99">
        <v>-8230904</v>
      </c>
      <c r="F311" s="99">
        <v>-15636</v>
      </c>
      <c r="G311" s="99">
        <v>14212916</v>
      </c>
      <c r="H311" s="99">
        <v>5082405</v>
      </c>
      <c r="I311" s="99">
        <v>9130511</v>
      </c>
      <c r="J311" s="99">
        <v>8969314</v>
      </c>
      <c r="K311" s="99">
        <v>161197</v>
      </c>
      <c r="L311" s="99">
        <v>7786529</v>
      </c>
      <c r="M311" s="99">
        <v>7233294</v>
      </c>
      <c r="N311" s="99">
        <v>39616</v>
      </c>
      <c r="O311" s="99">
        <v>0</v>
      </c>
      <c r="P311" s="99">
        <v>39616</v>
      </c>
      <c r="Q311" s="99">
        <v>26458</v>
      </c>
      <c r="R311" s="99">
        <v>487161</v>
      </c>
      <c r="S311" s="99">
        <v>-2427614</v>
      </c>
      <c r="T311" s="99">
        <v>-2414023</v>
      </c>
      <c r="U311" s="99">
        <v>-86352</v>
      </c>
      <c r="V311" s="99">
        <v>-305</v>
      </c>
      <c r="W311" s="99">
        <v>-2254043</v>
      </c>
      <c r="X311" s="99">
        <v>0</v>
      </c>
      <c r="Y311" s="99">
        <v>-73323</v>
      </c>
      <c r="Z311" s="99">
        <v>-5323</v>
      </c>
      <c r="AA311" s="99">
        <v>-5881</v>
      </c>
      <c r="AB311" s="99">
        <v>-2387</v>
      </c>
      <c r="AC311" s="99">
        <v>-15636</v>
      </c>
      <c r="AD311" s="99">
        <v>5343279</v>
      </c>
      <c r="AE311" s="99">
        <v>766965</v>
      </c>
      <c r="AF311" s="99">
        <v>4576314</v>
      </c>
      <c r="AG311" s="99">
        <v>4499748</v>
      </c>
      <c r="AH311" s="99">
        <v>76566</v>
      </c>
      <c r="AI311" s="99">
        <v>7229527</v>
      </c>
      <c r="AJ311" s="99">
        <v>1795603</v>
      </c>
      <c r="AK311" s="99">
        <v>3238647</v>
      </c>
      <c r="AL311" s="99">
        <v>2159155</v>
      </c>
      <c r="AM311" s="99">
        <v>162733</v>
      </c>
      <c r="AN311" s="99">
        <v>121868</v>
      </c>
      <c r="AO311" s="99">
        <v>55965</v>
      </c>
      <c r="AP311" s="99">
        <v>11073</v>
      </c>
      <c r="AQ311" s="99">
        <v>131021</v>
      </c>
      <c r="AR311" s="99">
        <v>-2374407</v>
      </c>
      <c r="AS311" s="99">
        <v>21135</v>
      </c>
      <c r="AT311" s="99">
        <v>0</v>
      </c>
      <c r="AU311" s="99">
        <v>-15636</v>
      </c>
      <c r="AV311" s="99">
        <v>4296778</v>
      </c>
      <c r="AW311" s="99">
        <v>4034101</v>
      </c>
      <c r="AX311" s="99">
        <v>84901</v>
      </c>
      <c r="AY311" s="99">
        <v>25057</v>
      </c>
      <c r="AZ311" s="99">
        <v>39016</v>
      </c>
      <c r="BA311" s="99">
        <v>15362</v>
      </c>
      <c r="BB311" s="99">
        <v>5466</v>
      </c>
      <c r="BC311" s="99">
        <v>33621</v>
      </c>
      <c r="BD311" s="99">
        <v>144155</v>
      </c>
      <c r="BE311" s="99">
        <v>-2725249</v>
      </c>
      <c r="BF311" s="99">
        <v>-2723178</v>
      </c>
      <c r="BG311" s="99">
        <v>-2707599</v>
      </c>
      <c r="BH311" s="99">
        <v>-15579</v>
      </c>
      <c r="BI311" s="99">
        <v>0</v>
      </c>
      <c r="BJ311" s="99">
        <v>-2681300</v>
      </c>
      <c r="BK311" s="99">
        <v>-41878</v>
      </c>
      <c r="BL311" s="99">
        <v>-2071</v>
      </c>
      <c r="BM311" s="99">
        <v>0</v>
      </c>
      <c r="BN311" s="99">
        <v>1571529</v>
      </c>
      <c r="BO311" s="99">
        <v>68852</v>
      </c>
      <c r="BP311" s="99">
        <v>49976</v>
      </c>
      <c r="BQ311" s="99">
        <v>23828</v>
      </c>
      <c r="BR311" s="99">
        <v>115</v>
      </c>
      <c r="BS311" s="99">
        <v>4033413</v>
      </c>
      <c r="BT311" s="99">
        <v>1583765</v>
      </c>
      <c r="BU311" s="99">
        <v>1917506</v>
      </c>
      <c r="BV311" s="99">
        <v>520563</v>
      </c>
      <c r="BW311" s="99">
        <v>11579</v>
      </c>
      <c r="BX311" s="99">
        <v>-2622698</v>
      </c>
      <c r="BY311" s="99">
        <v>18042</v>
      </c>
      <c r="BZ311" s="99">
        <v>1</v>
      </c>
      <c r="CA311" s="99">
        <v>178018</v>
      </c>
      <c r="CB311" s="99">
        <v>-57492</v>
      </c>
      <c r="CC311" s="99">
        <v>-57492</v>
      </c>
      <c r="CD311" s="99">
        <v>0</v>
      </c>
      <c r="CE311" s="99">
        <v>120526</v>
      </c>
      <c r="CF311" s="99">
        <v>147122</v>
      </c>
      <c r="CG311" s="99">
        <v>12700</v>
      </c>
      <c r="CH311" s="99">
        <v>-39296</v>
      </c>
      <c r="CI311" s="99">
        <v>7703062</v>
      </c>
      <c r="CJ311" s="99">
        <v>1296452</v>
      </c>
      <c r="CK311" s="99">
        <v>6406610</v>
      </c>
      <c r="CL311" s="99">
        <v>3329438</v>
      </c>
      <c r="CM311" s="99">
        <v>2953068</v>
      </c>
      <c r="CN311" s="99">
        <v>124104</v>
      </c>
      <c r="CO311" s="99">
        <v>22166</v>
      </c>
      <c r="CP311" s="99">
        <v>0</v>
      </c>
      <c r="CQ311" s="99">
        <v>101938</v>
      </c>
      <c r="CR311" s="99">
        <v>-2907333</v>
      </c>
      <c r="CS311" s="99">
        <v>-572209</v>
      </c>
      <c r="CT311" s="99">
        <v>-493608</v>
      </c>
      <c r="CU311" s="99">
        <v>-12821</v>
      </c>
      <c r="CV311" s="99">
        <v>-110</v>
      </c>
      <c r="CW311" s="99">
        <v>-65670</v>
      </c>
      <c r="CX311" s="99">
        <v>-1880077</v>
      </c>
      <c r="CY311" s="99">
        <v>-685178</v>
      </c>
      <c r="CZ311" s="99">
        <v>-1192277</v>
      </c>
      <c r="DA311" s="99">
        <v>-2622</v>
      </c>
      <c r="DB311" s="99">
        <v>-455047</v>
      </c>
      <c r="DC311" s="99">
        <v>0</v>
      </c>
      <c r="DD311" s="99">
        <v>4795729</v>
      </c>
      <c r="DE311" s="99">
        <v>1405727</v>
      </c>
      <c r="DF311" s="99">
        <v>3390002</v>
      </c>
      <c r="DG311" s="99">
        <v>3323262</v>
      </c>
      <c r="DH311" s="99">
        <v>66740</v>
      </c>
      <c r="DI311" s="99">
        <v>1796679</v>
      </c>
      <c r="DJ311" s="99">
        <v>33567</v>
      </c>
      <c r="DK311" s="99">
        <v>24674</v>
      </c>
      <c r="DL311" s="99">
        <v>801</v>
      </c>
      <c r="DM311" s="99">
        <v>1078252</v>
      </c>
      <c r="DN311" s="99">
        <v>539714</v>
      </c>
      <c r="DO311" s="99">
        <v>106798</v>
      </c>
      <c r="DP311" s="99"/>
      <c r="DQ311" s="99">
        <v>12872</v>
      </c>
      <c r="DR311" s="99">
        <v>1</v>
      </c>
      <c r="DS311" s="99">
        <v>-98288</v>
      </c>
      <c r="DT311" s="99">
        <v>-47683</v>
      </c>
      <c r="DU311" s="99">
        <v>-15197</v>
      </c>
      <c r="DV311" s="99">
        <v>-26</v>
      </c>
      <c r="DW311" s="99">
        <v>-12908</v>
      </c>
      <c r="DX311" s="99">
        <v>-6166</v>
      </c>
      <c r="DY311" s="99">
        <v>-4911</v>
      </c>
      <c r="DZ311" s="99">
        <v>-1831</v>
      </c>
      <c r="EA311" s="99">
        <v>-22393</v>
      </c>
      <c r="EB311" s="99">
        <v>-72</v>
      </c>
      <c r="EC311" s="99"/>
      <c r="ED311" s="99">
        <v>-1</v>
      </c>
      <c r="EE311" s="99">
        <v>-8</v>
      </c>
      <c r="EF311" s="99">
        <v>1698391</v>
      </c>
      <c r="EG311" s="99">
        <v>534196</v>
      </c>
      <c r="EH311" s="99">
        <v>1164195</v>
      </c>
      <c r="EI311" s="99">
        <v>1146304</v>
      </c>
      <c r="EJ311" s="99">
        <v>17891</v>
      </c>
      <c r="EK311" s="99">
        <v>-14116</v>
      </c>
      <c r="EL311" s="99">
        <v>-39611</v>
      </c>
      <c r="EM311" s="99">
        <v>25495</v>
      </c>
      <c r="EN311" s="99">
        <v>24630</v>
      </c>
      <c r="EO311" s="99">
        <v>865</v>
      </c>
      <c r="EP311" s="99">
        <v>9477</v>
      </c>
      <c r="EQ311" s="99">
        <v>-8082</v>
      </c>
      <c r="ER311" s="99">
        <v>17559</v>
      </c>
      <c r="ES311" s="99">
        <v>17241</v>
      </c>
      <c r="ET311" s="99">
        <v>318</v>
      </c>
      <c r="EU311" s="99">
        <v>775</v>
      </c>
      <c r="EV311" s="99">
        <v>-54</v>
      </c>
      <c r="EW311" s="99">
        <v>829</v>
      </c>
      <c r="EX311" s="99">
        <v>805</v>
      </c>
      <c r="EY311" s="99">
        <v>24</v>
      </c>
      <c r="EZ311" s="99">
        <v>1065344</v>
      </c>
      <c r="FA311" s="99">
        <v>381827</v>
      </c>
      <c r="FB311" s="99">
        <v>683517</v>
      </c>
      <c r="FC311" s="99">
        <v>673256</v>
      </c>
      <c r="FD311" s="99">
        <v>10261</v>
      </c>
      <c r="FE311" s="99">
        <v>517321</v>
      </c>
      <c r="FF311" s="99">
        <v>216751</v>
      </c>
      <c r="FG311" s="99">
        <v>300570</v>
      </c>
      <c r="FH311" s="99">
        <v>294147</v>
      </c>
      <c r="FI311" s="99">
        <v>6423</v>
      </c>
      <c r="FJ311" s="99">
        <v>106726</v>
      </c>
      <c r="FK311" s="99">
        <v>-29499</v>
      </c>
      <c r="FL311" s="99">
        <v>136225</v>
      </c>
      <c r="FM311" s="99">
        <v>136225</v>
      </c>
      <c r="FN311" s="99"/>
      <c r="FO311" s="99"/>
      <c r="FP311" s="99">
        <v>12871</v>
      </c>
      <c r="FQ311" s="99">
        <v>-7</v>
      </c>
      <c r="FR311" s="99">
        <v>698390</v>
      </c>
      <c r="FS311" s="99">
        <v>-14928</v>
      </c>
      <c r="FT311" s="99">
        <v>683462</v>
      </c>
      <c r="FU311" s="99">
        <v>2634</v>
      </c>
      <c r="FV311" s="99">
        <v>2701</v>
      </c>
      <c r="FW311" s="99">
        <v>-67</v>
      </c>
      <c r="FX311" s="99">
        <v>124060</v>
      </c>
      <c r="FY311" s="99">
        <v>130356</v>
      </c>
      <c r="FZ311" s="99"/>
      <c r="GA311" s="99"/>
      <c r="GB311" s="99">
        <v>44</v>
      </c>
      <c r="GC311" s="99">
        <v>378733</v>
      </c>
      <c r="GD311" s="99">
        <v>313708</v>
      </c>
      <c r="GE311" s="99">
        <v>132</v>
      </c>
      <c r="GF311" s="99">
        <v>64893</v>
      </c>
      <c r="GG311" s="99">
        <v>47635</v>
      </c>
      <c r="GH311" s="99">
        <v>-3913</v>
      </c>
      <c r="GI311" s="99">
        <v>370</v>
      </c>
      <c r="GJ311" s="99">
        <v>51178</v>
      </c>
      <c r="GL311"/>
      <c r="GM311"/>
      <c r="GN311"/>
      <c r="GO311"/>
    </row>
    <row r="312" spans="1:197">
      <c r="A312" s="98">
        <v>2020</v>
      </c>
      <c r="B312" s="98">
        <v>5</v>
      </c>
      <c r="C312" s="98" t="s">
        <v>221</v>
      </c>
      <c r="D312" s="99">
        <v>15952263</v>
      </c>
      <c r="E312" s="99">
        <v>-5454880</v>
      </c>
      <c r="F312" s="99">
        <v>-15636</v>
      </c>
      <c r="G312" s="99">
        <v>10481747</v>
      </c>
      <c r="H312" s="99">
        <v>2559550</v>
      </c>
      <c r="I312" s="99">
        <v>7922197</v>
      </c>
      <c r="J312" s="99">
        <v>7760990</v>
      </c>
      <c r="K312" s="99">
        <v>161207</v>
      </c>
      <c r="L312" s="99">
        <v>6639830</v>
      </c>
      <c r="M312" s="99">
        <v>5668651</v>
      </c>
      <c r="N312" s="99">
        <v>78884</v>
      </c>
      <c r="O312" s="99">
        <v>56426</v>
      </c>
      <c r="P312" s="99">
        <v>22458</v>
      </c>
      <c r="Q312" s="99">
        <v>35315</v>
      </c>
      <c r="R312" s="99">
        <v>856980</v>
      </c>
      <c r="S312" s="99">
        <v>-2377656</v>
      </c>
      <c r="T312" s="99">
        <v>-2365735</v>
      </c>
      <c r="U312" s="99">
        <v>-74654</v>
      </c>
      <c r="V312" s="99">
        <v>-66</v>
      </c>
      <c r="W312" s="99">
        <v>-2247411</v>
      </c>
      <c r="X312" s="99">
        <v>0</v>
      </c>
      <c r="Y312" s="99">
        <v>-43604</v>
      </c>
      <c r="Z312" s="99">
        <v>-4467</v>
      </c>
      <c r="AA312" s="99">
        <v>-7454</v>
      </c>
      <c r="AB312" s="99">
        <v>0</v>
      </c>
      <c r="AC312" s="99">
        <v>-15636</v>
      </c>
      <c r="AD312" s="99">
        <v>4246538</v>
      </c>
      <c r="AE312" s="99">
        <v>587256</v>
      </c>
      <c r="AF312" s="99">
        <v>3659282</v>
      </c>
      <c r="AG312" s="99">
        <v>3582713</v>
      </c>
      <c r="AH312" s="99">
        <v>76569</v>
      </c>
      <c r="AI312" s="99">
        <v>5662118</v>
      </c>
      <c r="AJ312" s="99">
        <v>1790028</v>
      </c>
      <c r="AK312" s="99">
        <v>2691887</v>
      </c>
      <c r="AL312" s="99">
        <v>1140485</v>
      </c>
      <c r="AM312" s="99">
        <v>247448</v>
      </c>
      <c r="AN312" s="99">
        <v>177643</v>
      </c>
      <c r="AO312" s="99">
        <v>25271</v>
      </c>
      <c r="AP312" s="99">
        <v>605</v>
      </c>
      <c r="AQ312" s="99">
        <v>405092</v>
      </c>
      <c r="AR312" s="99">
        <v>-2286851</v>
      </c>
      <c r="AS312" s="99">
        <v>30848</v>
      </c>
      <c r="AT312" s="99">
        <v>0</v>
      </c>
      <c r="AU312" s="99">
        <v>-15636</v>
      </c>
      <c r="AV312" s="99">
        <v>590010</v>
      </c>
      <c r="AW312" s="99">
        <v>341733</v>
      </c>
      <c r="AX312" s="99">
        <v>40254</v>
      </c>
      <c r="AY312" s="99">
        <v>10566</v>
      </c>
      <c r="AZ312" s="99">
        <v>4346</v>
      </c>
      <c r="BA312" s="99">
        <v>17214</v>
      </c>
      <c r="BB312" s="99">
        <v>8128</v>
      </c>
      <c r="BC312" s="99">
        <v>25481</v>
      </c>
      <c r="BD312" s="99">
        <v>182542</v>
      </c>
      <c r="BE312" s="99">
        <v>-58454</v>
      </c>
      <c r="BF312" s="99">
        <v>-55081</v>
      </c>
      <c r="BG312" s="99">
        <v>-51967</v>
      </c>
      <c r="BH312" s="99">
        <v>-3114</v>
      </c>
      <c r="BI312" s="99">
        <v>0</v>
      </c>
      <c r="BJ312" s="99">
        <v>-34283</v>
      </c>
      <c r="BK312" s="99">
        <v>-20798</v>
      </c>
      <c r="BL312" s="99">
        <v>-3373</v>
      </c>
      <c r="BM312" s="99">
        <v>0</v>
      </c>
      <c r="BN312" s="99">
        <v>531556</v>
      </c>
      <c r="BO312" s="99">
        <v>98557</v>
      </c>
      <c r="BP312" s="99">
        <v>72852</v>
      </c>
      <c r="BQ312" s="99">
        <v>10754</v>
      </c>
      <c r="BR312" s="99">
        <v>0</v>
      </c>
      <c r="BS312" s="99">
        <v>338736</v>
      </c>
      <c r="BT312" s="99">
        <v>62045</v>
      </c>
      <c r="BU312" s="99">
        <v>9624</v>
      </c>
      <c r="BV312" s="99">
        <v>263652</v>
      </c>
      <c r="BW312" s="99">
        <v>3415</v>
      </c>
      <c r="BX312" s="99">
        <v>-11713</v>
      </c>
      <c r="BY312" s="99">
        <v>22367</v>
      </c>
      <c r="BZ312" s="99">
        <v>3</v>
      </c>
      <c r="CA312" s="99">
        <v>207092</v>
      </c>
      <c r="CB312" s="99">
        <v>-72481</v>
      </c>
      <c r="CC312" s="99">
        <v>-72481</v>
      </c>
      <c r="CD312" s="99">
        <v>0</v>
      </c>
      <c r="CE312" s="99">
        <v>134611</v>
      </c>
      <c r="CF312" s="99">
        <v>176327</v>
      </c>
      <c r="CG312" s="99">
        <v>1946</v>
      </c>
      <c r="CH312" s="99">
        <v>-43662</v>
      </c>
      <c r="CI312" s="99">
        <v>6826926</v>
      </c>
      <c r="CJ312" s="99">
        <v>1113460</v>
      </c>
      <c r="CK312" s="99">
        <v>5713466</v>
      </c>
      <c r="CL312" s="99">
        <v>3250865</v>
      </c>
      <c r="CM312" s="99">
        <v>2310992</v>
      </c>
      <c r="CN312" s="99">
        <v>151609</v>
      </c>
      <c r="CO312" s="99">
        <v>0</v>
      </c>
      <c r="CP312" s="99">
        <v>0</v>
      </c>
      <c r="CQ312" s="99">
        <v>151609</v>
      </c>
      <c r="CR312" s="99">
        <v>-2791541</v>
      </c>
      <c r="CS312" s="99">
        <v>-1238340</v>
      </c>
      <c r="CT312" s="99">
        <v>-1176869</v>
      </c>
      <c r="CU312" s="99">
        <v>-9118</v>
      </c>
      <c r="CV312" s="99">
        <v>-434</v>
      </c>
      <c r="CW312" s="99">
        <v>-51919</v>
      </c>
      <c r="CX312" s="99">
        <v>-1553201</v>
      </c>
      <c r="CY312" s="99">
        <v>-1103285</v>
      </c>
      <c r="CZ312" s="99">
        <v>-449254</v>
      </c>
      <c r="DA312" s="99">
        <v>-662</v>
      </c>
      <c r="DB312" s="99">
        <v>0</v>
      </c>
      <c r="DC312" s="99">
        <v>0</v>
      </c>
      <c r="DD312" s="99">
        <v>4035385</v>
      </c>
      <c r="DE312" s="99">
        <v>958736</v>
      </c>
      <c r="DF312" s="99">
        <v>3076649</v>
      </c>
      <c r="DG312" s="99">
        <v>3009906</v>
      </c>
      <c r="DH312" s="99">
        <v>66743</v>
      </c>
      <c r="DI312" s="99">
        <v>1011544</v>
      </c>
      <c r="DJ312" s="99">
        <v>62401</v>
      </c>
      <c r="DK312" s="99">
        <v>25576</v>
      </c>
      <c r="DL312" s="99">
        <v>2396</v>
      </c>
      <c r="DM312" s="99">
        <v>436115</v>
      </c>
      <c r="DN312" s="99">
        <v>385328</v>
      </c>
      <c r="DO312" s="99">
        <v>97719</v>
      </c>
      <c r="DP312" s="99"/>
      <c r="DQ312" s="99">
        <v>1938</v>
      </c>
      <c r="DR312" s="99">
        <v>71</v>
      </c>
      <c r="DS312" s="99">
        <v>-66228</v>
      </c>
      <c r="DT312" s="99">
        <v>-3375</v>
      </c>
      <c r="DU312" s="99">
        <v>-102</v>
      </c>
      <c r="DV312" s="99">
        <v>-5</v>
      </c>
      <c r="DW312" s="99">
        <v>-62376</v>
      </c>
      <c r="DX312" s="99">
        <v>-11108</v>
      </c>
      <c r="DY312" s="99">
        <v>-48966</v>
      </c>
      <c r="DZ312" s="99">
        <v>-2302</v>
      </c>
      <c r="EA312" s="99">
        <v>0</v>
      </c>
      <c r="EB312" s="99">
        <v>-366</v>
      </c>
      <c r="EC312" s="99"/>
      <c r="ED312" s="99">
        <v>0</v>
      </c>
      <c r="EE312" s="99">
        <v>-4</v>
      </c>
      <c r="EF312" s="99">
        <v>945316</v>
      </c>
      <c r="EG312" s="99">
        <v>-240950</v>
      </c>
      <c r="EH312" s="99">
        <v>1186266</v>
      </c>
      <c r="EI312" s="99">
        <v>1168371</v>
      </c>
      <c r="EJ312" s="99">
        <v>17895</v>
      </c>
      <c r="EK312" s="99">
        <v>59026</v>
      </c>
      <c r="EL312" s="99">
        <v>16761</v>
      </c>
      <c r="EM312" s="99">
        <v>42265</v>
      </c>
      <c r="EN312" s="99">
        <v>41399</v>
      </c>
      <c r="EO312" s="99">
        <v>866</v>
      </c>
      <c r="EP312" s="99">
        <v>25474</v>
      </c>
      <c r="EQ312" s="99">
        <v>9049</v>
      </c>
      <c r="ER312" s="99">
        <v>16425</v>
      </c>
      <c r="ES312" s="99">
        <v>16105</v>
      </c>
      <c r="ET312" s="99">
        <v>320</v>
      </c>
      <c r="EU312" s="99">
        <v>2391</v>
      </c>
      <c r="EV312" s="99">
        <v>1277</v>
      </c>
      <c r="EW312" s="99">
        <v>1114</v>
      </c>
      <c r="EX312" s="99">
        <v>1090</v>
      </c>
      <c r="EY312" s="99">
        <v>24</v>
      </c>
      <c r="EZ312" s="99">
        <v>373739</v>
      </c>
      <c r="FA312" s="99">
        <v>-323663</v>
      </c>
      <c r="FB312" s="99">
        <v>697402</v>
      </c>
      <c r="FC312" s="99">
        <v>687141</v>
      </c>
      <c r="FD312" s="99">
        <v>10261</v>
      </c>
      <c r="FE312" s="99">
        <v>385328</v>
      </c>
      <c r="FF312" s="99">
        <v>66569</v>
      </c>
      <c r="FG312" s="99">
        <v>318759</v>
      </c>
      <c r="FH312" s="99">
        <v>312335</v>
      </c>
      <c r="FI312" s="99">
        <v>6424</v>
      </c>
      <c r="FJ312" s="99">
        <v>97353</v>
      </c>
      <c r="FK312" s="99">
        <v>-12948</v>
      </c>
      <c r="FL312" s="99">
        <v>110301</v>
      </c>
      <c r="FM312" s="99">
        <v>110301</v>
      </c>
      <c r="FN312" s="99"/>
      <c r="FO312" s="99"/>
      <c r="FP312" s="99">
        <v>1938</v>
      </c>
      <c r="FQ312" s="99">
        <v>67</v>
      </c>
      <c r="FR312" s="99">
        <v>676861</v>
      </c>
      <c r="FS312" s="99">
        <v>-88520</v>
      </c>
      <c r="FT312" s="99">
        <v>588341</v>
      </c>
      <c r="FU312" s="99">
        <v>264853</v>
      </c>
      <c r="FV312" s="99">
        <v>250465</v>
      </c>
      <c r="FW312" s="99">
        <v>14388</v>
      </c>
      <c r="FX312" s="99">
        <v>98202</v>
      </c>
      <c r="FY312" s="99">
        <v>130089</v>
      </c>
      <c r="FZ312" s="99"/>
      <c r="GA312" s="99"/>
      <c r="GB312" s="99">
        <v>1</v>
      </c>
      <c r="GC312" s="99">
        <v>70919</v>
      </c>
      <c r="GD312" s="99">
        <v>-31342</v>
      </c>
      <c r="GE312" s="99">
        <v>98369</v>
      </c>
      <c r="GF312" s="99">
        <v>3892</v>
      </c>
      <c r="GG312" s="99">
        <v>24277</v>
      </c>
      <c r="GH312" s="99">
        <v>2624</v>
      </c>
      <c r="GI312" s="99">
        <v>245</v>
      </c>
      <c r="GJ312" s="99">
        <v>21408</v>
      </c>
      <c r="GL312"/>
      <c r="GM312"/>
      <c r="GN312"/>
      <c r="GO312"/>
    </row>
    <row r="313" spans="1:197">
      <c r="A313" s="98">
        <v>2020</v>
      </c>
      <c r="B313" s="98">
        <v>6</v>
      </c>
      <c r="C313" s="98" t="s">
        <v>222</v>
      </c>
      <c r="D313" s="99">
        <v>11962965</v>
      </c>
      <c r="E313" s="99">
        <v>-5844438</v>
      </c>
      <c r="F313" s="99">
        <v>-16323</v>
      </c>
      <c r="G313" s="99">
        <v>6102204</v>
      </c>
      <c r="H313" s="99">
        <v>-1819989</v>
      </c>
      <c r="I313" s="99">
        <v>7922193</v>
      </c>
      <c r="J313" s="99">
        <v>7760990</v>
      </c>
      <c r="K313" s="99">
        <v>161203</v>
      </c>
      <c r="L313" s="99">
        <v>5237564</v>
      </c>
      <c r="M313" s="99">
        <v>4659445</v>
      </c>
      <c r="N313" s="99">
        <v>300971</v>
      </c>
      <c r="O313" s="99">
        <v>173154</v>
      </c>
      <c r="P313" s="99">
        <v>127817</v>
      </c>
      <c r="Q313" s="99">
        <v>54377</v>
      </c>
      <c r="R313" s="99">
        <v>222771</v>
      </c>
      <c r="S313" s="99">
        <v>-2920629</v>
      </c>
      <c r="T313" s="99">
        <v>-2846404</v>
      </c>
      <c r="U313" s="99">
        <v>-77995</v>
      </c>
      <c r="V313" s="99">
        <v>-28</v>
      </c>
      <c r="W313" s="99">
        <v>-2713694</v>
      </c>
      <c r="X313" s="99">
        <v>0</v>
      </c>
      <c r="Y313" s="99">
        <v>-54687</v>
      </c>
      <c r="Z313" s="99">
        <v>-2152</v>
      </c>
      <c r="AA313" s="99">
        <v>-63901</v>
      </c>
      <c r="AB313" s="99">
        <v>-8172</v>
      </c>
      <c r="AC313" s="99">
        <v>-16323</v>
      </c>
      <c r="AD313" s="99">
        <v>2300612</v>
      </c>
      <c r="AE313" s="99">
        <v>-1358668</v>
      </c>
      <c r="AF313" s="99">
        <v>3659280</v>
      </c>
      <c r="AG313" s="99">
        <v>3582712</v>
      </c>
      <c r="AH313" s="99">
        <v>76568</v>
      </c>
      <c r="AI313" s="99">
        <v>4597382</v>
      </c>
      <c r="AJ313" s="99">
        <v>2073605</v>
      </c>
      <c r="AK313" s="99">
        <v>2463418</v>
      </c>
      <c r="AL313" s="99">
        <v>41051</v>
      </c>
      <c r="AM313" s="99">
        <v>76722</v>
      </c>
      <c r="AN313" s="99">
        <v>41306</v>
      </c>
      <c r="AO313" s="99">
        <v>23811</v>
      </c>
      <c r="AP313" s="99">
        <v>778</v>
      </c>
      <c r="AQ313" s="99">
        <v>70144</v>
      </c>
      <c r="AR313" s="99">
        <v>-2545433</v>
      </c>
      <c r="AS313" s="99">
        <v>52225</v>
      </c>
      <c r="AT313" s="99">
        <v>0</v>
      </c>
      <c r="AU313" s="99">
        <v>-16323</v>
      </c>
      <c r="AV313" s="99">
        <v>208585</v>
      </c>
      <c r="AW313" s="99">
        <v>34366</v>
      </c>
      <c r="AX313" s="99">
        <v>51476</v>
      </c>
      <c r="AY313" s="99">
        <v>9276</v>
      </c>
      <c r="AZ313" s="99">
        <v>4017</v>
      </c>
      <c r="BA313" s="99">
        <v>10176</v>
      </c>
      <c r="BB313" s="99">
        <v>28007</v>
      </c>
      <c r="BC313" s="99">
        <v>63451</v>
      </c>
      <c r="BD313" s="99">
        <v>59292</v>
      </c>
      <c r="BE313" s="99">
        <v>-361736</v>
      </c>
      <c r="BF313" s="99">
        <v>-360335</v>
      </c>
      <c r="BG313" s="99">
        <v>-353119</v>
      </c>
      <c r="BH313" s="99">
        <v>-7216</v>
      </c>
      <c r="BI313" s="99">
        <v>0</v>
      </c>
      <c r="BJ313" s="99">
        <v>-345075</v>
      </c>
      <c r="BK313" s="99">
        <v>-15260</v>
      </c>
      <c r="BL313" s="99">
        <v>-1401</v>
      </c>
      <c r="BM313" s="99">
        <v>0</v>
      </c>
      <c r="BN313" s="99">
        <v>-153151</v>
      </c>
      <c r="BO313" s="99">
        <v>35246</v>
      </c>
      <c r="BP313" s="99">
        <v>13304</v>
      </c>
      <c r="BQ313" s="99">
        <v>10104</v>
      </c>
      <c r="BR313" s="99">
        <v>0</v>
      </c>
      <c r="BS313" s="99">
        <v>33599</v>
      </c>
      <c r="BT313" s="99">
        <v>6917</v>
      </c>
      <c r="BU313" s="99">
        <v>10767</v>
      </c>
      <c r="BV313" s="99">
        <v>1765</v>
      </c>
      <c r="BW313" s="99">
        <v>14150</v>
      </c>
      <c r="BX313" s="99">
        <v>-301643</v>
      </c>
      <c r="BY313" s="99">
        <v>56235</v>
      </c>
      <c r="BZ313" s="99">
        <v>4</v>
      </c>
      <c r="CA313" s="99">
        <v>81952</v>
      </c>
      <c r="CB313" s="99">
        <v>-56222</v>
      </c>
      <c r="CC313" s="99">
        <v>-56222</v>
      </c>
      <c r="CD313" s="99">
        <v>0</v>
      </c>
      <c r="CE313" s="99">
        <v>25730</v>
      </c>
      <c r="CF313" s="99">
        <v>65845</v>
      </c>
      <c r="CG313" s="99">
        <v>48</v>
      </c>
      <c r="CH313" s="99">
        <v>-40163</v>
      </c>
      <c r="CI313" s="99">
        <v>4634472</v>
      </c>
      <c r="CJ313" s="99">
        <v>1207240</v>
      </c>
      <c r="CK313" s="99">
        <v>3427232</v>
      </c>
      <c r="CL313" s="99">
        <v>2285361</v>
      </c>
      <c r="CM313" s="99">
        <v>58580</v>
      </c>
      <c r="CN313" s="99">
        <v>1083291</v>
      </c>
      <c r="CO313" s="99">
        <v>57713</v>
      </c>
      <c r="CP313" s="99">
        <v>0</v>
      </c>
      <c r="CQ313" s="99">
        <v>1025578</v>
      </c>
      <c r="CR313" s="99">
        <v>-2408193</v>
      </c>
      <c r="CS313" s="99">
        <v>-635529</v>
      </c>
      <c r="CT313" s="99">
        <v>-542547</v>
      </c>
      <c r="CU313" s="99">
        <v>-14405</v>
      </c>
      <c r="CV313" s="99">
        <v>-570</v>
      </c>
      <c r="CW313" s="99">
        <v>-78007</v>
      </c>
      <c r="CX313" s="99">
        <v>-1762953</v>
      </c>
      <c r="CY313" s="99">
        <v>-1586109</v>
      </c>
      <c r="CZ313" s="99">
        <v>-169914</v>
      </c>
      <c r="DA313" s="99">
        <v>-6930</v>
      </c>
      <c r="DB313" s="99">
        <v>0</v>
      </c>
      <c r="DC313" s="99">
        <v>-9711</v>
      </c>
      <c r="DD313" s="99">
        <v>2226279</v>
      </c>
      <c r="DE313" s="99">
        <v>-850368</v>
      </c>
      <c r="DF313" s="99">
        <v>3076647</v>
      </c>
      <c r="DG313" s="99">
        <v>3009907</v>
      </c>
      <c r="DH313" s="99">
        <v>66740</v>
      </c>
      <c r="DI313" s="99">
        <v>1244219</v>
      </c>
      <c r="DJ313" s="99">
        <v>39934</v>
      </c>
      <c r="DK313" s="99">
        <v>22949</v>
      </c>
      <c r="DL313" s="99">
        <v>1047</v>
      </c>
      <c r="DM313" s="99">
        <v>610261</v>
      </c>
      <c r="DN313" s="99">
        <v>484284</v>
      </c>
      <c r="DO313" s="99">
        <v>85634</v>
      </c>
      <c r="DP313" s="99"/>
      <c r="DQ313" s="99">
        <v>16</v>
      </c>
      <c r="DR313" s="99">
        <v>94</v>
      </c>
      <c r="DS313" s="99">
        <v>-39521</v>
      </c>
      <c r="DT313" s="99">
        <v>-991</v>
      </c>
      <c r="DU313" s="99">
        <v>-1676</v>
      </c>
      <c r="DV313" s="99">
        <v>-27</v>
      </c>
      <c r="DW313" s="99">
        <v>-36604</v>
      </c>
      <c r="DX313" s="99">
        <v>-10411</v>
      </c>
      <c r="DY313" s="99">
        <v>-12796</v>
      </c>
      <c r="DZ313" s="99">
        <v>-13397</v>
      </c>
      <c r="EA313" s="99">
        <v>-1</v>
      </c>
      <c r="EB313" s="99">
        <v>-64</v>
      </c>
      <c r="EC313" s="99"/>
      <c r="ED313" s="99">
        <v>0</v>
      </c>
      <c r="EE313" s="99">
        <v>-158</v>
      </c>
      <c r="EF313" s="99">
        <v>1204698</v>
      </c>
      <c r="EG313" s="99">
        <v>18432</v>
      </c>
      <c r="EH313" s="99">
        <v>1186266</v>
      </c>
      <c r="EI313" s="99">
        <v>1168371</v>
      </c>
      <c r="EJ313" s="99">
        <v>17895</v>
      </c>
      <c r="EK313" s="99">
        <v>38943</v>
      </c>
      <c r="EL313" s="99">
        <v>-3321</v>
      </c>
      <c r="EM313" s="99">
        <v>42264</v>
      </c>
      <c r="EN313" s="99">
        <v>41398</v>
      </c>
      <c r="EO313" s="99">
        <v>866</v>
      </c>
      <c r="EP313" s="99">
        <v>21273</v>
      </c>
      <c r="EQ313" s="99">
        <v>4848</v>
      </c>
      <c r="ER313" s="99">
        <v>16425</v>
      </c>
      <c r="ES313" s="99">
        <v>16105</v>
      </c>
      <c r="ET313" s="99">
        <v>320</v>
      </c>
      <c r="EU313" s="99">
        <v>1020</v>
      </c>
      <c r="EV313" s="99">
        <v>-93</v>
      </c>
      <c r="EW313" s="99">
        <v>1113</v>
      </c>
      <c r="EX313" s="99">
        <v>1089</v>
      </c>
      <c r="EY313" s="99">
        <v>24</v>
      </c>
      <c r="EZ313" s="99">
        <v>573657</v>
      </c>
      <c r="FA313" s="99">
        <v>-123746</v>
      </c>
      <c r="FB313" s="99">
        <v>697403</v>
      </c>
      <c r="FC313" s="99">
        <v>687142</v>
      </c>
      <c r="FD313" s="99">
        <v>10261</v>
      </c>
      <c r="FE313" s="99">
        <v>484283</v>
      </c>
      <c r="FF313" s="99">
        <v>165523</v>
      </c>
      <c r="FG313" s="99">
        <v>318760</v>
      </c>
      <c r="FH313" s="99">
        <v>312336</v>
      </c>
      <c r="FI313" s="99">
        <v>6424</v>
      </c>
      <c r="FJ313" s="99">
        <v>85570</v>
      </c>
      <c r="FK313" s="99">
        <v>-24731</v>
      </c>
      <c r="FL313" s="99">
        <v>110301</v>
      </c>
      <c r="FM313" s="99">
        <v>110301</v>
      </c>
      <c r="FN313" s="99"/>
      <c r="FO313" s="99"/>
      <c r="FP313" s="99">
        <v>16</v>
      </c>
      <c r="FQ313" s="99">
        <v>-64</v>
      </c>
      <c r="FR313" s="99">
        <v>556173</v>
      </c>
      <c r="FS313" s="99">
        <v>-58137</v>
      </c>
      <c r="FT313" s="99">
        <v>498036</v>
      </c>
      <c r="FU313" s="99">
        <v>143347</v>
      </c>
      <c r="FV313" s="99">
        <v>141754</v>
      </c>
      <c r="FW313" s="99">
        <v>1593</v>
      </c>
      <c r="FX313" s="99">
        <v>138190</v>
      </c>
      <c r="FY313" s="99">
        <v>113382</v>
      </c>
      <c r="FZ313" s="99"/>
      <c r="GA313" s="99"/>
      <c r="GB313" s="99">
        <v>11839</v>
      </c>
      <c r="GC313" s="99">
        <v>16112</v>
      </c>
      <c r="GD313" s="99">
        <v>-31435</v>
      </c>
      <c r="GE313" s="99">
        <v>20502</v>
      </c>
      <c r="GF313" s="99">
        <v>27045</v>
      </c>
      <c r="GG313" s="99">
        <v>75166</v>
      </c>
      <c r="GH313" s="99">
        <v>-3507</v>
      </c>
      <c r="GI313" s="99">
        <v>356</v>
      </c>
      <c r="GJ313" s="99">
        <v>78317</v>
      </c>
      <c r="GL313"/>
      <c r="GM313"/>
      <c r="GN313"/>
      <c r="GO313"/>
    </row>
    <row r="314" spans="1:197">
      <c r="A314" s="98">
        <v>2020</v>
      </c>
      <c r="B314" s="98">
        <v>7</v>
      </c>
      <c r="C314" s="98" t="s">
        <v>223</v>
      </c>
      <c r="D314" s="99">
        <v>31997508</v>
      </c>
      <c r="E314" s="99">
        <v>-4062871</v>
      </c>
      <c r="F314" s="99">
        <v>-15636</v>
      </c>
      <c r="G314" s="99">
        <v>27919001</v>
      </c>
      <c r="H314" s="99">
        <v>14940714</v>
      </c>
      <c r="I314" s="99">
        <v>12978287</v>
      </c>
      <c r="J314" s="99">
        <v>12817088</v>
      </c>
      <c r="K314" s="99">
        <v>161199</v>
      </c>
      <c r="L314" s="99">
        <v>19473301</v>
      </c>
      <c r="M314" s="99">
        <v>10239722</v>
      </c>
      <c r="N314" s="99">
        <v>8032201</v>
      </c>
      <c r="O314" s="99">
        <v>7943920</v>
      </c>
      <c r="P314" s="99">
        <v>88281</v>
      </c>
      <c r="Q314" s="99">
        <v>42928</v>
      </c>
      <c r="R314" s="99">
        <v>1158450</v>
      </c>
      <c r="S314" s="99">
        <v>-1032111</v>
      </c>
      <c r="T314" s="99">
        <v>-1015762</v>
      </c>
      <c r="U314" s="99">
        <v>-77441</v>
      </c>
      <c r="V314" s="99">
        <v>-25</v>
      </c>
      <c r="W314" s="99">
        <v>-891669</v>
      </c>
      <c r="X314" s="99">
        <v>0</v>
      </c>
      <c r="Y314" s="99">
        <v>-46627</v>
      </c>
      <c r="Z314" s="99">
        <v>-11749</v>
      </c>
      <c r="AA314" s="99">
        <v>-4562</v>
      </c>
      <c r="AB314" s="99">
        <v>-38</v>
      </c>
      <c r="AC314" s="99">
        <v>-15636</v>
      </c>
      <c r="AD314" s="99">
        <v>18425554</v>
      </c>
      <c r="AE314" s="99">
        <v>9358401</v>
      </c>
      <c r="AF314" s="99">
        <v>9067153</v>
      </c>
      <c r="AG314" s="99">
        <v>8990585</v>
      </c>
      <c r="AH314" s="99">
        <v>76568</v>
      </c>
      <c r="AI314" s="99">
        <v>10236665</v>
      </c>
      <c r="AJ314" s="99">
        <v>2987190</v>
      </c>
      <c r="AK314" s="99">
        <v>3468782</v>
      </c>
      <c r="AL314" s="99">
        <v>3659446</v>
      </c>
      <c r="AM314" s="99">
        <v>259228</v>
      </c>
      <c r="AN314" s="99">
        <v>300586</v>
      </c>
      <c r="AO314" s="99">
        <v>48973</v>
      </c>
      <c r="AP314" s="99">
        <v>26866</v>
      </c>
      <c r="AQ314" s="99">
        <v>521254</v>
      </c>
      <c r="AR314" s="99">
        <v>7016439</v>
      </c>
      <c r="AS314" s="99">
        <v>31179</v>
      </c>
      <c r="AT314" s="99">
        <v>0</v>
      </c>
      <c r="AU314" s="99">
        <v>-15636</v>
      </c>
      <c r="AV314" s="99">
        <v>668986</v>
      </c>
      <c r="AW314" s="99">
        <v>31849</v>
      </c>
      <c r="AX314" s="99">
        <v>270372</v>
      </c>
      <c r="AY314" s="99">
        <v>61188</v>
      </c>
      <c r="AZ314" s="99">
        <v>100428</v>
      </c>
      <c r="BA314" s="99">
        <v>90346</v>
      </c>
      <c r="BB314" s="99">
        <v>18410</v>
      </c>
      <c r="BC314" s="99">
        <v>116513</v>
      </c>
      <c r="BD314" s="99">
        <v>250252</v>
      </c>
      <c r="BE314" s="99">
        <v>-96365</v>
      </c>
      <c r="BF314" s="99">
        <v>-93962</v>
      </c>
      <c r="BG314" s="99">
        <v>-82577</v>
      </c>
      <c r="BH314" s="99">
        <v>-11385</v>
      </c>
      <c r="BI314" s="99">
        <v>0</v>
      </c>
      <c r="BJ314" s="99">
        <v>-42676</v>
      </c>
      <c r="BK314" s="99">
        <v>-51286</v>
      </c>
      <c r="BL314" s="99">
        <v>-2403</v>
      </c>
      <c r="BM314" s="99">
        <v>0</v>
      </c>
      <c r="BN314" s="99">
        <v>572621</v>
      </c>
      <c r="BO314" s="99">
        <v>109254</v>
      </c>
      <c r="BP314" s="99">
        <v>119430</v>
      </c>
      <c r="BQ314" s="99">
        <v>20851</v>
      </c>
      <c r="BR314" s="99">
        <v>0</v>
      </c>
      <c r="BS314" s="99">
        <v>29985</v>
      </c>
      <c r="BT314" s="99">
        <v>797</v>
      </c>
      <c r="BU314" s="99">
        <v>1254</v>
      </c>
      <c r="BV314" s="99">
        <v>944</v>
      </c>
      <c r="BW314" s="99">
        <v>26990</v>
      </c>
      <c r="BX314" s="99">
        <v>187795</v>
      </c>
      <c r="BY314" s="99">
        <v>105128</v>
      </c>
      <c r="BZ314" s="99">
        <v>178</v>
      </c>
      <c r="CA314" s="99">
        <v>164887</v>
      </c>
      <c r="CB314" s="99">
        <v>-81199</v>
      </c>
      <c r="CC314" s="99">
        <v>-81199</v>
      </c>
      <c r="CD314" s="99">
        <v>0</v>
      </c>
      <c r="CE314" s="99">
        <v>83688</v>
      </c>
      <c r="CF314" s="99">
        <v>123824</v>
      </c>
      <c r="CG314" s="99">
        <v>6</v>
      </c>
      <c r="CH314" s="99">
        <v>-40142</v>
      </c>
      <c r="CI314" s="99">
        <v>9581102</v>
      </c>
      <c r="CJ314" s="99">
        <v>1046147</v>
      </c>
      <c r="CK314" s="99">
        <v>8534955</v>
      </c>
      <c r="CL314" s="99">
        <v>2823717</v>
      </c>
      <c r="CM314" s="99">
        <v>5278114</v>
      </c>
      <c r="CN314" s="99">
        <v>433124</v>
      </c>
      <c r="CO314" s="99">
        <v>0</v>
      </c>
      <c r="CP314" s="99">
        <v>0</v>
      </c>
      <c r="CQ314" s="99">
        <v>433124</v>
      </c>
      <c r="CR314" s="99">
        <v>-2724445</v>
      </c>
      <c r="CS314" s="99">
        <v>-862485</v>
      </c>
      <c r="CT314" s="99">
        <v>-748767</v>
      </c>
      <c r="CU314" s="99">
        <v>-20928</v>
      </c>
      <c r="CV314" s="99">
        <v>-265</v>
      </c>
      <c r="CW314" s="99">
        <v>-92525</v>
      </c>
      <c r="CX314" s="99">
        <v>-1516891</v>
      </c>
      <c r="CY314" s="99">
        <v>-1443733</v>
      </c>
      <c r="CZ314" s="99">
        <v>-71016</v>
      </c>
      <c r="DA314" s="99">
        <v>-2142</v>
      </c>
      <c r="DB314" s="99">
        <v>-345069</v>
      </c>
      <c r="DC314" s="99">
        <v>0</v>
      </c>
      <c r="DD314" s="99">
        <v>6856657</v>
      </c>
      <c r="DE314" s="99">
        <v>3763379</v>
      </c>
      <c r="DF314" s="99">
        <v>3093278</v>
      </c>
      <c r="DG314" s="99">
        <v>3026538</v>
      </c>
      <c r="DH314" s="99">
        <v>66740</v>
      </c>
      <c r="DI314" s="99">
        <v>1609183</v>
      </c>
      <c r="DJ314" s="99">
        <v>42924</v>
      </c>
      <c r="DK314" s="99">
        <v>19037</v>
      </c>
      <c r="DL314" s="99">
        <v>924</v>
      </c>
      <c r="DM314" s="99">
        <v>875673</v>
      </c>
      <c r="DN314" s="99">
        <v>572482</v>
      </c>
      <c r="DO314" s="99">
        <v>90068</v>
      </c>
      <c r="DP314" s="99"/>
      <c r="DQ314" s="99">
        <v>7860</v>
      </c>
      <c r="DR314" s="99">
        <v>215</v>
      </c>
      <c r="DS314" s="99">
        <v>-35013</v>
      </c>
      <c r="DT314" s="99">
        <v>-2635</v>
      </c>
      <c r="DU314" s="99">
        <v>-911</v>
      </c>
      <c r="DV314" s="99">
        <v>-10</v>
      </c>
      <c r="DW314" s="99">
        <v>-30218</v>
      </c>
      <c r="DX314" s="99">
        <v>-9744</v>
      </c>
      <c r="DY314" s="99">
        <v>-18817</v>
      </c>
      <c r="DZ314" s="99">
        <v>-1657</v>
      </c>
      <c r="EA314" s="99">
        <v>-3</v>
      </c>
      <c r="EB314" s="99">
        <v>-1236</v>
      </c>
      <c r="EC314" s="99"/>
      <c r="ED314" s="99">
        <v>0</v>
      </c>
      <c r="EE314" s="99">
        <v>0</v>
      </c>
      <c r="EF314" s="99">
        <v>1574170</v>
      </c>
      <c r="EG314" s="99">
        <v>756314</v>
      </c>
      <c r="EH314" s="99">
        <v>817856</v>
      </c>
      <c r="EI314" s="99">
        <v>799965</v>
      </c>
      <c r="EJ314" s="99">
        <v>17891</v>
      </c>
      <c r="EK314" s="99">
        <v>40289</v>
      </c>
      <c r="EL314" s="99">
        <v>31605</v>
      </c>
      <c r="EM314" s="99">
        <v>8684</v>
      </c>
      <c r="EN314" s="99">
        <v>7819</v>
      </c>
      <c r="EO314" s="99">
        <v>865</v>
      </c>
      <c r="EP314" s="99">
        <v>18126</v>
      </c>
      <c r="EQ314" s="99">
        <v>3853</v>
      </c>
      <c r="ER314" s="99">
        <v>14273</v>
      </c>
      <c r="ES314" s="99">
        <v>13954</v>
      </c>
      <c r="ET314" s="99">
        <v>319</v>
      </c>
      <c r="EU314" s="99">
        <v>914</v>
      </c>
      <c r="EV314" s="99">
        <v>1690</v>
      </c>
      <c r="EW314" s="99">
        <v>-776</v>
      </c>
      <c r="EX314" s="99">
        <v>-801</v>
      </c>
      <c r="EY314" s="99">
        <v>25</v>
      </c>
      <c r="EZ314" s="99">
        <v>845455</v>
      </c>
      <c r="FA314" s="99">
        <v>209488</v>
      </c>
      <c r="FB314" s="99">
        <v>635967</v>
      </c>
      <c r="FC314" s="99">
        <v>625708</v>
      </c>
      <c r="FD314" s="99">
        <v>10259</v>
      </c>
      <c r="FE314" s="99">
        <v>572479</v>
      </c>
      <c r="FF314" s="99">
        <v>471809</v>
      </c>
      <c r="FG314" s="99">
        <v>100670</v>
      </c>
      <c r="FH314" s="99">
        <v>94247</v>
      </c>
      <c r="FI314" s="99">
        <v>6423</v>
      </c>
      <c r="FJ314" s="99">
        <v>88832</v>
      </c>
      <c r="FK314" s="99">
        <v>29794</v>
      </c>
      <c r="FL314" s="99">
        <v>59038</v>
      </c>
      <c r="FM314" s="99">
        <v>59038</v>
      </c>
      <c r="FN314" s="99"/>
      <c r="FO314" s="99"/>
      <c r="FP314" s="99">
        <v>7860</v>
      </c>
      <c r="FQ314" s="99">
        <v>215</v>
      </c>
      <c r="FR314" s="99">
        <v>500049</v>
      </c>
      <c r="FS314" s="99">
        <v>-93738</v>
      </c>
      <c r="FT314" s="99">
        <v>406311</v>
      </c>
      <c r="FU314" s="99">
        <v>5886</v>
      </c>
      <c r="FV314" s="99">
        <v>5067</v>
      </c>
      <c r="FW314" s="99">
        <v>819</v>
      </c>
      <c r="FX314" s="99">
        <v>115740</v>
      </c>
      <c r="FY314" s="99">
        <v>134593</v>
      </c>
      <c r="FZ314" s="99"/>
      <c r="GA314" s="99"/>
      <c r="GB314" s="99">
        <v>113</v>
      </c>
      <c r="GC314" s="99">
        <v>24584</v>
      </c>
      <c r="GD314" s="99">
        <v>-12446</v>
      </c>
      <c r="GE314" s="99">
        <v>5145</v>
      </c>
      <c r="GF314" s="99">
        <v>31885</v>
      </c>
      <c r="GG314" s="99">
        <v>125395</v>
      </c>
      <c r="GH314" s="99">
        <v>51193</v>
      </c>
      <c r="GI314" s="99">
        <v>469</v>
      </c>
      <c r="GJ314" s="99">
        <v>73733</v>
      </c>
      <c r="GL314"/>
      <c r="GM314"/>
      <c r="GN314"/>
      <c r="GO314"/>
    </row>
    <row r="315" spans="1:197">
      <c r="A315" s="98">
        <v>2020</v>
      </c>
      <c r="B315" s="98">
        <v>8</v>
      </c>
      <c r="C315" s="98" t="s">
        <v>224</v>
      </c>
      <c r="D315" s="99">
        <v>20855249</v>
      </c>
      <c r="E315" s="99">
        <v>-2778059</v>
      </c>
      <c r="F315" s="99">
        <v>-15636</v>
      </c>
      <c r="G315" s="99">
        <v>18061554</v>
      </c>
      <c r="H315" s="99">
        <v>10139363</v>
      </c>
      <c r="I315" s="99">
        <v>7922191</v>
      </c>
      <c r="J315" s="99">
        <v>7760989</v>
      </c>
      <c r="K315" s="99">
        <v>161202</v>
      </c>
      <c r="L315" s="99">
        <v>6057067</v>
      </c>
      <c r="M315" s="99">
        <v>5399173</v>
      </c>
      <c r="N315" s="99">
        <v>145309</v>
      </c>
      <c r="O315" s="99">
        <v>25804</v>
      </c>
      <c r="P315" s="99">
        <v>119505</v>
      </c>
      <c r="Q315" s="99">
        <v>111764</v>
      </c>
      <c r="R315" s="99">
        <v>400821</v>
      </c>
      <c r="S315" s="99">
        <v>-463089</v>
      </c>
      <c r="T315" s="99">
        <v>-455942</v>
      </c>
      <c r="U315" s="99">
        <v>-75033</v>
      </c>
      <c r="V315" s="99">
        <v>-8</v>
      </c>
      <c r="W315" s="99">
        <v>-355252</v>
      </c>
      <c r="X315" s="99">
        <v>0</v>
      </c>
      <c r="Y315" s="99">
        <v>-25649</v>
      </c>
      <c r="Z315" s="99">
        <v>-3610</v>
      </c>
      <c r="AA315" s="99">
        <v>-3537</v>
      </c>
      <c r="AB315" s="99">
        <v>0</v>
      </c>
      <c r="AC315" s="99">
        <v>-15636</v>
      </c>
      <c r="AD315" s="99">
        <v>5578342</v>
      </c>
      <c r="AE315" s="99">
        <v>1919062</v>
      </c>
      <c r="AF315" s="99">
        <v>3659280</v>
      </c>
      <c r="AG315" s="99">
        <v>3582712</v>
      </c>
      <c r="AH315" s="99">
        <v>76568</v>
      </c>
      <c r="AI315" s="99">
        <v>5396217</v>
      </c>
      <c r="AJ315" s="99">
        <v>1830130</v>
      </c>
      <c r="AK315" s="99">
        <v>3378219</v>
      </c>
      <c r="AL315" s="99">
        <v>38404</v>
      </c>
      <c r="AM315" s="99">
        <v>227589</v>
      </c>
      <c r="AN315" s="99">
        <v>62964</v>
      </c>
      <c r="AO315" s="99">
        <v>43912</v>
      </c>
      <c r="AP315" s="99">
        <v>34763</v>
      </c>
      <c r="AQ315" s="99">
        <v>31012</v>
      </c>
      <c r="AR315" s="99">
        <v>-310633</v>
      </c>
      <c r="AS315" s="99">
        <v>108154</v>
      </c>
      <c r="AT315" s="99">
        <v>0</v>
      </c>
      <c r="AU315" s="99">
        <v>-15636</v>
      </c>
      <c r="AV315" s="99">
        <v>6135604</v>
      </c>
      <c r="AW315" s="99">
        <v>32921</v>
      </c>
      <c r="AX315" s="99">
        <v>5890346</v>
      </c>
      <c r="AY315" s="99">
        <v>1703878</v>
      </c>
      <c r="AZ315" s="99">
        <v>698129</v>
      </c>
      <c r="BA315" s="99">
        <v>3419701</v>
      </c>
      <c r="BB315" s="99">
        <v>68638</v>
      </c>
      <c r="BC315" s="99">
        <v>86258</v>
      </c>
      <c r="BD315" s="99">
        <v>126079</v>
      </c>
      <c r="BE315" s="99">
        <v>-68429</v>
      </c>
      <c r="BF315" s="99">
        <v>-66375</v>
      </c>
      <c r="BG315" s="99">
        <v>-58420</v>
      </c>
      <c r="BH315" s="99">
        <v>-7955</v>
      </c>
      <c r="BI315" s="99">
        <v>0</v>
      </c>
      <c r="BJ315" s="99">
        <v>-33169</v>
      </c>
      <c r="BK315" s="99">
        <v>-33206</v>
      </c>
      <c r="BL315" s="99">
        <v>-2054</v>
      </c>
      <c r="BM315" s="99">
        <v>0</v>
      </c>
      <c r="BN315" s="99">
        <v>6067175</v>
      </c>
      <c r="BO315" s="99">
        <v>89716</v>
      </c>
      <c r="BP315" s="99">
        <v>17557</v>
      </c>
      <c r="BQ315" s="99">
        <v>18640</v>
      </c>
      <c r="BR315" s="99">
        <v>0</v>
      </c>
      <c r="BS315" s="99">
        <v>31015</v>
      </c>
      <c r="BT315" s="99">
        <v>793</v>
      </c>
      <c r="BU315" s="99">
        <v>40</v>
      </c>
      <c r="BV315" s="99">
        <v>984</v>
      </c>
      <c r="BW315" s="99">
        <v>29198</v>
      </c>
      <c r="BX315" s="99">
        <v>5831926</v>
      </c>
      <c r="BY315" s="99">
        <v>78303</v>
      </c>
      <c r="BZ315" s="99">
        <v>18</v>
      </c>
      <c r="CA315" s="99">
        <v>308724</v>
      </c>
      <c r="CB315" s="99">
        <v>-81098</v>
      </c>
      <c r="CC315" s="99">
        <v>-81098</v>
      </c>
      <c r="CD315" s="99">
        <v>0</v>
      </c>
      <c r="CE315" s="99">
        <v>227626</v>
      </c>
      <c r="CF315" s="99">
        <v>222678</v>
      </c>
      <c r="CG315" s="99">
        <v>-5</v>
      </c>
      <c r="CH315" s="99">
        <v>4953</v>
      </c>
      <c r="CI315" s="99">
        <v>6077756</v>
      </c>
      <c r="CJ315" s="99">
        <v>1206623</v>
      </c>
      <c r="CK315" s="99">
        <v>4871133</v>
      </c>
      <c r="CL315" s="99">
        <v>4075554</v>
      </c>
      <c r="CM315" s="99">
        <v>207853</v>
      </c>
      <c r="CN315" s="99">
        <v>587726</v>
      </c>
      <c r="CO315" s="99">
        <v>0</v>
      </c>
      <c r="CP315" s="99">
        <v>0</v>
      </c>
      <c r="CQ315" s="99">
        <v>587726</v>
      </c>
      <c r="CR315" s="99">
        <v>-2085172</v>
      </c>
      <c r="CS315" s="99">
        <v>-652224</v>
      </c>
      <c r="CT315" s="99">
        <v>-588194</v>
      </c>
      <c r="CU315" s="99">
        <v>-3687</v>
      </c>
      <c r="CV315" s="99">
        <v>-18</v>
      </c>
      <c r="CW315" s="99">
        <v>-60325</v>
      </c>
      <c r="CX315" s="99">
        <v>-1432948</v>
      </c>
      <c r="CY315" s="99">
        <v>-1403620</v>
      </c>
      <c r="CZ315" s="99">
        <v>-26430</v>
      </c>
      <c r="DA315" s="99">
        <v>-2898</v>
      </c>
      <c r="DB315" s="99">
        <v>0</v>
      </c>
      <c r="DC315" s="99">
        <v>0</v>
      </c>
      <c r="DD315" s="99">
        <v>3992584</v>
      </c>
      <c r="DE315" s="99">
        <v>915936</v>
      </c>
      <c r="DF315" s="99">
        <v>3076648</v>
      </c>
      <c r="DG315" s="99">
        <v>3009907</v>
      </c>
      <c r="DH315" s="99">
        <v>66741</v>
      </c>
      <c r="DI315" s="99">
        <v>1841162</v>
      </c>
      <c r="DJ315" s="99">
        <v>45692</v>
      </c>
      <c r="DK315" s="99">
        <v>22086</v>
      </c>
      <c r="DL315" s="99">
        <v>2717</v>
      </c>
      <c r="DM315" s="99">
        <v>1048630</v>
      </c>
      <c r="DN315" s="99">
        <v>622517</v>
      </c>
      <c r="DO315" s="99">
        <v>98569</v>
      </c>
      <c r="DP315" s="99"/>
      <c r="DQ315" s="99">
        <v>893</v>
      </c>
      <c r="DR315" s="99">
        <v>58</v>
      </c>
      <c r="DS315" s="99">
        <v>-43119</v>
      </c>
      <c r="DT315" s="99">
        <v>-6446</v>
      </c>
      <c r="DU315" s="99">
        <v>-164</v>
      </c>
      <c r="DV315" s="99">
        <v>-12</v>
      </c>
      <c r="DW315" s="99">
        <v>-36232</v>
      </c>
      <c r="DX315" s="99">
        <v>-7138</v>
      </c>
      <c r="DY315" s="99">
        <v>-25583</v>
      </c>
      <c r="DZ315" s="99">
        <v>-3511</v>
      </c>
      <c r="EA315" s="99">
        <v>-10</v>
      </c>
      <c r="EB315" s="99">
        <v>-167</v>
      </c>
      <c r="EC315" s="99"/>
      <c r="ED315" s="99">
        <v>0</v>
      </c>
      <c r="EE315" s="99">
        <v>-88</v>
      </c>
      <c r="EF315" s="99">
        <v>1798043</v>
      </c>
      <c r="EG315" s="99">
        <v>611780</v>
      </c>
      <c r="EH315" s="99">
        <v>1186263</v>
      </c>
      <c r="EI315" s="99">
        <v>1168370</v>
      </c>
      <c r="EJ315" s="99">
        <v>17893</v>
      </c>
      <c r="EK315" s="99">
        <v>39246</v>
      </c>
      <c r="EL315" s="99">
        <v>-3016</v>
      </c>
      <c r="EM315" s="99">
        <v>42262</v>
      </c>
      <c r="EN315" s="99">
        <v>41398</v>
      </c>
      <c r="EO315" s="99">
        <v>864</v>
      </c>
      <c r="EP315" s="99">
        <v>21922</v>
      </c>
      <c r="EQ315" s="99">
        <v>5498</v>
      </c>
      <c r="ER315" s="99">
        <v>16424</v>
      </c>
      <c r="ES315" s="99">
        <v>16104</v>
      </c>
      <c r="ET315" s="99">
        <v>320</v>
      </c>
      <c r="EU315" s="99">
        <v>2705</v>
      </c>
      <c r="EV315" s="99">
        <v>1591</v>
      </c>
      <c r="EW315" s="99">
        <v>1114</v>
      </c>
      <c r="EX315" s="99">
        <v>1090</v>
      </c>
      <c r="EY315" s="99">
        <v>24</v>
      </c>
      <c r="EZ315" s="99">
        <v>1012398</v>
      </c>
      <c r="FA315" s="99">
        <v>314996</v>
      </c>
      <c r="FB315" s="99">
        <v>697402</v>
      </c>
      <c r="FC315" s="99">
        <v>687141</v>
      </c>
      <c r="FD315" s="99">
        <v>10261</v>
      </c>
      <c r="FE315" s="99">
        <v>622507</v>
      </c>
      <c r="FF315" s="99">
        <v>303747</v>
      </c>
      <c r="FG315" s="99">
        <v>318760</v>
      </c>
      <c r="FH315" s="99">
        <v>312336</v>
      </c>
      <c r="FI315" s="99">
        <v>6424</v>
      </c>
      <c r="FJ315" s="99">
        <v>98402</v>
      </c>
      <c r="FK315" s="99">
        <v>-11899</v>
      </c>
      <c r="FL315" s="99">
        <v>110301</v>
      </c>
      <c r="FM315" s="99">
        <v>110301</v>
      </c>
      <c r="FN315" s="99"/>
      <c r="FO315" s="99"/>
      <c r="FP315" s="99">
        <v>893</v>
      </c>
      <c r="FQ315" s="99">
        <v>-30</v>
      </c>
      <c r="FR315" s="99">
        <v>434936</v>
      </c>
      <c r="FS315" s="99">
        <v>-37152</v>
      </c>
      <c r="FT315" s="99">
        <v>397784</v>
      </c>
      <c r="FU315" s="99">
        <v>2672</v>
      </c>
      <c r="FV315" s="99">
        <v>2312</v>
      </c>
      <c r="FW315" s="99">
        <v>360</v>
      </c>
      <c r="FX315" s="99">
        <v>147672</v>
      </c>
      <c r="FY315" s="99">
        <v>37616</v>
      </c>
      <c r="FZ315" s="99"/>
      <c r="GA315" s="99"/>
      <c r="GB315" s="99">
        <v>3345</v>
      </c>
      <c r="GC315" s="99">
        <v>106005</v>
      </c>
      <c r="GD315" s="99">
        <v>12910</v>
      </c>
      <c r="GE315" s="99">
        <v>29176</v>
      </c>
      <c r="GF315" s="99">
        <v>63919</v>
      </c>
      <c r="GG315" s="99">
        <v>100474</v>
      </c>
      <c r="GH315" s="99">
        <v>17519</v>
      </c>
      <c r="GI315" s="99">
        <v>588</v>
      </c>
      <c r="GJ315" s="99">
        <v>82367</v>
      </c>
      <c r="GL315"/>
      <c r="GM315"/>
      <c r="GN315"/>
      <c r="GO315"/>
    </row>
    <row r="316" spans="1:197">
      <c r="A316" s="98">
        <v>2020</v>
      </c>
      <c r="B316" s="98">
        <v>9</v>
      </c>
      <c r="C316" s="98" t="s">
        <v>225</v>
      </c>
      <c r="D316" s="99">
        <v>14087358</v>
      </c>
      <c r="E316" s="99">
        <v>-2901327</v>
      </c>
      <c r="F316" s="99">
        <v>-15637</v>
      </c>
      <c r="G316" s="99">
        <v>11170394</v>
      </c>
      <c r="H316" s="99">
        <v>3248200</v>
      </c>
      <c r="I316" s="99">
        <v>7922194</v>
      </c>
      <c r="J316" s="99">
        <v>7760991</v>
      </c>
      <c r="K316" s="99">
        <v>161203</v>
      </c>
      <c r="L316" s="99">
        <v>4834284</v>
      </c>
      <c r="M316" s="99">
        <v>4429331</v>
      </c>
      <c r="N316" s="99">
        <v>160383</v>
      </c>
      <c r="O316" s="99">
        <v>21995</v>
      </c>
      <c r="P316" s="99">
        <v>138388</v>
      </c>
      <c r="Q316" s="99">
        <v>62803</v>
      </c>
      <c r="R316" s="99">
        <v>181767</v>
      </c>
      <c r="S316" s="99">
        <v>-492155</v>
      </c>
      <c r="T316" s="99">
        <v>-476870</v>
      </c>
      <c r="U316" s="99">
        <v>-77716</v>
      </c>
      <c r="V316" s="99">
        <v>-46</v>
      </c>
      <c r="W316" s="99">
        <v>-368089</v>
      </c>
      <c r="X316" s="99">
        <v>0</v>
      </c>
      <c r="Y316" s="99">
        <v>-31019</v>
      </c>
      <c r="Z316" s="99">
        <v>-3226</v>
      </c>
      <c r="AA316" s="99">
        <v>-6549</v>
      </c>
      <c r="AB316" s="99">
        <v>-5510</v>
      </c>
      <c r="AC316" s="99">
        <v>-15637</v>
      </c>
      <c r="AD316" s="99">
        <v>4326492</v>
      </c>
      <c r="AE316" s="99">
        <v>667211</v>
      </c>
      <c r="AF316" s="99">
        <v>3659281</v>
      </c>
      <c r="AG316" s="99">
        <v>3582712</v>
      </c>
      <c r="AH316" s="99">
        <v>76569</v>
      </c>
      <c r="AI316" s="99">
        <v>4423744</v>
      </c>
      <c r="AJ316" s="99">
        <v>1822116</v>
      </c>
      <c r="AK316" s="99">
        <v>2499522</v>
      </c>
      <c r="AL316" s="99">
        <v>7288</v>
      </c>
      <c r="AM316" s="99">
        <v>50616</v>
      </c>
      <c r="AN316" s="99">
        <v>48309</v>
      </c>
      <c r="AO316" s="99">
        <v>23299</v>
      </c>
      <c r="AP316" s="99">
        <v>24412</v>
      </c>
      <c r="AQ316" s="99">
        <v>28659</v>
      </c>
      <c r="AR316" s="99">
        <v>-316487</v>
      </c>
      <c r="AS316" s="99">
        <v>59577</v>
      </c>
      <c r="AT316" s="99">
        <v>0</v>
      </c>
      <c r="AU316" s="99">
        <v>-15637</v>
      </c>
      <c r="AV316" s="99">
        <v>890428</v>
      </c>
      <c r="AW316" s="99">
        <v>20535</v>
      </c>
      <c r="AX316" s="99">
        <v>86614</v>
      </c>
      <c r="AY316" s="99">
        <v>12176</v>
      </c>
      <c r="AZ316" s="99">
        <v>16955</v>
      </c>
      <c r="BA316" s="99">
        <v>6096</v>
      </c>
      <c r="BB316" s="99">
        <v>51387</v>
      </c>
      <c r="BC316" s="99">
        <v>736759</v>
      </c>
      <c r="BD316" s="99">
        <v>46520</v>
      </c>
      <c r="BE316" s="99">
        <v>-214481</v>
      </c>
      <c r="BF316" s="99">
        <v>-89467</v>
      </c>
      <c r="BG316" s="99">
        <v>-82002</v>
      </c>
      <c r="BH316" s="99">
        <v>-7465</v>
      </c>
      <c r="BI316" s="99">
        <v>0</v>
      </c>
      <c r="BJ316" s="99">
        <v>-73951</v>
      </c>
      <c r="BK316" s="99">
        <v>-15516</v>
      </c>
      <c r="BL316" s="99">
        <v>-125014</v>
      </c>
      <c r="BM316" s="99">
        <v>0</v>
      </c>
      <c r="BN316" s="99">
        <v>675947</v>
      </c>
      <c r="BO316" s="99">
        <v>22495</v>
      </c>
      <c r="BP316" s="99">
        <v>14273</v>
      </c>
      <c r="BQ316" s="99">
        <v>9489</v>
      </c>
      <c r="BR316" s="99">
        <v>0</v>
      </c>
      <c r="BS316" s="99">
        <v>-104218</v>
      </c>
      <c r="BT316" s="99">
        <v>736</v>
      </c>
      <c r="BU316" s="99">
        <v>23</v>
      </c>
      <c r="BV316" s="99">
        <v>537</v>
      </c>
      <c r="BW316" s="99">
        <v>-105514</v>
      </c>
      <c r="BX316" s="99">
        <v>4612</v>
      </c>
      <c r="BY316" s="99">
        <v>729294</v>
      </c>
      <c r="BZ316" s="99">
        <v>2</v>
      </c>
      <c r="CA316" s="99">
        <v>78237</v>
      </c>
      <c r="CB316" s="99">
        <v>-70232</v>
      </c>
      <c r="CC316" s="99">
        <v>-70232</v>
      </c>
      <c r="CD316" s="99">
        <v>0</v>
      </c>
      <c r="CE316" s="99">
        <v>8005</v>
      </c>
      <c r="CF316" s="99">
        <v>61118</v>
      </c>
      <c r="CG316" s="99">
        <v>-10</v>
      </c>
      <c r="CH316" s="99">
        <v>-53103</v>
      </c>
      <c r="CI316" s="99">
        <v>5862533</v>
      </c>
      <c r="CJ316" s="99">
        <v>1354470</v>
      </c>
      <c r="CK316" s="99">
        <v>4508063</v>
      </c>
      <c r="CL316" s="99">
        <v>4008441</v>
      </c>
      <c r="CM316" s="99">
        <v>76523</v>
      </c>
      <c r="CN316" s="99">
        <v>423099</v>
      </c>
      <c r="CO316" s="99">
        <v>0</v>
      </c>
      <c r="CP316" s="99">
        <v>0</v>
      </c>
      <c r="CQ316" s="99">
        <v>423099</v>
      </c>
      <c r="CR316" s="99">
        <v>-2036590</v>
      </c>
      <c r="CS316" s="99">
        <v>-407343</v>
      </c>
      <c r="CT316" s="99">
        <v>-300655</v>
      </c>
      <c r="CU316" s="99">
        <v>-41416</v>
      </c>
      <c r="CV316" s="99">
        <v>-145</v>
      </c>
      <c r="CW316" s="99">
        <v>-65127</v>
      </c>
      <c r="CX316" s="99">
        <v>-1352449</v>
      </c>
      <c r="CY316" s="99">
        <v>-1326759</v>
      </c>
      <c r="CZ316" s="99">
        <v>-24839</v>
      </c>
      <c r="DA316" s="99">
        <v>-851</v>
      </c>
      <c r="DB316" s="99">
        <v>0</v>
      </c>
      <c r="DC316" s="99">
        <v>-276798</v>
      </c>
      <c r="DD316" s="99">
        <v>3825943</v>
      </c>
      <c r="DE316" s="99">
        <v>749295</v>
      </c>
      <c r="DF316" s="99">
        <v>3076648</v>
      </c>
      <c r="DG316" s="99">
        <v>3009907</v>
      </c>
      <c r="DH316" s="99">
        <v>66741</v>
      </c>
      <c r="DI316" s="99">
        <v>1606082</v>
      </c>
      <c r="DJ316" s="99">
        <v>39155</v>
      </c>
      <c r="DK316" s="99">
        <v>32495</v>
      </c>
      <c r="DL316" s="99">
        <v>873</v>
      </c>
      <c r="DM316" s="99">
        <v>949414</v>
      </c>
      <c r="DN316" s="99">
        <v>475655</v>
      </c>
      <c r="DO316" s="99">
        <v>108449</v>
      </c>
      <c r="DP316" s="99"/>
      <c r="DQ316" s="99">
        <v>0</v>
      </c>
      <c r="DR316" s="99">
        <v>41</v>
      </c>
      <c r="DS316" s="99">
        <v>-45847</v>
      </c>
      <c r="DT316" s="99">
        <v>-571</v>
      </c>
      <c r="DU316" s="99">
        <v>-1156</v>
      </c>
      <c r="DV316" s="99">
        <v>-21</v>
      </c>
      <c r="DW316" s="99">
        <v>-30346</v>
      </c>
      <c r="DX316" s="99">
        <v>-6323</v>
      </c>
      <c r="DY316" s="99">
        <v>-14240</v>
      </c>
      <c r="DZ316" s="99">
        <v>-9783</v>
      </c>
      <c r="EA316" s="99">
        <v>-13640</v>
      </c>
      <c r="EB316" s="99">
        <v>-86</v>
      </c>
      <c r="EC316" s="99"/>
      <c r="ED316" s="99">
        <v>0</v>
      </c>
      <c r="EE316" s="99">
        <v>-27</v>
      </c>
      <c r="EF316" s="99">
        <v>1560235</v>
      </c>
      <c r="EG316" s="99">
        <v>373970</v>
      </c>
      <c r="EH316" s="99">
        <v>1186265</v>
      </c>
      <c r="EI316" s="99">
        <v>1168372</v>
      </c>
      <c r="EJ316" s="99">
        <v>17893</v>
      </c>
      <c r="EK316" s="99">
        <v>38584</v>
      </c>
      <c r="EL316" s="99">
        <v>-3681</v>
      </c>
      <c r="EM316" s="99">
        <v>42265</v>
      </c>
      <c r="EN316" s="99">
        <v>41399</v>
      </c>
      <c r="EO316" s="99">
        <v>866</v>
      </c>
      <c r="EP316" s="99">
        <v>31339</v>
      </c>
      <c r="EQ316" s="99">
        <v>14915</v>
      </c>
      <c r="ER316" s="99">
        <v>16424</v>
      </c>
      <c r="ES316" s="99">
        <v>16105</v>
      </c>
      <c r="ET316" s="99">
        <v>319</v>
      </c>
      <c r="EU316" s="99">
        <v>852</v>
      </c>
      <c r="EV316" s="99">
        <v>-261</v>
      </c>
      <c r="EW316" s="99">
        <v>1113</v>
      </c>
      <c r="EX316" s="99">
        <v>1089</v>
      </c>
      <c r="EY316" s="99">
        <v>24</v>
      </c>
      <c r="EZ316" s="99">
        <v>919068</v>
      </c>
      <c r="FA316" s="99">
        <v>221666</v>
      </c>
      <c r="FB316" s="99">
        <v>697402</v>
      </c>
      <c r="FC316" s="99">
        <v>687142</v>
      </c>
      <c r="FD316" s="99">
        <v>10260</v>
      </c>
      <c r="FE316" s="99">
        <v>462015</v>
      </c>
      <c r="FF316" s="99">
        <v>143255</v>
      </c>
      <c r="FG316" s="99">
        <v>318760</v>
      </c>
      <c r="FH316" s="99">
        <v>312336</v>
      </c>
      <c r="FI316" s="99">
        <v>6424</v>
      </c>
      <c r="FJ316" s="99">
        <v>108363</v>
      </c>
      <c r="FK316" s="99">
        <v>-1938</v>
      </c>
      <c r="FL316" s="99">
        <v>110301</v>
      </c>
      <c r="FM316" s="99">
        <v>110301</v>
      </c>
      <c r="FN316" s="99"/>
      <c r="FO316" s="99"/>
      <c r="FP316" s="99">
        <v>0</v>
      </c>
      <c r="FQ316" s="99">
        <v>14</v>
      </c>
      <c r="FR316" s="99">
        <v>815794</v>
      </c>
      <c r="FS316" s="99">
        <v>-42022</v>
      </c>
      <c r="FT316" s="99">
        <v>773772</v>
      </c>
      <c r="FU316" s="99">
        <v>217466</v>
      </c>
      <c r="FV316" s="99">
        <v>190955</v>
      </c>
      <c r="FW316" s="99">
        <v>26511</v>
      </c>
      <c r="FX316" s="99">
        <v>141075</v>
      </c>
      <c r="FY316" s="99">
        <v>218288</v>
      </c>
      <c r="FZ316" s="99"/>
      <c r="GA316" s="99"/>
      <c r="GB316" s="99">
        <v>23</v>
      </c>
      <c r="GC316" s="99">
        <v>2864</v>
      </c>
      <c r="GD316" s="99">
        <v>-29245</v>
      </c>
      <c r="GE316" s="99">
        <v>0</v>
      </c>
      <c r="GF316" s="99">
        <v>32109</v>
      </c>
      <c r="GG316" s="99">
        <v>194056</v>
      </c>
      <c r="GH316" s="99">
        <v>6776</v>
      </c>
      <c r="GI316" s="99">
        <v>566</v>
      </c>
      <c r="GJ316" s="99">
        <v>186714</v>
      </c>
      <c r="GL316"/>
      <c r="GM316"/>
      <c r="GN316"/>
      <c r="GO316"/>
    </row>
    <row r="317" spans="1:197">
      <c r="A317" s="98">
        <v>2020</v>
      </c>
      <c r="B317" s="98">
        <v>10</v>
      </c>
      <c r="C317" s="98" t="s">
        <v>226</v>
      </c>
      <c r="D317" s="99">
        <v>33105804</v>
      </c>
      <c r="E317" s="99">
        <v>-3409457</v>
      </c>
      <c r="F317" s="99">
        <v>-15636</v>
      </c>
      <c r="G317" s="99">
        <v>29680711</v>
      </c>
      <c r="H317" s="99">
        <v>21758522</v>
      </c>
      <c r="I317" s="99">
        <v>7922189</v>
      </c>
      <c r="J317" s="99">
        <v>7760989</v>
      </c>
      <c r="K317" s="99">
        <v>161200</v>
      </c>
      <c r="L317" s="99">
        <v>10624212</v>
      </c>
      <c r="M317" s="99">
        <v>8942373</v>
      </c>
      <c r="N317" s="99">
        <v>168188</v>
      </c>
      <c r="O317" s="99">
        <v>29394</v>
      </c>
      <c r="P317" s="99">
        <v>138794</v>
      </c>
      <c r="Q317" s="99">
        <v>50186</v>
      </c>
      <c r="R317" s="99">
        <v>1463465</v>
      </c>
      <c r="S317" s="99">
        <v>-795148</v>
      </c>
      <c r="T317" s="99">
        <v>-784270</v>
      </c>
      <c r="U317" s="99">
        <v>-79155</v>
      </c>
      <c r="V317" s="99">
        <v>-17</v>
      </c>
      <c r="W317" s="99">
        <v>-668540</v>
      </c>
      <c r="X317" s="99">
        <v>0</v>
      </c>
      <c r="Y317" s="99">
        <v>-36558</v>
      </c>
      <c r="Z317" s="99">
        <v>-6010</v>
      </c>
      <c r="AA317" s="99">
        <v>-4868</v>
      </c>
      <c r="AB317" s="99">
        <v>0</v>
      </c>
      <c r="AC317" s="99">
        <v>-15636</v>
      </c>
      <c r="AD317" s="99">
        <v>9813428</v>
      </c>
      <c r="AE317" s="99">
        <v>6154149</v>
      </c>
      <c r="AF317" s="99">
        <v>3659279</v>
      </c>
      <c r="AG317" s="99">
        <v>3582712</v>
      </c>
      <c r="AH317" s="99">
        <v>76567</v>
      </c>
      <c r="AI317" s="99">
        <v>8938198</v>
      </c>
      <c r="AJ317" s="99">
        <v>1920913</v>
      </c>
      <c r="AK317" s="99">
        <v>2788037</v>
      </c>
      <c r="AL317" s="99">
        <v>3936479</v>
      </c>
      <c r="AM317" s="99">
        <v>279068</v>
      </c>
      <c r="AN317" s="99">
        <v>380860</v>
      </c>
      <c r="AO317" s="99">
        <v>42961</v>
      </c>
      <c r="AP317" s="99">
        <v>42420</v>
      </c>
      <c r="AQ317" s="99">
        <v>717463</v>
      </c>
      <c r="AR317" s="99">
        <v>-616082</v>
      </c>
      <c r="AS317" s="99">
        <v>44176</v>
      </c>
      <c r="AT317" s="99">
        <v>0</v>
      </c>
      <c r="AU317" s="99">
        <v>-15636</v>
      </c>
      <c r="AV317" s="99">
        <v>8241726</v>
      </c>
      <c r="AW317" s="99">
        <v>7757307</v>
      </c>
      <c r="AX317" s="99">
        <v>128996</v>
      </c>
      <c r="AY317" s="99">
        <v>6038</v>
      </c>
      <c r="AZ317" s="99">
        <v>9001</v>
      </c>
      <c r="BA317" s="99">
        <v>6405</v>
      </c>
      <c r="BB317" s="99">
        <v>107552</v>
      </c>
      <c r="BC317" s="99">
        <v>75252</v>
      </c>
      <c r="BD317" s="99">
        <v>280171</v>
      </c>
      <c r="BE317" s="99">
        <v>-409757</v>
      </c>
      <c r="BF317" s="99">
        <v>-241336</v>
      </c>
      <c r="BG317" s="99">
        <v>-184363</v>
      </c>
      <c r="BH317" s="99">
        <v>-56973</v>
      </c>
      <c r="BI317" s="99">
        <v>0</v>
      </c>
      <c r="BJ317" s="99">
        <v>-173174</v>
      </c>
      <c r="BK317" s="99">
        <v>-68162</v>
      </c>
      <c r="BL317" s="99">
        <v>-168421</v>
      </c>
      <c r="BM317" s="99">
        <v>0</v>
      </c>
      <c r="BN317" s="99">
        <v>7831969</v>
      </c>
      <c r="BO317" s="99">
        <v>116613</v>
      </c>
      <c r="BP317" s="99">
        <v>144861</v>
      </c>
      <c r="BQ317" s="99">
        <v>18283</v>
      </c>
      <c r="BR317" s="99">
        <v>0</v>
      </c>
      <c r="BS317" s="99">
        <v>7589118</v>
      </c>
      <c r="BT317" s="99">
        <v>3127817</v>
      </c>
      <c r="BU317" s="99">
        <v>3417103</v>
      </c>
      <c r="BV317" s="99">
        <v>1149970</v>
      </c>
      <c r="BW317" s="99">
        <v>-105772</v>
      </c>
      <c r="BX317" s="99">
        <v>-55367</v>
      </c>
      <c r="BY317" s="99">
        <v>18279</v>
      </c>
      <c r="BZ317" s="99">
        <v>182</v>
      </c>
      <c r="CA317" s="99">
        <v>190583</v>
      </c>
      <c r="CB317" s="99">
        <v>-45146</v>
      </c>
      <c r="CC317" s="99">
        <v>-45146</v>
      </c>
      <c r="CD317" s="99">
        <v>0</v>
      </c>
      <c r="CE317" s="99">
        <v>145437</v>
      </c>
      <c r="CF317" s="99">
        <v>123703</v>
      </c>
      <c r="CG317" s="99">
        <v>25679</v>
      </c>
      <c r="CH317" s="99">
        <v>-3945</v>
      </c>
      <c r="CI317" s="99">
        <v>11860453</v>
      </c>
      <c r="CJ317" s="99">
        <v>1151391</v>
      </c>
      <c r="CK317" s="99">
        <v>10709062</v>
      </c>
      <c r="CL317" s="99">
        <v>3540219</v>
      </c>
      <c r="CM317" s="99">
        <v>6402700</v>
      </c>
      <c r="CN317" s="99">
        <v>766143</v>
      </c>
      <c r="CO317" s="99">
        <v>0</v>
      </c>
      <c r="CP317" s="99">
        <v>0</v>
      </c>
      <c r="CQ317" s="99">
        <v>766143</v>
      </c>
      <c r="CR317" s="99">
        <v>-2045934</v>
      </c>
      <c r="CS317" s="99">
        <v>-423741</v>
      </c>
      <c r="CT317" s="99">
        <v>-323088</v>
      </c>
      <c r="CU317" s="99">
        <v>-2977</v>
      </c>
      <c r="CV317" s="99">
        <v>-422</v>
      </c>
      <c r="CW317" s="99">
        <v>-97254</v>
      </c>
      <c r="CX317" s="99">
        <v>-1226896</v>
      </c>
      <c r="CY317" s="99">
        <v>-1219383</v>
      </c>
      <c r="CZ317" s="99">
        <v>-7280</v>
      </c>
      <c r="DA317" s="99">
        <v>-233</v>
      </c>
      <c r="DB317" s="99">
        <v>-395297</v>
      </c>
      <c r="DC317" s="99">
        <v>0</v>
      </c>
      <c r="DD317" s="99">
        <v>9814519</v>
      </c>
      <c r="DE317" s="99">
        <v>6737873</v>
      </c>
      <c r="DF317" s="99">
        <v>3076646</v>
      </c>
      <c r="DG317" s="99">
        <v>3009906</v>
      </c>
      <c r="DH317" s="99">
        <v>66740</v>
      </c>
      <c r="DI317" s="99">
        <v>1744687</v>
      </c>
      <c r="DJ317" s="99">
        <v>59382</v>
      </c>
      <c r="DK317" s="99">
        <v>39324</v>
      </c>
      <c r="DL317" s="99">
        <v>1165</v>
      </c>
      <c r="DM317" s="99">
        <v>967378</v>
      </c>
      <c r="DN317" s="99">
        <v>557363</v>
      </c>
      <c r="DO317" s="99">
        <v>113159</v>
      </c>
      <c r="DP317" s="99"/>
      <c r="DQ317" s="99">
        <v>6864</v>
      </c>
      <c r="DR317" s="99">
        <v>52</v>
      </c>
      <c r="DS317" s="99">
        <v>-31232</v>
      </c>
      <c r="DT317" s="99">
        <v>-3733</v>
      </c>
      <c r="DU317" s="99">
        <v>-1217</v>
      </c>
      <c r="DV317" s="99">
        <v>-5</v>
      </c>
      <c r="DW317" s="99">
        <v>-14650</v>
      </c>
      <c r="DX317" s="99">
        <v>-5620</v>
      </c>
      <c r="DY317" s="99">
        <v>-6419</v>
      </c>
      <c r="DZ317" s="99">
        <v>-2611</v>
      </c>
      <c r="EA317" s="99">
        <v>-11535</v>
      </c>
      <c r="EB317" s="99">
        <v>-82</v>
      </c>
      <c r="EC317" s="99"/>
      <c r="ED317" s="99">
        <v>0</v>
      </c>
      <c r="EE317" s="99">
        <v>-10</v>
      </c>
      <c r="EF317" s="99">
        <v>1713455</v>
      </c>
      <c r="EG317" s="99">
        <v>527191</v>
      </c>
      <c r="EH317" s="99">
        <v>1186264</v>
      </c>
      <c r="EI317" s="99">
        <v>1168371</v>
      </c>
      <c r="EJ317" s="99">
        <v>17893</v>
      </c>
      <c r="EK317" s="99">
        <v>55649</v>
      </c>
      <c r="EL317" s="99">
        <v>13386</v>
      </c>
      <c r="EM317" s="99">
        <v>42263</v>
      </c>
      <c r="EN317" s="99">
        <v>41398</v>
      </c>
      <c r="EO317" s="99">
        <v>865</v>
      </c>
      <c r="EP317" s="99">
        <v>38107</v>
      </c>
      <c r="EQ317" s="99">
        <v>21683</v>
      </c>
      <c r="ER317" s="99">
        <v>16424</v>
      </c>
      <c r="ES317" s="99">
        <v>16105</v>
      </c>
      <c r="ET317" s="99">
        <v>319</v>
      </c>
      <c r="EU317" s="99">
        <v>1160</v>
      </c>
      <c r="EV317" s="99">
        <v>46</v>
      </c>
      <c r="EW317" s="99">
        <v>1114</v>
      </c>
      <c r="EX317" s="99">
        <v>1090</v>
      </c>
      <c r="EY317" s="99">
        <v>24</v>
      </c>
      <c r="EZ317" s="99">
        <v>952728</v>
      </c>
      <c r="FA317" s="99">
        <v>255325</v>
      </c>
      <c r="FB317" s="99">
        <v>697403</v>
      </c>
      <c r="FC317" s="99">
        <v>687142</v>
      </c>
      <c r="FD317" s="99">
        <v>10261</v>
      </c>
      <c r="FE317" s="99">
        <v>545828</v>
      </c>
      <c r="FF317" s="99">
        <v>227069</v>
      </c>
      <c r="FG317" s="99">
        <v>318759</v>
      </c>
      <c r="FH317" s="99">
        <v>312335</v>
      </c>
      <c r="FI317" s="99">
        <v>6424</v>
      </c>
      <c r="FJ317" s="99">
        <v>113077</v>
      </c>
      <c r="FK317" s="99">
        <v>2776</v>
      </c>
      <c r="FL317" s="99">
        <v>110301</v>
      </c>
      <c r="FM317" s="99">
        <v>110301</v>
      </c>
      <c r="FN317" s="99"/>
      <c r="FO317" s="99"/>
      <c r="FP317" s="99">
        <v>6864</v>
      </c>
      <c r="FQ317" s="99">
        <v>42</v>
      </c>
      <c r="FR317" s="99">
        <v>444143</v>
      </c>
      <c r="FS317" s="99">
        <v>-82240</v>
      </c>
      <c r="FT317" s="99">
        <v>361903</v>
      </c>
      <c r="FU317" s="99">
        <v>11746</v>
      </c>
      <c r="FV317" s="99">
        <v>10505</v>
      </c>
      <c r="FW317" s="99">
        <v>1241</v>
      </c>
      <c r="FX317" s="99">
        <v>145856</v>
      </c>
      <c r="FY317" s="99">
        <v>114885</v>
      </c>
      <c r="FZ317" s="99"/>
      <c r="GA317" s="99"/>
      <c r="GB317" s="99">
        <v>47</v>
      </c>
      <c r="GC317" s="99">
        <v>-13072</v>
      </c>
      <c r="GD317" s="99">
        <v>-52443</v>
      </c>
      <c r="GE317" s="99">
        <v>980</v>
      </c>
      <c r="GF317" s="99">
        <v>38391</v>
      </c>
      <c r="GG317" s="99">
        <v>102441</v>
      </c>
      <c r="GH317" s="99">
        <v>5754</v>
      </c>
      <c r="GI317" s="99">
        <v>287</v>
      </c>
      <c r="GJ317" s="99">
        <v>96400</v>
      </c>
      <c r="GL317"/>
      <c r="GM317"/>
      <c r="GN317"/>
      <c r="GO317"/>
    </row>
    <row r="318" spans="1:197">
      <c r="A318" s="98">
        <v>2020</v>
      </c>
      <c r="B318" s="98">
        <v>11</v>
      </c>
      <c r="C318" s="98" t="s">
        <v>227</v>
      </c>
      <c r="D318" s="99">
        <v>18656505</v>
      </c>
      <c r="E318" s="99">
        <v>-3274980</v>
      </c>
      <c r="F318" s="99">
        <v>-15636</v>
      </c>
      <c r="G318" s="99">
        <v>15365889</v>
      </c>
      <c r="H318" s="99">
        <v>7443700</v>
      </c>
      <c r="I318" s="99">
        <v>7922189</v>
      </c>
      <c r="J318" s="99">
        <v>7760990</v>
      </c>
      <c r="K318" s="99">
        <v>161199</v>
      </c>
      <c r="L318" s="99">
        <v>9386880</v>
      </c>
      <c r="M318" s="99">
        <v>4946877</v>
      </c>
      <c r="N318" s="99">
        <v>4018951</v>
      </c>
      <c r="O318" s="99">
        <v>3845564</v>
      </c>
      <c r="P318" s="99">
        <v>173387</v>
      </c>
      <c r="Q318" s="99">
        <v>86037</v>
      </c>
      <c r="R318" s="99">
        <v>335015</v>
      </c>
      <c r="S318" s="99">
        <v>-606799</v>
      </c>
      <c r="T318" s="99">
        <v>-594501</v>
      </c>
      <c r="U318" s="99">
        <v>-76857</v>
      </c>
      <c r="V318" s="99">
        <v>-17</v>
      </c>
      <c r="W318" s="99">
        <v>-475492</v>
      </c>
      <c r="X318" s="99">
        <v>0</v>
      </c>
      <c r="Y318" s="99">
        <v>-42135</v>
      </c>
      <c r="Z318" s="99">
        <v>-6142</v>
      </c>
      <c r="AA318" s="99">
        <v>-6156</v>
      </c>
      <c r="AB318" s="99">
        <v>0</v>
      </c>
      <c r="AC318" s="99">
        <v>-15636</v>
      </c>
      <c r="AD318" s="99">
        <v>8764445</v>
      </c>
      <c r="AE318" s="99">
        <v>5105165</v>
      </c>
      <c r="AF318" s="99">
        <v>3659280</v>
      </c>
      <c r="AG318" s="99">
        <v>3582713</v>
      </c>
      <c r="AH318" s="99">
        <v>76567</v>
      </c>
      <c r="AI318" s="99">
        <v>4941960</v>
      </c>
      <c r="AJ318" s="99">
        <v>1979001</v>
      </c>
      <c r="AK318" s="99">
        <v>2663614</v>
      </c>
      <c r="AL318" s="99">
        <v>33158</v>
      </c>
      <c r="AM318" s="99">
        <v>82180</v>
      </c>
      <c r="AN318" s="99">
        <v>113283</v>
      </c>
      <c r="AO318" s="99">
        <v>44934</v>
      </c>
      <c r="AP318" s="99">
        <v>11535</v>
      </c>
      <c r="AQ318" s="99">
        <v>81844</v>
      </c>
      <c r="AR318" s="99">
        <v>3424450</v>
      </c>
      <c r="AS318" s="99">
        <v>79895</v>
      </c>
      <c r="AT318" s="99">
        <v>0</v>
      </c>
      <c r="AU318" s="99">
        <v>-15636</v>
      </c>
      <c r="AV318" s="99">
        <v>417188</v>
      </c>
      <c r="AW318" s="99">
        <v>95388</v>
      </c>
      <c r="AX318" s="99">
        <v>142749</v>
      </c>
      <c r="AY318" s="99">
        <v>18346</v>
      </c>
      <c r="AZ318" s="99">
        <v>10281</v>
      </c>
      <c r="BA318" s="99">
        <v>14252</v>
      </c>
      <c r="BB318" s="99">
        <v>99870</v>
      </c>
      <c r="BC318" s="99">
        <v>109745</v>
      </c>
      <c r="BD318" s="99">
        <v>69306</v>
      </c>
      <c r="BE318" s="99">
        <v>-449744</v>
      </c>
      <c r="BF318" s="99">
        <v>-384390</v>
      </c>
      <c r="BG318" s="99">
        <v>-366497</v>
      </c>
      <c r="BH318" s="99">
        <v>-17893</v>
      </c>
      <c r="BI318" s="99">
        <v>-351073</v>
      </c>
      <c r="BJ318" s="99">
        <v>-4552</v>
      </c>
      <c r="BK318" s="99">
        <v>-28765</v>
      </c>
      <c r="BL318" s="99">
        <v>-65354</v>
      </c>
      <c r="BM318" s="99">
        <v>0</v>
      </c>
      <c r="BN318" s="99">
        <v>-32556</v>
      </c>
      <c r="BO318" s="99">
        <v>32317</v>
      </c>
      <c r="BP318" s="99">
        <v>17478</v>
      </c>
      <c r="BQ318" s="99">
        <v>19120</v>
      </c>
      <c r="BR318" s="99">
        <v>-98</v>
      </c>
      <c r="BS318" s="99">
        <v>30517</v>
      </c>
      <c r="BT318" s="99">
        <v>11264</v>
      </c>
      <c r="BU318" s="99">
        <v>16120</v>
      </c>
      <c r="BV318" s="99">
        <v>5158</v>
      </c>
      <c r="BW318" s="99">
        <v>-2025</v>
      </c>
      <c r="BX318" s="99">
        <v>-223748</v>
      </c>
      <c r="BY318" s="99">
        <v>91852</v>
      </c>
      <c r="BZ318" s="99">
        <v>6</v>
      </c>
      <c r="CA318" s="99">
        <v>123273</v>
      </c>
      <c r="CB318" s="99">
        <v>-51241</v>
      </c>
      <c r="CC318" s="99">
        <v>-51241</v>
      </c>
      <c r="CD318" s="99">
        <v>0</v>
      </c>
      <c r="CE318" s="99">
        <v>72032</v>
      </c>
      <c r="CF318" s="99">
        <v>92740</v>
      </c>
      <c r="CG318" s="99">
        <v>-5</v>
      </c>
      <c r="CH318" s="99">
        <v>-20703</v>
      </c>
      <c r="CI318" s="99">
        <v>6123815</v>
      </c>
      <c r="CJ318" s="99">
        <v>1423763</v>
      </c>
      <c r="CK318" s="99">
        <v>4700052</v>
      </c>
      <c r="CL318" s="99">
        <v>3587360</v>
      </c>
      <c r="CM318" s="99">
        <v>188971</v>
      </c>
      <c r="CN318" s="99">
        <v>923721</v>
      </c>
      <c r="CO318" s="99">
        <v>0</v>
      </c>
      <c r="CP318" s="99">
        <v>0</v>
      </c>
      <c r="CQ318" s="99">
        <v>923721</v>
      </c>
      <c r="CR318" s="99">
        <v>-2037290</v>
      </c>
      <c r="CS318" s="99">
        <v>-348021</v>
      </c>
      <c r="CT318" s="99">
        <v>-233483</v>
      </c>
      <c r="CU318" s="99">
        <v>-39063</v>
      </c>
      <c r="CV318" s="99">
        <v>-144</v>
      </c>
      <c r="CW318" s="99">
        <v>-75331</v>
      </c>
      <c r="CX318" s="99">
        <v>-1659820</v>
      </c>
      <c r="CY318" s="99">
        <v>-1651508</v>
      </c>
      <c r="CZ318" s="99">
        <v>-7039</v>
      </c>
      <c r="DA318" s="99">
        <v>-1273</v>
      </c>
      <c r="DB318" s="99">
        <v>0</v>
      </c>
      <c r="DC318" s="99">
        <v>-29449</v>
      </c>
      <c r="DD318" s="99">
        <v>4086525</v>
      </c>
      <c r="DE318" s="99">
        <v>1009877</v>
      </c>
      <c r="DF318" s="99">
        <v>3076648</v>
      </c>
      <c r="DG318" s="99">
        <v>3009907</v>
      </c>
      <c r="DH318" s="99">
        <v>66741</v>
      </c>
      <c r="DI318" s="99">
        <v>1724230</v>
      </c>
      <c r="DJ318" s="99">
        <v>75192</v>
      </c>
      <c r="DK318" s="99">
        <v>35098</v>
      </c>
      <c r="DL318" s="99">
        <v>2852</v>
      </c>
      <c r="DM318" s="99">
        <v>956938</v>
      </c>
      <c r="DN318" s="99">
        <v>553518</v>
      </c>
      <c r="DO318" s="99">
        <v>100560</v>
      </c>
      <c r="DP318" s="99"/>
      <c r="DQ318" s="99">
        <v>1</v>
      </c>
      <c r="DR318" s="99">
        <v>71</v>
      </c>
      <c r="DS318" s="99">
        <v>-62837</v>
      </c>
      <c r="DT318" s="99">
        <v>-4386</v>
      </c>
      <c r="DU318" s="99">
        <v>-93</v>
      </c>
      <c r="DV318" s="99">
        <v>-6</v>
      </c>
      <c r="DW318" s="99">
        <v>-57779</v>
      </c>
      <c r="DX318" s="99">
        <v>-4708</v>
      </c>
      <c r="DY318" s="99">
        <v>-51478</v>
      </c>
      <c r="DZ318" s="99">
        <v>-1593</v>
      </c>
      <c r="EA318" s="99">
        <v>-544</v>
      </c>
      <c r="EB318" s="99">
        <v>-1</v>
      </c>
      <c r="EC318" s="99"/>
      <c r="ED318" s="99">
        <v>0</v>
      </c>
      <c r="EE318" s="99">
        <v>-28</v>
      </c>
      <c r="EF318" s="99">
        <v>1661393</v>
      </c>
      <c r="EG318" s="99">
        <v>475132</v>
      </c>
      <c r="EH318" s="99">
        <v>1186261</v>
      </c>
      <c r="EI318" s="99">
        <v>1168370</v>
      </c>
      <c r="EJ318" s="99">
        <v>17891</v>
      </c>
      <c r="EK318" s="99">
        <v>70806</v>
      </c>
      <c r="EL318" s="99">
        <v>28542</v>
      </c>
      <c r="EM318" s="99">
        <v>42264</v>
      </c>
      <c r="EN318" s="99">
        <v>41399</v>
      </c>
      <c r="EO318" s="99">
        <v>865</v>
      </c>
      <c r="EP318" s="99">
        <v>35005</v>
      </c>
      <c r="EQ318" s="99">
        <v>18582</v>
      </c>
      <c r="ER318" s="99">
        <v>16423</v>
      </c>
      <c r="ES318" s="99">
        <v>16104</v>
      </c>
      <c r="ET318" s="99">
        <v>319</v>
      </c>
      <c r="EU318" s="99">
        <v>2846</v>
      </c>
      <c r="EV318" s="99">
        <v>1734</v>
      </c>
      <c r="EW318" s="99">
        <v>1112</v>
      </c>
      <c r="EX318" s="99">
        <v>1089</v>
      </c>
      <c r="EY318" s="99">
        <v>23</v>
      </c>
      <c r="EZ318" s="99">
        <v>899159</v>
      </c>
      <c r="FA318" s="99">
        <v>201758</v>
      </c>
      <c r="FB318" s="99">
        <v>697401</v>
      </c>
      <c r="FC318" s="99">
        <v>687141</v>
      </c>
      <c r="FD318" s="99">
        <v>10260</v>
      </c>
      <c r="FE318" s="99">
        <v>552974</v>
      </c>
      <c r="FF318" s="99">
        <v>234214</v>
      </c>
      <c r="FG318" s="99">
        <v>318760</v>
      </c>
      <c r="FH318" s="99">
        <v>312336</v>
      </c>
      <c r="FI318" s="99">
        <v>6424</v>
      </c>
      <c r="FJ318" s="99">
        <v>100559</v>
      </c>
      <c r="FK318" s="99">
        <v>-9742</v>
      </c>
      <c r="FL318" s="99">
        <v>110301</v>
      </c>
      <c r="FM318" s="99">
        <v>110301</v>
      </c>
      <c r="FN318" s="99"/>
      <c r="FO318" s="99"/>
      <c r="FP318" s="99">
        <v>1</v>
      </c>
      <c r="FQ318" s="99">
        <v>43</v>
      </c>
      <c r="FR318" s="99">
        <v>881119</v>
      </c>
      <c r="FS318" s="99">
        <v>-67069</v>
      </c>
      <c r="FT318" s="99">
        <v>814050</v>
      </c>
      <c r="FU318" s="99">
        <v>347437</v>
      </c>
      <c r="FV318" s="99">
        <v>347015</v>
      </c>
      <c r="FW318" s="99">
        <v>422</v>
      </c>
      <c r="FX318" s="99">
        <v>147531</v>
      </c>
      <c r="FY318" s="99">
        <v>126854</v>
      </c>
      <c r="FZ318" s="99"/>
      <c r="GA318" s="99"/>
      <c r="GB318" s="99">
        <v>7733</v>
      </c>
      <c r="GC318" s="99">
        <v>72967</v>
      </c>
      <c r="GD318" s="99">
        <v>28491</v>
      </c>
      <c r="GE318" s="99">
        <v>36</v>
      </c>
      <c r="GF318" s="99">
        <v>44440</v>
      </c>
      <c r="GG318" s="99">
        <v>111528</v>
      </c>
      <c r="GH318" s="99">
        <v>11311</v>
      </c>
      <c r="GI318" s="99">
        <v>814</v>
      </c>
      <c r="GJ318" s="99">
        <v>99403</v>
      </c>
      <c r="GL318"/>
      <c r="GM318"/>
      <c r="GN318"/>
      <c r="GO318"/>
    </row>
    <row r="319" spans="1:197">
      <c r="A319" s="98">
        <v>2020</v>
      </c>
      <c r="B319" s="98">
        <v>12</v>
      </c>
      <c r="C319" s="98" t="s">
        <v>228</v>
      </c>
      <c r="D319" s="99">
        <v>19589202</v>
      </c>
      <c r="E319" s="99">
        <v>-5397903</v>
      </c>
      <c r="F319" s="99">
        <v>-137050</v>
      </c>
      <c r="G319" s="99">
        <v>14054249</v>
      </c>
      <c r="H319" s="99">
        <v>6021009</v>
      </c>
      <c r="I319" s="99">
        <v>8033240</v>
      </c>
      <c r="J319" s="99">
        <v>7760990</v>
      </c>
      <c r="K319" s="99">
        <v>272250</v>
      </c>
      <c r="L319" s="99">
        <v>6325241</v>
      </c>
      <c r="M319" s="99">
        <v>5832759</v>
      </c>
      <c r="N319" s="99">
        <v>165126</v>
      </c>
      <c r="O319" s="99">
        <v>42799</v>
      </c>
      <c r="P319" s="99">
        <v>122327</v>
      </c>
      <c r="Q319" s="99">
        <v>55554</v>
      </c>
      <c r="R319" s="99">
        <v>271802</v>
      </c>
      <c r="S319" s="99">
        <v>-574145</v>
      </c>
      <c r="T319" s="99">
        <v>-559950</v>
      </c>
      <c r="U319" s="99">
        <v>-66139</v>
      </c>
      <c r="V319" s="99">
        <v>-9</v>
      </c>
      <c r="W319" s="99">
        <v>-455357</v>
      </c>
      <c r="X319" s="99">
        <v>0</v>
      </c>
      <c r="Y319" s="99">
        <v>-38445</v>
      </c>
      <c r="Z319" s="99">
        <v>-6427</v>
      </c>
      <c r="AA319" s="99">
        <v>-7768</v>
      </c>
      <c r="AB319" s="99">
        <v>0</v>
      </c>
      <c r="AC319" s="99">
        <v>-137050</v>
      </c>
      <c r="AD319" s="99">
        <v>5614046</v>
      </c>
      <c r="AE319" s="99">
        <v>1836024</v>
      </c>
      <c r="AF319" s="99">
        <v>3778022</v>
      </c>
      <c r="AG319" s="99">
        <v>3582712</v>
      </c>
      <c r="AH319" s="99">
        <v>195310</v>
      </c>
      <c r="AI319" s="99">
        <v>5826174</v>
      </c>
      <c r="AJ319" s="99">
        <v>2911176</v>
      </c>
      <c r="AK319" s="99">
        <v>2852013</v>
      </c>
      <c r="AL319" s="99">
        <v>20883</v>
      </c>
      <c r="AM319" s="99">
        <v>121788</v>
      </c>
      <c r="AN319" s="99">
        <v>42686</v>
      </c>
      <c r="AO319" s="99">
        <v>68947</v>
      </c>
      <c r="AP319" s="99">
        <v>16461</v>
      </c>
      <c r="AQ319" s="99">
        <v>20737</v>
      </c>
      <c r="AR319" s="99">
        <v>-394824</v>
      </c>
      <c r="AS319" s="99">
        <v>49127</v>
      </c>
      <c r="AT319" s="99">
        <v>0</v>
      </c>
      <c r="AU319" s="99">
        <v>-137050</v>
      </c>
      <c r="AV319" s="99">
        <v>5093996</v>
      </c>
      <c r="AW319" s="99">
        <v>4373152</v>
      </c>
      <c r="AX319" s="99">
        <v>118987</v>
      </c>
      <c r="AY319" s="99">
        <v>14827</v>
      </c>
      <c r="AZ319" s="99">
        <v>5962</v>
      </c>
      <c r="BA319" s="99">
        <v>19361</v>
      </c>
      <c r="BB319" s="99">
        <v>78837</v>
      </c>
      <c r="BC319" s="99">
        <v>515163</v>
      </c>
      <c r="BD319" s="99">
        <v>86694</v>
      </c>
      <c r="BE319" s="99">
        <v>-2041326</v>
      </c>
      <c r="BF319" s="99">
        <v>-1990051</v>
      </c>
      <c r="BG319" s="99">
        <v>-1968524</v>
      </c>
      <c r="BH319" s="99">
        <v>-21527</v>
      </c>
      <c r="BI319" s="99">
        <v>-1933587</v>
      </c>
      <c r="BJ319" s="99">
        <v>-12785</v>
      </c>
      <c r="BK319" s="99">
        <v>-43679</v>
      </c>
      <c r="BL319" s="99">
        <v>-51275</v>
      </c>
      <c r="BM319" s="99">
        <v>0</v>
      </c>
      <c r="BN319" s="99">
        <v>3052670</v>
      </c>
      <c r="BO319" s="99">
        <v>40563</v>
      </c>
      <c r="BP319" s="99">
        <v>14923</v>
      </c>
      <c r="BQ319" s="99">
        <v>29341</v>
      </c>
      <c r="BR319" s="99">
        <v>1404</v>
      </c>
      <c r="BS319" s="99">
        <v>4322276</v>
      </c>
      <c r="BT319" s="99">
        <v>1487305</v>
      </c>
      <c r="BU319" s="99">
        <v>1904887</v>
      </c>
      <c r="BV319" s="99">
        <v>966095</v>
      </c>
      <c r="BW319" s="99">
        <v>-36011</v>
      </c>
      <c r="BX319" s="99">
        <v>-1849537</v>
      </c>
      <c r="BY319" s="99">
        <v>493636</v>
      </c>
      <c r="BZ319" s="99">
        <v>64</v>
      </c>
      <c r="CA319" s="99">
        <v>188364</v>
      </c>
      <c r="CB319" s="99">
        <v>-47030</v>
      </c>
      <c r="CC319" s="99">
        <v>-47030</v>
      </c>
      <c r="CD319" s="99">
        <v>0</v>
      </c>
      <c r="CE319" s="99">
        <v>141334</v>
      </c>
      <c r="CF319" s="99">
        <v>134460</v>
      </c>
      <c r="CG319" s="99">
        <v>14754</v>
      </c>
      <c r="CH319" s="99">
        <v>-7880</v>
      </c>
      <c r="CI319" s="99">
        <v>5788373</v>
      </c>
      <c r="CJ319" s="99">
        <v>1445291</v>
      </c>
      <c r="CK319" s="99">
        <v>4343082</v>
      </c>
      <c r="CL319" s="99">
        <v>3943926</v>
      </c>
      <c r="CM319" s="99">
        <v>78816</v>
      </c>
      <c r="CN319" s="99">
        <v>320340</v>
      </c>
      <c r="CO319" s="99">
        <v>0</v>
      </c>
      <c r="CP319" s="99">
        <v>31030</v>
      </c>
      <c r="CQ319" s="99">
        <v>289310</v>
      </c>
      <c r="CR319" s="99">
        <v>-2546237</v>
      </c>
      <c r="CS319" s="99">
        <v>-201898</v>
      </c>
      <c r="CT319" s="99">
        <v>-114295</v>
      </c>
      <c r="CU319" s="99">
        <v>-3354</v>
      </c>
      <c r="CV319" s="99">
        <v>-112</v>
      </c>
      <c r="CW319" s="99">
        <v>-84137</v>
      </c>
      <c r="CX319" s="99">
        <v>-1646944</v>
      </c>
      <c r="CY319" s="99">
        <v>-1642801</v>
      </c>
      <c r="CZ319" s="99">
        <v>-4079</v>
      </c>
      <c r="DA319" s="99">
        <v>-64</v>
      </c>
      <c r="DB319" s="99">
        <v>-455751</v>
      </c>
      <c r="DC319" s="99">
        <v>-241644</v>
      </c>
      <c r="DD319" s="99">
        <v>3242136</v>
      </c>
      <c r="DE319" s="99">
        <v>156329</v>
      </c>
      <c r="DF319" s="99">
        <v>3085807</v>
      </c>
      <c r="DG319" s="99">
        <v>3009907</v>
      </c>
      <c r="DH319" s="99">
        <v>75900</v>
      </c>
      <c r="DI319" s="99">
        <v>1553094</v>
      </c>
      <c r="DJ319" s="99">
        <v>56390</v>
      </c>
      <c r="DK319" s="99">
        <v>27637</v>
      </c>
      <c r="DL319" s="99">
        <v>980</v>
      </c>
      <c r="DM319" s="99">
        <v>867065</v>
      </c>
      <c r="DN319" s="99">
        <v>504754</v>
      </c>
      <c r="DO319" s="99">
        <v>96276</v>
      </c>
      <c r="DP319" s="99"/>
      <c r="DQ319" s="99">
        <v>-66</v>
      </c>
      <c r="DR319" s="99">
        <v>58</v>
      </c>
      <c r="DS319" s="99">
        <v>-98944</v>
      </c>
      <c r="DT319" s="99">
        <v>-3032</v>
      </c>
      <c r="DU319" s="99">
        <v>-3923</v>
      </c>
      <c r="DV319" s="99">
        <v>-9</v>
      </c>
      <c r="DW319" s="99">
        <v>-75539</v>
      </c>
      <c r="DX319" s="99">
        <v>-3742</v>
      </c>
      <c r="DY319" s="99">
        <v>-10840</v>
      </c>
      <c r="DZ319" s="99">
        <v>-60957</v>
      </c>
      <c r="EA319" s="99">
        <v>-12531</v>
      </c>
      <c r="EB319" s="99">
        <v>-72</v>
      </c>
      <c r="EC319" s="99"/>
      <c r="ED319" s="99">
        <v>-3760</v>
      </c>
      <c r="EE319" s="99">
        <v>-78</v>
      </c>
      <c r="EF319" s="99">
        <v>1454150</v>
      </c>
      <c r="EG319" s="99">
        <v>284739</v>
      </c>
      <c r="EH319" s="99">
        <v>1169411</v>
      </c>
      <c r="EI319" s="99">
        <v>1168371</v>
      </c>
      <c r="EJ319" s="99">
        <v>1040</v>
      </c>
      <c r="EK319" s="99">
        <v>53358</v>
      </c>
      <c r="EL319" s="99">
        <v>12621</v>
      </c>
      <c r="EM319" s="99">
        <v>40737</v>
      </c>
      <c r="EN319" s="99">
        <v>41398</v>
      </c>
      <c r="EO319" s="99">
        <v>-661</v>
      </c>
      <c r="EP319" s="99">
        <v>23714</v>
      </c>
      <c r="EQ319" s="99">
        <v>7357</v>
      </c>
      <c r="ER319" s="99">
        <v>16357</v>
      </c>
      <c r="ES319" s="99">
        <v>16105</v>
      </c>
      <c r="ET319" s="99">
        <v>252</v>
      </c>
      <c r="EU319" s="99">
        <v>971</v>
      </c>
      <c r="EV319" s="99">
        <v>-52</v>
      </c>
      <c r="EW319" s="99">
        <v>1023</v>
      </c>
      <c r="EX319" s="99">
        <v>1089</v>
      </c>
      <c r="EY319" s="99">
        <v>-66</v>
      </c>
      <c r="EZ319" s="99">
        <v>791526</v>
      </c>
      <c r="FA319" s="99">
        <v>96418</v>
      </c>
      <c r="FB319" s="99">
        <v>695108</v>
      </c>
      <c r="FC319" s="99">
        <v>687142</v>
      </c>
      <c r="FD319" s="99">
        <v>7966</v>
      </c>
      <c r="FE319" s="99">
        <v>492223</v>
      </c>
      <c r="FF319" s="99">
        <v>186338</v>
      </c>
      <c r="FG319" s="99">
        <v>305885</v>
      </c>
      <c r="FH319" s="99">
        <v>312336</v>
      </c>
      <c r="FI319" s="99">
        <v>-6451</v>
      </c>
      <c r="FJ319" s="99">
        <v>96204</v>
      </c>
      <c r="FK319" s="99">
        <v>-14097</v>
      </c>
      <c r="FL319" s="99">
        <v>110301</v>
      </c>
      <c r="FM319" s="99">
        <v>110301</v>
      </c>
      <c r="FN319" s="99"/>
      <c r="FO319" s="99"/>
      <c r="FP319" s="99">
        <v>-3826</v>
      </c>
      <c r="FQ319" s="99">
        <v>-20</v>
      </c>
      <c r="FR319" s="99">
        <v>640134</v>
      </c>
      <c r="FS319" s="99">
        <v>-90221</v>
      </c>
      <c r="FT319" s="99">
        <v>549913</v>
      </c>
      <c r="FU319" s="99">
        <v>186759</v>
      </c>
      <c r="FV319" s="99">
        <v>186500</v>
      </c>
      <c r="FW319" s="99">
        <v>259</v>
      </c>
      <c r="FX319" s="99">
        <v>139505</v>
      </c>
      <c r="FY319" s="99">
        <v>125417</v>
      </c>
      <c r="FZ319" s="99"/>
      <c r="GA319" s="99"/>
      <c r="GB319" s="99">
        <v>137</v>
      </c>
      <c r="GC319" s="99">
        <v>-27126</v>
      </c>
      <c r="GD319" s="99">
        <v>-31253</v>
      </c>
      <c r="GE319" s="99">
        <v>70</v>
      </c>
      <c r="GF319" s="99">
        <v>4057</v>
      </c>
      <c r="GG319" s="99">
        <v>125221</v>
      </c>
      <c r="GH319" s="99">
        <v>8282</v>
      </c>
      <c r="GI319" s="99">
        <v>456</v>
      </c>
      <c r="GJ319" s="99">
        <v>116483</v>
      </c>
      <c r="GL319"/>
      <c r="GM319"/>
      <c r="GN319"/>
      <c r="GO319"/>
    </row>
    <row r="320" spans="1:197">
      <c r="A320" s="96">
        <v>2021</v>
      </c>
      <c r="B320" s="96">
        <v>1</v>
      </c>
      <c r="C320" s="97" t="s">
        <v>217</v>
      </c>
      <c r="D320" s="314">
        <v>22095371</v>
      </c>
      <c r="E320" s="314">
        <v>-7484250</v>
      </c>
      <c r="F320" s="314">
        <v>-15636</v>
      </c>
      <c r="G320" s="314">
        <v>14595485</v>
      </c>
      <c r="H320" s="314">
        <v>6490317</v>
      </c>
      <c r="I320" s="314">
        <v>8105168</v>
      </c>
      <c r="J320" s="314">
        <v>7938482</v>
      </c>
      <c r="K320" s="314">
        <v>166686</v>
      </c>
      <c r="L320" s="314">
        <v>13388286</v>
      </c>
      <c r="M320" s="314">
        <v>11683682</v>
      </c>
      <c r="N320" s="314">
        <v>122061</v>
      </c>
      <c r="O320" s="314">
        <v>0</v>
      </c>
      <c r="P320" s="314">
        <v>122061</v>
      </c>
      <c r="Q320" s="314">
        <v>60527</v>
      </c>
      <c r="R320" s="314">
        <v>1522016</v>
      </c>
      <c r="S320" s="314">
        <v>-324934</v>
      </c>
      <c r="T320" s="314">
        <v>-302052</v>
      </c>
      <c r="U320" s="314">
        <v>0</v>
      </c>
      <c r="V320" s="314">
        <v>-84085</v>
      </c>
      <c r="W320" s="314">
        <v>0</v>
      </c>
      <c r="X320" s="314">
        <v>-197409</v>
      </c>
      <c r="Y320" s="314">
        <v>-20558</v>
      </c>
      <c r="Z320" s="314">
        <v>-5784</v>
      </c>
      <c r="AA320" s="314">
        <v>-3459</v>
      </c>
      <c r="AB320" s="314">
        <v>-13639</v>
      </c>
      <c r="AC320" s="314">
        <v>-15636</v>
      </c>
      <c r="AD320" s="314">
        <v>13047716</v>
      </c>
      <c r="AE320" s="314">
        <v>9144386</v>
      </c>
      <c r="AF320" s="314">
        <v>3903330</v>
      </c>
      <c r="AG320" s="314">
        <v>3819939</v>
      </c>
      <c r="AH320" s="314">
        <v>83391</v>
      </c>
      <c r="AI320" s="314">
        <v>11680652</v>
      </c>
      <c r="AJ320" s="314">
        <v>2499016</v>
      </c>
      <c r="AK320" s="314">
        <v>4319258</v>
      </c>
      <c r="AL320" s="314">
        <v>4831373</v>
      </c>
      <c r="AM320" s="314">
        <v>863121</v>
      </c>
      <c r="AN320" s="314">
        <v>349800</v>
      </c>
      <c r="AO320" s="314">
        <v>114881</v>
      </c>
      <c r="AP320" s="314">
        <v>130228</v>
      </c>
      <c r="AQ320" s="314">
        <v>49918</v>
      </c>
      <c r="AR320" s="314">
        <v>-179991</v>
      </c>
      <c r="AS320" s="314">
        <v>54743</v>
      </c>
      <c r="AT320" s="314">
        <v>0</v>
      </c>
      <c r="AU320" s="314">
        <v>-15636</v>
      </c>
      <c r="AV320" s="314">
        <v>1112593</v>
      </c>
      <c r="AW320" s="314">
        <v>42917</v>
      </c>
      <c r="AX320" s="314">
        <v>136112</v>
      </c>
      <c r="AY320" s="314">
        <v>12247</v>
      </c>
      <c r="AZ320" s="314">
        <v>48890</v>
      </c>
      <c r="BA320" s="314">
        <v>9500</v>
      </c>
      <c r="BB320" s="314">
        <v>65475</v>
      </c>
      <c r="BC320" s="314">
        <v>366981</v>
      </c>
      <c r="BD320" s="314">
        <v>566583</v>
      </c>
      <c r="BE320" s="314">
        <v>-5385292</v>
      </c>
      <c r="BF320" s="314">
        <v>-5368083</v>
      </c>
      <c r="BG320" s="314">
        <v>-5341662</v>
      </c>
      <c r="BH320" s="314">
        <v>-26421</v>
      </c>
      <c r="BI320" s="314">
        <v>0</v>
      </c>
      <c r="BJ320" s="314">
        <v>-5329051</v>
      </c>
      <c r="BK320" s="314">
        <v>-39032</v>
      </c>
      <c r="BL320" s="314">
        <v>-17209</v>
      </c>
      <c r="BM320" s="314">
        <v>0</v>
      </c>
      <c r="BN320" s="314">
        <v>-4272699</v>
      </c>
      <c r="BO320" s="314">
        <v>372600</v>
      </c>
      <c r="BP320" s="314">
        <v>145507</v>
      </c>
      <c r="BQ320" s="314">
        <v>48340</v>
      </c>
      <c r="BR320" s="314">
        <v>0</v>
      </c>
      <c r="BS320" s="314">
        <v>25841</v>
      </c>
      <c r="BT320" s="314">
        <v>6689</v>
      </c>
      <c r="BU320" s="314">
        <v>5753</v>
      </c>
      <c r="BV320" s="314">
        <v>10431</v>
      </c>
      <c r="BW320" s="314">
        <v>2968</v>
      </c>
      <c r="BX320" s="314">
        <v>-5205550</v>
      </c>
      <c r="BY320" s="314">
        <v>340560</v>
      </c>
      <c r="BZ320" s="314">
        <v>3</v>
      </c>
      <c r="CA320" s="314">
        <v>351094</v>
      </c>
      <c r="CB320" s="314">
        <v>-68754</v>
      </c>
      <c r="CC320" s="314">
        <v>-68754</v>
      </c>
      <c r="CD320" s="314">
        <v>0</v>
      </c>
      <c r="CE320" s="314">
        <v>282340</v>
      </c>
      <c r="CF320" s="314">
        <v>269116</v>
      </c>
      <c r="CG320" s="314">
        <v>81</v>
      </c>
      <c r="CH320" s="314">
        <v>13143</v>
      </c>
      <c r="CI320" s="314">
        <v>5179864</v>
      </c>
      <c r="CJ320" s="314">
        <v>1374939</v>
      </c>
      <c r="CK320" s="314">
        <v>3804925</v>
      </c>
      <c r="CL320" s="314">
        <v>3090716</v>
      </c>
      <c r="CM320" s="314">
        <v>311106</v>
      </c>
      <c r="CN320" s="314">
        <v>403103</v>
      </c>
      <c r="CO320" s="314">
        <v>0</v>
      </c>
      <c r="CP320" s="314">
        <v>0</v>
      </c>
      <c r="CQ320" s="314">
        <v>403103</v>
      </c>
      <c r="CR320" s="314">
        <v>-1638782</v>
      </c>
      <c r="CS320" s="314">
        <v>-103701</v>
      </c>
      <c r="CT320" s="314">
        <v>-275</v>
      </c>
      <c r="CU320" s="314">
        <v>-43748</v>
      </c>
      <c r="CV320" s="314">
        <v>-18</v>
      </c>
      <c r="CW320" s="314">
        <v>-59660</v>
      </c>
      <c r="CX320" s="314">
        <v>-1535081</v>
      </c>
      <c r="CY320" s="314">
        <v>0</v>
      </c>
      <c r="CZ320" s="314">
        <v>-1534167</v>
      </c>
      <c r="DA320" s="314">
        <v>-914</v>
      </c>
      <c r="DB320" s="314">
        <v>0</v>
      </c>
      <c r="DC320" s="314">
        <v>0</v>
      </c>
      <c r="DD320" s="314">
        <v>3541082</v>
      </c>
      <c r="DE320" s="314">
        <v>495986</v>
      </c>
      <c r="DF320" s="314">
        <v>3045096</v>
      </c>
      <c r="DG320" s="314">
        <v>2980098</v>
      </c>
      <c r="DH320" s="314">
        <v>64998</v>
      </c>
      <c r="DI320" s="314">
        <v>1597681</v>
      </c>
      <c r="DJ320" s="314">
        <v>44076</v>
      </c>
      <c r="DK320" s="314">
        <v>24279</v>
      </c>
      <c r="DL320" s="314">
        <v>1114</v>
      </c>
      <c r="DM320" s="314">
        <v>917930</v>
      </c>
      <c r="DN320" s="314">
        <v>496103</v>
      </c>
      <c r="DO320" s="314">
        <v>107340</v>
      </c>
      <c r="DP320" s="314"/>
      <c r="DQ320" s="314">
        <v>6796</v>
      </c>
      <c r="DR320" s="314">
        <v>43</v>
      </c>
      <c r="DS320" s="314">
        <v>-15088</v>
      </c>
      <c r="DT320" s="314">
        <v>-5626</v>
      </c>
      <c r="DU320" s="314">
        <v>-105</v>
      </c>
      <c r="DV320" s="314">
        <v>-33</v>
      </c>
      <c r="DW320" s="314">
        <v>-9262</v>
      </c>
      <c r="DX320" s="314">
        <v>-3461</v>
      </c>
      <c r="DY320" s="314">
        <v>-4190</v>
      </c>
      <c r="DZ320" s="314">
        <v>-1611</v>
      </c>
      <c r="EA320" s="314">
        <v>-61</v>
      </c>
      <c r="EB320" s="314">
        <v>0</v>
      </c>
      <c r="EC320" s="314"/>
      <c r="ED320" s="314">
        <v>0</v>
      </c>
      <c r="EE320" s="314">
        <v>-1</v>
      </c>
      <c r="EF320" s="314">
        <v>1582593</v>
      </c>
      <c r="EG320" s="314">
        <v>425851</v>
      </c>
      <c r="EH320" s="314">
        <v>1156742</v>
      </c>
      <c r="EI320" s="314">
        <v>1138445</v>
      </c>
      <c r="EJ320" s="314">
        <v>18297</v>
      </c>
      <c r="EK320" s="314">
        <v>38450</v>
      </c>
      <c r="EL320" s="314">
        <v>828</v>
      </c>
      <c r="EM320" s="314">
        <v>37622</v>
      </c>
      <c r="EN320" s="314">
        <v>36804</v>
      </c>
      <c r="EO320" s="314">
        <v>818</v>
      </c>
      <c r="EP320" s="314">
        <v>24174</v>
      </c>
      <c r="EQ320" s="314">
        <v>8657</v>
      </c>
      <c r="ER320" s="314">
        <v>15517</v>
      </c>
      <c r="ES320" s="314">
        <v>15205</v>
      </c>
      <c r="ET320" s="314">
        <v>312</v>
      </c>
      <c r="EU320" s="314">
        <v>1081</v>
      </c>
      <c r="EV320" s="314">
        <v>64</v>
      </c>
      <c r="EW320" s="314">
        <v>1017</v>
      </c>
      <c r="EX320" s="314">
        <v>995</v>
      </c>
      <c r="EY320" s="314">
        <v>22</v>
      </c>
      <c r="EZ320" s="314">
        <v>908668</v>
      </c>
      <c r="FA320" s="314">
        <v>244704</v>
      </c>
      <c r="FB320" s="314">
        <v>663964</v>
      </c>
      <c r="FC320" s="314">
        <v>653012</v>
      </c>
      <c r="FD320" s="314">
        <v>10952</v>
      </c>
      <c r="FE320" s="314">
        <v>496042</v>
      </c>
      <c r="FF320" s="314">
        <v>169840</v>
      </c>
      <c r="FG320" s="314">
        <v>326202</v>
      </c>
      <c r="FH320" s="314">
        <v>320009</v>
      </c>
      <c r="FI320" s="314">
        <v>6193</v>
      </c>
      <c r="FJ320" s="314">
        <v>107340</v>
      </c>
      <c r="FK320" s="314">
        <v>-5080</v>
      </c>
      <c r="FL320" s="314">
        <v>112420</v>
      </c>
      <c r="FM320" s="314">
        <v>112420</v>
      </c>
      <c r="FN320" s="314" t="s">
        <v>619</v>
      </c>
      <c r="FO320" s="314"/>
      <c r="FP320" s="314">
        <v>6796</v>
      </c>
      <c r="FQ320" s="314">
        <v>42</v>
      </c>
      <c r="FR320" s="314">
        <v>465853</v>
      </c>
      <c r="FS320" s="314">
        <v>-51400</v>
      </c>
      <c r="FT320" s="314">
        <v>414453</v>
      </c>
      <c r="FU320" s="314">
        <v>23282</v>
      </c>
      <c r="FV320" s="314">
        <v>5410</v>
      </c>
      <c r="FW320" s="314">
        <v>17872</v>
      </c>
      <c r="FX320" s="314">
        <v>120952</v>
      </c>
      <c r="FY320" s="314">
        <v>129521</v>
      </c>
      <c r="FZ320" s="314">
        <v>0</v>
      </c>
      <c r="GA320" s="314">
        <v>0</v>
      </c>
      <c r="GB320" s="314">
        <v>90</v>
      </c>
      <c r="GC320" s="314">
        <v>-1668</v>
      </c>
      <c r="GD320" s="314">
        <v>-33232</v>
      </c>
      <c r="GE320" s="314">
        <v>0</v>
      </c>
      <c r="GF320" s="314">
        <v>31564</v>
      </c>
      <c r="GG320" s="314">
        <v>142276</v>
      </c>
      <c r="GH320" s="314">
        <v>9517</v>
      </c>
      <c r="GI320" s="314">
        <v>724</v>
      </c>
      <c r="GJ320" s="314">
        <v>132035</v>
      </c>
      <c r="GL320"/>
      <c r="GM320"/>
      <c r="GN320"/>
      <c r="GO320"/>
    </row>
    <row r="321" spans="1:197">
      <c r="A321" s="98">
        <v>2021</v>
      </c>
      <c r="B321" s="98">
        <v>2</v>
      </c>
      <c r="C321" s="98" t="s">
        <v>218</v>
      </c>
      <c r="D321" s="315">
        <v>23111727</v>
      </c>
      <c r="E321" s="315">
        <v>-2803214</v>
      </c>
      <c r="F321" s="315">
        <v>-16632</v>
      </c>
      <c r="G321" s="315">
        <v>20291881</v>
      </c>
      <c r="H321" s="315">
        <v>12186713</v>
      </c>
      <c r="I321" s="315">
        <v>8105168</v>
      </c>
      <c r="J321" s="315">
        <v>7938481</v>
      </c>
      <c r="K321" s="315">
        <v>166687</v>
      </c>
      <c r="L321" s="315">
        <v>6063725</v>
      </c>
      <c r="M321" s="315">
        <v>4853951</v>
      </c>
      <c r="N321" s="315">
        <v>139969</v>
      </c>
      <c r="O321" s="315">
        <v>0</v>
      </c>
      <c r="P321" s="315">
        <v>139969</v>
      </c>
      <c r="Q321" s="315">
        <v>69603</v>
      </c>
      <c r="R321" s="315">
        <v>1000202</v>
      </c>
      <c r="S321" s="315">
        <v>-185617</v>
      </c>
      <c r="T321" s="315">
        <v>-169389</v>
      </c>
      <c r="U321" s="315">
        <v>-30342</v>
      </c>
      <c r="V321" s="315">
        <v>-7283</v>
      </c>
      <c r="W321" s="315">
        <v>0</v>
      </c>
      <c r="X321" s="315">
        <v>-89143</v>
      </c>
      <c r="Y321" s="315">
        <v>-42621</v>
      </c>
      <c r="Z321" s="315">
        <v>-8146</v>
      </c>
      <c r="AA321" s="315">
        <v>-8082</v>
      </c>
      <c r="AB321" s="315">
        <v>0</v>
      </c>
      <c r="AC321" s="315">
        <v>-16632</v>
      </c>
      <c r="AD321" s="315">
        <v>5861476</v>
      </c>
      <c r="AE321" s="315">
        <v>1958142</v>
      </c>
      <c r="AF321" s="315">
        <v>3903334</v>
      </c>
      <c r="AG321" s="315">
        <v>3819940</v>
      </c>
      <c r="AH321" s="315">
        <v>83394</v>
      </c>
      <c r="AI321" s="315">
        <v>4847909</v>
      </c>
      <c r="AJ321" s="315">
        <v>1881780</v>
      </c>
      <c r="AK321" s="315">
        <v>2786399</v>
      </c>
      <c r="AL321" s="315">
        <v>140903</v>
      </c>
      <c r="AM321" s="315">
        <v>105918</v>
      </c>
      <c r="AN321" s="315">
        <v>55084</v>
      </c>
      <c r="AO321" s="315">
        <v>69117</v>
      </c>
      <c r="AP321" s="315">
        <v>58899</v>
      </c>
      <c r="AQ321" s="315">
        <v>709144</v>
      </c>
      <c r="AR321" s="315">
        <v>-29420</v>
      </c>
      <c r="AS321" s="315">
        <v>61457</v>
      </c>
      <c r="AT321" s="315">
        <v>0</v>
      </c>
      <c r="AU321" s="315">
        <v>-16632</v>
      </c>
      <c r="AV321" s="315">
        <v>392439</v>
      </c>
      <c r="AW321" s="315">
        <v>20766</v>
      </c>
      <c r="AX321" s="315">
        <v>118205</v>
      </c>
      <c r="AY321" s="315">
        <v>30788</v>
      </c>
      <c r="AZ321" s="315">
        <v>12243</v>
      </c>
      <c r="BA321" s="315">
        <v>12144</v>
      </c>
      <c r="BB321" s="315">
        <v>63030</v>
      </c>
      <c r="BC321" s="315">
        <v>159859</v>
      </c>
      <c r="BD321" s="315">
        <v>93609</v>
      </c>
      <c r="BE321" s="315">
        <v>-791005</v>
      </c>
      <c r="BF321" s="315">
        <v>-778207</v>
      </c>
      <c r="BG321" s="315">
        <v>-739608</v>
      </c>
      <c r="BH321" s="315">
        <v>-38599</v>
      </c>
      <c r="BI321" s="315">
        <v>0</v>
      </c>
      <c r="BJ321" s="315">
        <v>-695324</v>
      </c>
      <c r="BK321" s="315">
        <v>-82883</v>
      </c>
      <c r="BL321" s="315">
        <v>-12798</v>
      </c>
      <c r="BM321" s="315">
        <v>0</v>
      </c>
      <c r="BN321" s="315">
        <v>-398566</v>
      </c>
      <c r="BO321" s="315">
        <v>43174</v>
      </c>
      <c r="BP321" s="315">
        <v>20304</v>
      </c>
      <c r="BQ321" s="315">
        <v>29315</v>
      </c>
      <c r="BR321" s="315">
        <v>46</v>
      </c>
      <c r="BS321" s="315">
        <v>8737</v>
      </c>
      <c r="BT321" s="315">
        <v>149</v>
      </c>
      <c r="BU321" s="315">
        <v>1399</v>
      </c>
      <c r="BV321" s="315">
        <v>3118</v>
      </c>
      <c r="BW321" s="315">
        <v>4071</v>
      </c>
      <c r="BX321" s="315">
        <v>-621403</v>
      </c>
      <c r="BY321" s="315">
        <v>121260</v>
      </c>
      <c r="BZ321" s="315">
        <v>1</v>
      </c>
      <c r="CA321" s="315">
        <v>152357</v>
      </c>
      <c r="CB321" s="315">
        <v>-65546</v>
      </c>
      <c r="CC321" s="315">
        <v>-65546</v>
      </c>
      <c r="CD321" s="315">
        <v>0</v>
      </c>
      <c r="CE321" s="315">
        <v>86811</v>
      </c>
      <c r="CF321" s="315">
        <v>129538</v>
      </c>
      <c r="CG321" s="315">
        <v>0</v>
      </c>
      <c r="CH321" s="315">
        <v>-42727</v>
      </c>
      <c r="CI321" s="315">
        <v>14270147</v>
      </c>
      <c r="CJ321" s="315">
        <v>1263110</v>
      </c>
      <c r="CK321" s="315">
        <v>13007037</v>
      </c>
      <c r="CL321" s="315">
        <v>5563710</v>
      </c>
      <c r="CM321" s="315">
        <v>7010039</v>
      </c>
      <c r="CN321" s="315">
        <v>433288</v>
      </c>
      <c r="CO321" s="315">
        <v>0</v>
      </c>
      <c r="CP321" s="315">
        <v>3944</v>
      </c>
      <c r="CQ321" s="315">
        <v>429344</v>
      </c>
      <c r="CR321" s="315">
        <v>-1657187</v>
      </c>
      <c r="CS321" s="315">
        <v>-167619</v>
      </c>
      <c r="CT321" s="315">
        <v>-37232</v>
      </c>
      <c r="CU321" s="315">
        <v>-43987</v>
      </c>
      <c r="CV321" s="315">
        <v>-39</v>
      </c>
      <c r="CW321" s="315">
        <v>-86361</v>
      </c>
      <c r="CX321" s="315">
        <v>-1487152</v>
      </c>
      <c r="CY321" s="315">
        <v>-5</v>
      </c>
      <c r="CZ321" s="315">
        <v>-1486360</v>
      </c>
      <c r="DA321" s="315">
        <v>-787</v>
      </c>
      <c r="DB321" s="315">
        <v>0</v>
      </c>
      <c r="DC321" s="315">
        <v>-2416</v>
      </c>
      <c r="DD321" s="315">
        <v>12612960</v>
      </c>
      <c r="DE321" s="315">
        <v>9567864</v>
      </c>
      <c r="DF321" s="315">
        <v>3045096</v>
      </c>
      <c r="DG321" s="315">
        <v>2980099</v>
      </c>
      <c r="DH321" s="315">
        <v>64997</v>
      </c>
      <c r="DI321" s="315">
        <v>1416068</v>
      </c>
      <c r="DJ321" s="315">
        <v>74527</v>
      </c>
      <c r="DK321" s="315">
        <v>23203</v>
      </c>
      <c r="DL321" s="315">
        <v>3381</v>
      </c>
      <c r="DM321" s="315">
        <v>755689</v>
      </c>
      <c r="DN321" s="315">
        <v>442265</v>
      </c>
      <c r="DO321" s="315">
        <v>116578</v>
      </c>
      <c r="DP321" s="315"/>
      <c r="DQ321" s="315">
        <v>356</v>
      </c>
      <c r="DR321" s="315">
        <v>69</v>
      </c>
      <c r="DS321" s="315">
        <v>-56004</v>
      </c>
      <c r="DT321" s="315">
        <v>-1362</v>
      </c>
      <c r="DU321" s="315">
        <v>-148</v>
      </c>
      <c r="DV321" s="315">
        <v>-22</v>
      </c>
      <c r="DW321" s="315">
        <v>-54300</v>
      </c>
      <c r="DX321" s="315">
        <v>-3682</v>
      </c>
      <c r="DY321" s="315">
        <v>-49761</v>
      </c>
      <c r="DZ321" s="315">
        <v>-857</v>
      </c>
      <c r="EA321" s="315">
        <v>-137</v>
      </c>
      <c r="EB321" s="315">
        <v>-9</v>
      </c>
      <c r="EC321" s="315"/>
      <c r="ED321" s="315">
        <v>0</v>
      </c>
      <c r="EE321" s="315">
        <v>-26</v>
      </c>
      <c r="EF321" s="315">
        <v>1360064</v>
      </c>
      <c r="EG321" s="315">
        <v>203326</v>
      </c>
      <c r="EH321" s="315">
        <v>1156738</v>
      </c>
      <c r="EI321" s="315">
        <v>1138442</v>
      </c>
      <c r="EJ321" s="315">
        <v>18296</v>
      </c>
      <c r="EK321" s="315">
        <v>73165</v>
      </c>
      <c r="EL321" s="315">
        <v>35541</v>
      </c>
      <c r="EM321" s="315">
        <v>37624</v>
      </c>
      <c r="EN321" s="315">
        <v>36804</v>
      </c>
      <c r="EO321" s="315">
        <v>820</v>
      </c>
      <c r="EP321" s="315">
        <v>23055</v>
      </c>
      <c r="EQ321" s="315">
        <v>7540</v>
      </c>
      <c r="ER321" s="315">
        <v>15515</v>
      </c>
      <c r="ES321" s="315">
        <v>15204</v>
      </c>
      <c r="ET321" s="315">
        <v>311</v>
      </c>
      <c r="EU321" s="315">
        <v>3359</v>
      </c>
      <c r="EV321" s="315">
        <v>2345</v>
      </c>
      <c r="EW321" s="315">
        <v>1014</v>
      </c>
      <c r="EX321" s="315">
        <v>994</v>
      </c>
      <c r="EY321" s="315">
        <v>20</v>
      </c>
      <c r="EZ321" s="315">
        <v>701389</v>
      </c>
      <c r="FA321" s="315">
        <v>37427</v>
      </c>
      <c r="FB321" s="315">
        <v>663962</v>
      </c>
      <c r="FC321" s="315">
        <v>653011</v>
      </c>
      <c r="FD321" s="315">
        <v>10951</v>
      </c>
      <c r="FE321" s="315">
        <v>442128</v>
      </c>
      <c r="FF321" s="315">
        <v>115925</v>
      </c>
      <c r="FG321" s="315">
        <v>326203</v>
      </c>
      <c r="FH321" s="315">
        <v>320009</v>
      </c>
      <c r="FI321" s="315">
        <v>6194</v>
      </c>
      <c r="FJ321" s="315">
        <v>116569</v>
      </c>
      <c r="FK321" s="315">
        <v>4149</v>
      </c>
      <c r="FL321" s="315">
        <v>112420</v>
      </c>
      <c r="FM321" s="315">
        <v>112420</v>
      </c>
      <c r="FN321" s="315" t="s">
        <v>619</v>
      </c>
      <c r="FO321" s="315"/>
      <c r="FP321" s="315">
        <v>356</v>
      </c>
      <c r="FQ321" s="315">
        <v>43</v>
      </c>
      <c r="FR321" s="315">
        <v>816991</v>
      </c>
      <c r="FS321" s="315">
        <v>-47855</v>
      </c>
      <c r="FT321" s="315">
        <v>769136</v>
      </c>
      <c r="FU321" s="315">
        <v>295258</v>
      </c>
      <c r="FV321" s="315">
        <v>294456</v>
      </c>
      <c r="FW321" s="315">
        <v>802</v>
      </c>
      <c r="FX321" s="315">
        <v>146053</v>
      </c>
      <c r="FY321" s="315">
        <v>189133</v>
      </c>
      <c r="FZ321" s="315">
        <v>0</v>
      </c>
      <c r="GA321" s="315">
        <v>0</v>
      </c>
      <c r="GB321" s="315">
        <v>49</v>
      </c>
      <c r="GC321" s="315">
        <v>54485</v>
      </c>
      <c r="GD321" s="315">
        <v>-14291</v>
      </c>
      <c r="GE321" s="315">
        <v>0</v>
      </c>
      <c r="GF321" s="315">
        <v>68776</v>
      </c>
      <c r="GG321" s="315">
        <v>84158</v>
      </c>
      <c r="GH321" s="315">
        <v>7480</v>
      </c>
      <c r="GI321" s="315">
        <v>788</v>
      </c>
      <c r="GJ321" s="315">
        <v>75890</v>
      </c>
      <c r="GL321"/>
      <c r="GM321"/>
      <c r="GN321"/>
      <c r="GO321"/>
    </row>
    <row r="322" spans="1:197">
      <c r="A322" s="98">
        <v>2021</v>
      </c>
      <c r="B322" s="98">
        <v>3</v>
      </c>
      <c r="C322" s="98" t="s">
        <v>219</v>
      </c>
      <c r="D322" s="315">
        <v>13158508</v>
      </c>
      <c r="E322" s="315">
        <v>-2499549</v>
      </c>
      <c r="F322" s="315">
        <v>-16632</v>
      </c>
      <c r="G322" s="315">
        <v>10642327</v>
      </c>
      <c r="H322" s="315">
        <v>2537164</v>
      </c>
      <c r="I322" s="315">
        <v>8105163</v>
      </c>
      <c r="J322" s="315">
        <v>7938482</v>
      </c>
      <c r="K322" s="315">
        <v>166681</v>
      </c>
      <c r="L322" s="315">
        <v>5509823</v>
      </c>
      <c r="M322" s="315">
        <v>5080764</v>
      </c>
      <c r="N322" s="315">
        <v>133038</v>
      </c>
      <c r="O322" s="315">
        <v>0</v>
      </c>
      <c r="P322" s="315">
        <v>133038</v>
      </c>
      <c r="Q322" s="315">
        <v>53958</v>
      </c>
      <c r="R322" s="315">
        <v>242063</v>
      </c>
      <c r="S322" s="315">
        <v>-253695</v>
      </c>
      <c r="T322" s="315">
        <v>-225528</v>
      </c>
      <c r="U322" s="315">
        <v>-113415</v>
      </c>
      <c r="V322" s="315">
        <v>-1052</v>
      </c>
      <c r="W322" s="315">
        <v>0</v>
      </c>
      <c r="X322" s="315">
        <v>-63222</v>
      </c>
      <c r="Y322" s="315">
        <v>-47839</v>
      </c>
      <c r="Z322" s="315">
        <v>-8123</v>
      </c>
      <c r="AA322" s="315">
        <v>-20044</v>
      </c>
      <c r="AB322" s="315">
        <v>0</v>
      </c>
      <c r="AC322" s="315">
        <v>-16632</v>
      </c>
      <c r="AD322" s="315">
        <v>5239496</v>
      </c>
      <c r="AE322" s="315">
        <v>1336166</v>
      </c>
      <c r="AF322" s="315">
        <v>3903330</v>
      </c>
      <c r="AG322" s="315">
        <v>3819939</v>
      </c>
      <c r="AH322" s="315">
        <v>83391</v>
      </c>
      <c r="AI322" s="315">
        <v>5070996</v>
      </c>
      <c r="AJ322" s="315">
        <v>1893147</v>
      </c>
      <c r="AK322" s="315">
        <v>3101267</v>
      </c>
      <c r="AL322" s="315">
        <v>34383</v>
      </c>
      <c r="AM322" s="315">
        <v>77266</v>
      </c>
      <c r="AN322" s="315">
        <v>41133</v>
      </c>
      <c r="AO322" s="315">
        <v>85233</v>
      </c>
      <c r="AP322" s="315">
        <v>10060</v>
      </c>
      <c r="AQ322" s="315">
        <v>18095</v>
      </c>
      <c r="AR322" s="315">
        <v>-92490</v>
      </c>
      <c r="AS322" s="315">
        <v>45835</v>
      </c>
      <c r="AT322" s="315">
        <v>0</v>
      </c>
      <c r="AU322" s="315">
        <v>-16632</v>
      </c>
      <c r="AV322" s="315">
        <v>265994</v>
      </c>
      <c r="AW322" s="315">
        <v>13085</v>
      </c>
      <c r="AX322" s="315">
        <v>102552</v>
      </c>
      <c r="AY322" s="315">
        <v>21905</v>
      </c>
      <c r="AZ322" s="315">
        <v>10803</v>
      </c>
      <c r="BA322" s="315">
        <v>14120</v>
      </c>
      <c r="BB322" s="315">
        <v>55724</v>
      </c>
      <c r="BC322" s="315">
        <v>66699</v>
      </c>
      <c r="BD322" s="315">
        <v>83658</v>
      </c>
      <c r="BE322" s="315">
        <v>-180184</v>
      </c>
      <c r="BF322" s="315">
        <v>-167437</v>
      </c>
      <c r="BG322" s="315">
        <v>-122124</v>
      </c>
      <c r="BH322" s="315">
        <v>-45313</v>
      </c>
      <c r="BI322" s="315">
        <v>0</v>
      </c>
      <c r="BJ322" s="315">
        <v>-95978</v>
      </c>
      <c r="BK322" s="315">
        <v>-71459</v>
      </c>
      <c r="BL322" s="315">
        <v>-12747</v>
      </c>
      <c r="BM322" s="315">
        <v>0</v>
      </c>
      <c r="BN322" s="315">
        <v>85810</v>
      </c>
      <c r="BO322" s="315">
        <v>28109</v>
      </c>
      <c r="BP322" s="315">
        <v>14675</v>
      </c>
      <c r="BQ322" s="315">
        <v>36291</v>
      </c>
      <c r="BR322" s="315">
        <v>358</v>
      </c>
      <c r="BS322" s="315">
        <v>4519</v>
      </c>
      <c r="BT322" s="315">
        <v>1641</v>
      </c>
      <c r="BU322" s="315">
        <v>941</v>
      </c>
      <c r="BV322" s="315">
        <v>2307</v>
      </c>
      <c r="BW322" s="315">
        <v>-370</v>
      </c>
      <c r="BX322" s="315">
        <v>-19572</v>
      </c>
      <c r="BY322" s="315">
        <v>21386</v>
      </c>
      <c r="BZ322" s="315">
        <v>44</v>
      </c>
      <c r="CA322" s="315">
        <v>108468</v>
      </c>
      <c r="CB322" s="315">
        <v>-49639</v>
      </c>
      <c r="CC322" s="315">
        <v>-49639</v>
      </c>
      <c r="CD322" s="315">
        <v>0</v>
      </c>
      <c r="CE322" s="315">
        <v>58829</v>
      </c>
      <c r="CF322" s="315">
        <v>86482</v>
      </c>
      <c r="CG322" s="315">
        <v>-2</v>
      </c>
      <c r="CH322" s="315">
        <v>-27651</v>
      </c>
      <c r="CI322" s="315">
        <v>5216767</v>
      </c>
      <c r="CJ322" s="315">
        <v>1388341</v>
      </c>
      <c r="CK322" s="315">
        <v>3828426</v>
      </c>
      <c r="CL322" s="315">
        <v>3444070</v>
      </c>
      <c r="CM322" s="315">
        <v>80757</v>
      </c>
      <c r="CN322" s="315">
        <v>303599</v>
      </c>
      <c r="CO322" s="315">
        <v>0</v>
      </c>
      <c r="CP322" s="315">
        <v>0</v>
      </c>
      <c r="CQ322" s="315">
        <v>303599</v>
      </c>
      <c r="CR322" s="315">
        <v>-1918690</v>
      </c>
      <c r="CS322" s="315">
        <v>-152047</v>
      </c>
      <c r="CT322" s="315">
        <v>-40150</v>
      </c>
      <c r="CU322" s="315">
        <v>-25066</v>
      </c>
      <c r="CV322" s="315">
        <v>-812</v>
      </c>
      <c r="CW322" s="315">
        <v>-86019</v>
      </c>
      <c r="CX322" s="315">
        <v>-1434672</v>
      </c>
      <c r="CY322" s="315">
        <v>-58169</v>
      </c>
      <c r="CZ322" s="315">
        <v>-1372890</v>
      </c>
      <c r="DA322" s="315">
        <v>-3613</v>
      </c>
      <c r="DB322" s="315">
        <v>0</v>
      </c>
      <c r="DC322" s="315">
        <v>-331971</v>
      </c>
      <c r="DD322" s="315">
        <v>3298077</v>
      </c>
      <c r="DE322" s="315">
        <v>252982</v>
      </c>
      <c r="DF322" s="315">
        <v>3045095</v>
      </c>
      <c r="DG322" s="315">
        <v>2980098</v>
      </c>
      <c r="DH322" s="315">
        <v>64997</v>
      </c>
      <c r="DI322" s="315">
        <v>1493471</v>
      </c>
      <c r="DJ322" s="315">
        <v>69550</v>
      </c>
      <c r="DK322" s="315">
        <v>27242</v>
      </c>
      <c r="DL322" s="315">
        <v>1432</v>
      </c>
      <c r="DM322" s="315">
        <v>807550</v>
      </c>
      <c r="DN322" s="315">
        <v>476750</v>
      </c>
      <c r="DO322" s="315">
        <v>110737</v>
      </c>
      <c r="DP322" s="315"/>
      <c r="DQ322" s="315">
        <v>143</v>
      </c>
      <c r="DR322" s="315">
        <v>67</v>
      </c>
      <c r="DS322" s="315">
        <v>-34093</v>
      </c>
      <c r="DT322" s="315">
        <v>-2580</v>
      </c>
      <c r="DU322" s="315">
        <v>-243</v>
      </c>
      <c r="DV322" s="315">
        <v>-12</v>
      </c>
      <c r="DW322" s="315">
        <v>-22585</v>
      </c>
      <c r="DX322" s="315">
        <v>-1527</v>
      </c>
      <c r="DY322" s="315">
        <v>-11308</v>
      </c>
      <c r="DZ322" s="315">
        <v>-9750</v>
      </c>
      <c r="EA322" s="315">
        <v>-8442</v>
      </c>
      <c r="EB322" s="315">
        <v>-148</v>
      </c>
      <c r="EC322" s="315"/>
      <c r="ED322" s="315">
        <v>0</v>
      </c>
      <c r="EE322" s="315">
        <v>-83</v>
      </c>
      <c r="EF322" s="315">
        <v>1459378</v>
      </c>
      <c r="EG322" s="315">
        <v>302640</v>
      </c>
      <c r="EH322" s="315">
        <v>1156738</v>
      </c>
      <c r="EI322" s="315">
        <v>1138445</v>
      </c>
      <c r="EJ322" s="315">
        <v>18293</v>
      </c>
      <c r="EK322" s="315">
        <v>66970</v>
      </c>
      <c r="EL322" s="315">
        <v>29349</v>
      </c>
      <c r="EM322" s="315">
        <v>37621</v>
      </c>
      <c r="EN322" s="315">
        <v>36804</v>
      </c>
      <c r="EO322" s="315">
        <v>817</v>
      </c>
      <c r="EP322" s="315">
        <v>26999</v>
      </c>
      <c r="EQ322" s="315">
        <v>11483</v>
      </c>
      <c r="ER322" s="315">
        <v>15516</v>
      </c>
      <c r="ES322" s="315">
        <v>15205</v>
      </c>
      <c r="ET322" s="315">
        <v>311</v>
      </c>
      <c r="EU322" s="315">
        <v>1420</v>
      </c>
      <c r="EV322" s="315">
        <v>403</v>
      </c>
      <c r="EW322" s="315">
        <v>1017</v>
      </c>
      <c r="EX322" s="315">
        <v>995</v>
      </c>
      <c r="EY322" s="315">
        <v>22</v>
      </c>
      <c r="EZ322" s="315">
        <v>784965</v>
      </c>
      <c r="FA322" s="315">
        <v>121002</v>
      </c>
      <c r="FB322" s="315">
        <v>663963</v>
      </c>
      <c r="FC322" s="315">
        <v>653012</v>
      </c>
      <c r="FD322" s="315">
        <v>10951</v>
      </c>
      <c r="FE322" s="315">
        <v>468308</v>
      </c>
      <c r="FF322" s="315">
        <v>142106</v>
      </c>
      <c r="FG322" s="315">
        <v>326202</v>
      </c>
      <c r="FH322" s="315">
        <v>320010</v>
      </c>
      <c r="FI322" s="315">
        <v>6192</v>
      </c>
      <c r="FJ322" s="315">
        <v>110589</v>
      </c>
      <c r="FK322" s="315">
        <v>-1830</v>
      </c>
      <c r="FL322" s="315">
        <v>112419</v>
      </c>
      <c r="FM322" s="315">
        <v>112419</v>
      </c>
      <c r="FN322" s="315" t="s">
        <v>619</v>
      </c>
      <c r="FO322" s="315"/>
      <c r="FP322" s="315">
        <v>143</v>
      </c>
      <c r="FQ322" s="315">
        <v>-16</v>
      </c>
      <c r="FR322" s="315">
        <v>563985</v>
      </c>
      <c r="FS322" s="315">
        <v>-63248</v>
      </c>
      <c r="FT322" s="315">
        <v>500737</v>
      </c>
      <c r="FU322" s="315">
        <v>4397</v>
      </c>
      <c r="FV322" s="315">
        <v>4179</v>
      </c>
      <c r="FW322" s="315">
        <v>218</v>
      </c>
      <c r="FX322" s="315">
        <v>130325</v>
      </c>
      <c r="FY322" s="315">
        <v>163905</v>
      </c>
      <c r="FZ322" s="315">
        <v>0</v>
      </c>
      <c r="GA322" s="315">
        <v>0</v>
      </c>
      <c r="GB322" s="315">
        <v>14126</v>
      </c>
      <c r="GC322" s="315">
        <v>64642</v>
      </c>
      <c r="GD322" s="315">
        <v>-24802</v>
      </c>
      <c r="GE322" s="315">
        <v>16</v>
      </c>
      <c r="GF322" s="315">
        <v>89428</v>
      </c>
      <c r="GG322" s="315">
        <v>123342</v>
      </c>
      <c r="GH322" s="315">
        <v>13529</v>
      </c>
      <c r="GI322" s="315">
        <v>1373</v>
      </c>
      <c r="GJ322" s="315">
        <v>108440</v>
      </c>
      <c r="GL322"/>
      <c r="GM322"/>
      <c r="GN322"/>
      <c r="GO322"/>
    </row>
    <row r="323" spans="1:197">
      <c r="A323" s="98">
        <v>2021</v>
      </c>
      <c r="B323" s="98">
        <v>4</v>
      </c>
      <c r="C323" s="98" t="s">
        <v>220</v>
      </c>
      <c r="D323" s="99">
        <v>33166890</v>
      </c>
      <c r="E323" s="99">
        <v>-5901710</v>
      </c>
      <c r="F323" s="99">
        <v>-16631</v>
      </c>
      <c r="G323" s="99">
        <v>27248549</v>
      </c>
      <c r="H323" s="99">
        <v>19143384</v>
      </c>
      <c r="I323" s="99">
        <v>8105165</v>
      </c>
      <c r="J323" s="99">
        <v>7938481</v>
      </c>
      <c r="K323" s="99">
        <v>166684</v>
      </c>
      <c r="L323" s="99">
        <v>11127545</v>
      </c>
      <c r="M323" s="99">
        <v>9521221</v>
      </c>
      <c r="N323" s="99">
        <v>149481</v>
      </c>
      <c r="O323" s="99">
        <v>0</v>
      </c>
      <c r="P323" s="99">
        <v>149481</v>
      </c>
      <c r="Q323" s="99">
        <v>63115</v>
      </c>
      <c r="R323" s="99">
        <v>1393728</v>
      </c>
      <c r="S323" s="99">
        <v>-2399237</v>
      </c>
      <c r="T323" s="99">
        <v>-2377326</v>
      </c>
      <c r="U323" s="99">
        <v>-47398</v>
      </c>
      <c r="V323" s="99">
        <v>-194</v>
      </c>
      <c r="W323" s="99">
        <v>-2260418</v>
      </c>
      <c r="X323" s="99">
        <v>0</v>
      </c>
      <c r="Y323" s="99">
        <v>-69316</v>
      </c>
      <c r="Z323" s="99">
        <v>-7591</v>
      </c>
      <c r="AA323" s="99">
        <v>-11841</v>
      </c>
      <c r="AB323" s="99">
        <v>-2479</v>
      </c>
      <c r="AC323" s="99">
        <v>-16631</v>
      </c>
      <c r="AD323" s="99">
        <v>8711677</v>
      </c>
      <c r="AE323" s="99">
        <v>4808346</v>
      </c>
      <c r="AF323" s="99">
        <v>3903331</v>
      </c>
      <c r="AG323" s="99">
        <v>3819939</v>
      </c>
      <c r="AH323" s="99">
        <v>83392</v>
      </c>
      <c r="AI323" s="99">
        <v>9511418</v>
      </c>
      <c r="AJ323" s="99">
        <v>1926244</v>
      </c>
      <c r="AK323" s="99">
        <v>3453526</v>
      </c>
      <c r="AL323" s="99">
        <v>4089738</v>
      </c>
      <c r="AM323" s="99">
        <v>257710</v>
      </c>
      <c r="AN323" s="99">
        <v>323111</v>
      </c>
      <c r="AO323" s="99">
        <v>111976</v>
      </c>
      <c r="AP323" s="99">
        <v>14413</v>
      </c>
      <c r="AQ323" s="99">
        <v>682001</v>
      </c>
      <c r="AR323" s="99">
        <v>-2227845</v>
      </c>
      <c r="AS323" s="99">
        <v>55524</v>
      </c>
      <c r="AT323" s="99">
        <v>0</v>
      </c>
      <c r="AU323" s="99">
        <v>-16631</v>
      </c>
      <c r="AV323" s="99">
        <v>7587163</v>
      </c>
      <c r="AW323" s="99">
        <v>7085746</v>
      </c>
      <c r="AX323" s="99">
        <v>87002</v>
      </c>
      <c r="AY323" s="99">
        <v>20685</v>
      </c>
      <c r="AZ323" s="99">
        <v>21899</v>
      </c>
      <c r="BA323" s="99">
        <v>14174</v>
      </c>
      <c r="BB323" s="99">
        <v>30244</v>
      </c>
      <c r="BC323" s="99">
        <v>122243</v>
      </c>
      <c r="BD323" s="99">
        <v>292172</v>
      </c>
      <c r="BE323" s="99">
        <v>-229200</v>
      </c>
      <c r="BF323" s="99">
        <v>-209921</v>
      </c>
      <c r="BG323" s="99">
        <v>-175161</v>
      </c>
      <c r="BH323" s="99">
        <v>-34760</v>
      </c>
      <c r="BI323" s="99">
        <v>0</v>
      </c>
      <c r="BJ323" s="99">
        <v>-151243</v>
      </c>
      <c r="BK323" s="99">
        <v>-58678</v>
      </c>
      <c r="BL323" s="99">
        <v>-19279</v>
      </c>
      <c r="BM323" s="99">
        <v>0</v>
      </c>
      <c r="BN323" s="99">
        <v>7357963</v>
      </c>
      <c r="BO323" s="99">
        <v>110064</v>
      </c>
      <c r="BP323" s="99">
        <v>133781</v>
      </c>
      <c r="BQ323" s="99">
        <v>47531</v>
      </c>
      <c r="BR323" s="99">
        <v>7</v>
      </c>
      <c r="BS323" s="99">
        <v>7067210</v>
      </c>
      <c r="BT323" s="99">
        <v>2063580</v>
      </c>
      <c r="BU323" s="99">
        <v>4013966</v>
      </c>
      <c r="BV323" s="99">
        <v>985218</v>
      </c>
      <c r="BW323" s="99">
        <v>4446</v>
      </c>
      <c r="BX323" s="99">
        <v>-88159</v>
      </c>
      <c r="BY323" s="99">
        <v>87483</v>
      </c>
      <c r="BZ323" s="99">
        <v>46</v>
      </c>
      <c r="CA323" s="99">
        <v>227596</v>
      </c>
      <c r="CB323" s="99">
        <v>-61259</v>
      </c>
      <c r="CC323" s="99">
        <v>-61259</v>
      </c>
      <c r="CD323" s="99">
        <v>0</v>
      </c>
      <c r="CE323" s="99">
        <v>166337</v>
      </c>
      <c r="CF323" s="99">
        <v>172779</v>
      </c>
      <c r="CG323" s="99">
        <v>18365</v>
      </c>
      <c r="CH323" s="99">
        <v>-24807</v>
      </c>
      <c r="CI323" s="99">
        <v>11450586</v>
      </c>
      <c r="CJ323" s="99">
        <v>1492934</v>
      </c>
      <c r="CK323" s="99">
        <v>9957652</v>
      </c>
      <c r="CL323" s="99">
        <v>3350490</v>
      </c>
      <c r="CM323" s="99">
        <v>6143845</v>
      </c>
      <c r="CN323" s="99">
        <v>463317</v>
      </c>
      <c r="CO323" s="99">
        <v>8481</v>
      </c>
      <c r="CP323" s="99">
        <v>0</v>
      </c>
      <c r="CQ323" s="99">
        <v>454836</v>
      </c>
      <c r="CR323" s="99">
        <v>-3054716</v>
      </c>
      <c r="CS323" s="99">
        <v>-663120</v>
      </c>
      <c r="CT323" s="99">
        <v>-515851</v>
      </c>
      <c r="CU323" s="99">
        <v>-28449</v>
      </c>
      <c r="CV323" s="99">
        <v>-1402</v>
      </c>
      <c r="CW323" s="99">
        <v>-117418</v>
      </c>
      <c r="CX323" s="99">
        <v>-1709592</v>
      </c>
      <c r="CY323" s="99">
        <v>-501962</v>
      </c>
      <c r="CZ323" s="99">
        <v>-1201408</v>
      </c>
      <c r="DA323" s="99">
        <v>-6222</v>
      </c>
      <c r="DB323" s="99">
        <v>-682004</v>
      </c>
      <c r="DC323" s="99">
        <v>0</v>
      </c>
      <c r="DD323" s="99">
        <v>8395870</v>
      </c>
      <c r="DE323" s="99">
        <v>5350776</v>
      </c>
      <c r="DF323" s="99">
        <v>3045094</v>
      </c>
      <c r="DG323" s="99">
        <v>2980098</v>
      </c>
      <c r="DH323" s="99">
        <v>64996</v>
      </c>
      <c r="DI323" s="99">
        <v>1973537</v>
      </c>
      <c r="DJ323" s="99">
        <v>28554</v>
      </c>
      <c r="DK323" s="99">
        <v>20196</v>
      </c>
      <c r="DL323" s="99">
        <v>904</v>
      </c>
      <c r="DM323" s="99">
        <v>1287107</v>
      </c>
      <c r="DN323" s="99">
        <v>526434</v>
      </c>
      <c r="DO323" s="99">
        <v>104474</v>
      </c>
      <c r="DP323" s="99"/>
      <c r="DQ323" s="99">
        <v>5777</v>
      </c>
      <c r="DR323" s="99">
        <v>91</v>
      </c>
      <c r="DS323" s="99">
        <v>-85652</v>
      </c>
      <c r="DT323" s="99">
        <v>-44022</v>
      </c>
      <c r="DU323" s="99">
        <v>-15957</v>
      </c>
      <c r="DV323" s="99">
        <v>-15</v>
      </c>
      <c r="DW323" s="99">
        <v>-8475</v>
      </c>
      <c r="DX323" s="99">
        <v>-3875</v>
      </c>
      <c r="DY323" s="99">
        <v>-2825</v>
      </c>
      <c r="DZ323" s="99">
        <v>-1775</v>
      </c>
      <c r="EA323" s="99">
        <v>-17115</v>
      </c>
      <c r="EB323" s="99">
        <v>-31</v>
      </c>
      <c r="EC323" s="99"/>
      <c r="ED323" s="99">
        <v>0</v>
      </c>
      <c r="EE323" s="99">
        <v>-37</v>
      </c>
      <c r="EF323" s="99">
        <v>1887885</v>
      </c>
      <c r="EG323" s="99">
        <v>731145</v>
      </c>
      <c r="EH323" s="99">
        <v>1156740</v>
      </c>
      <c r="EI323" s="99">
        <v>1138444</v>
      </c>
      <c r="EJ323" s="99">
        <v>18296</v>
      </c>
      <c r="EK323" s="99">
        <v>-15468</v>
      </c>
      <c r="EL323" s="99">
        <v>-53090</v>
      </c>
      <c r="EM323" s="99">
        <v>37622</v>
      </c>
      <c r="EN323" s="99">
        <v>36804</v>
      </c>
      <c r="EO323" s="99">
        <v>818</v>
      </c>
      <c r="EP323" s="99">
        <v>4239</v>
      </c>
      <c r="EQ323" s="99">
        <v>-11277</v>
      </c>
      <c r="ER323" s="99">
        <v>15516</v>
      </c>
      <c r="ES323" s="99">
        <v>15205</v>
      </c>
      <c r="ET323" s="99">
        <v>311</v>
      </c>
      <c r="EU323" s="99">
        <v>889</v>
      </c>
      <c r="EV323" s="99">
        <v>-126</v>
      </c>
      <c r="EW323" s="99">
        <v>1015</v>
      </c>
      <c r="EX323" s="99">
        <v>995</v>
      </c>
      <c r="EY323" s="99">
        <v>20</v>
      </c>
      <c r="EZ323" s="99">
        <v>1278632</v>
      </c>
      <c r="FA323" s="99">
        <v>614669</v>
      </c>
      <c r="FB323" s="99">
        <v>663963</v>
      </c>
      <c r="FC323" s="99">
        <v>653011</v>
      </c>
      <c r="FD323" s="99">
        <v>10952</v>
      </c>
      <c r="FE323" s="99">
        <v>509319</v>
      </c>
      <c r="FF323" s="99">
        <v>183115</v>
      </c>
      <c r="FG323" s="99">
        <v>326204</v>
      </c>
      <c r="FH323" s="99">
        <v>320009</v>
      </c>
      <c r="FI323" s="99">
        <v>6195</v>
      </c>
      <c r="FJ323" s="99">
        <v>104443</v>
      </c>
      <c r="FK323" s="99">
        <v>-7977</v>
      </c>
      <c r="FL323" s="99">
        <v>112420</v>
      </c>
      <c r="FM323" s="99">
        <v>112420</v>
      </c>
      <c r="FN323" s="99" t="s">
        <v>619</v>
      </c>
      <c r="FO323" s="99"/>
      <c r="FP323" s="99">
        <v>5777</v>
      </c>
      <c r="FQ323" s="99">
        <v>54</v>
      </c>
      <c r="FR323" s="99">
        <v>800463</v>
      </c>
      <c r="FS323" s="99">
        <v>-71646</v>
      </c>
      <c r="FT323" s="99">
        <v>728817</v>
      </c>
      <c r="FU323" s="99">
        <v>606</v>
      </c>
      <c r="FV323" s="99">
        <v>263</v>
      </c>
      <c r="FW323" s="99">
        <v>343</v>
      </c>
      <c r="FX323" s="99">
        <v>147830</v>
      </c>
      <c r="FY323" s="99">
        <v>190623</v>
      </c>
      <c r="FZ323" s="99">
        <v>0</v>
      </c>
      <c r="GA323" s="99">
        <v>0</v>
      </c>
      <c r="GB323" s="99">
        <v>61</v>
      </c>
      <c r="GC323" s="99">
        <v>308223</v>
      </c>
      <c r="GD323" s="99">
        <v>231462</v>
      </c>
      <c r="GE323" s="99">
        <v>14</v>
      </c>
      <c r="GF323" s="99">
        <v>76747</v>
      </c>
      <c r="GG323" s="99">
        <v>81474</v>
      </c>
      <c r="GH323" s="99">
        <v>8288</v>
      </c>
      <c r="GI323" s="99">
        <v>605</v>
      </c>
      <c r="GJ323" s="99">
        <v>72581</v>
      </c>
      <c r="GL323"/>
      <c r="GM323"/>
      <c r="GN323"/>
      <c r="GO323"/>
    </row>
    <row r="324" spans="1:197">
      <c r="A324" s="98">
        <v>2021</v>
      </c>
      <c r="B324" s="98">
        <v>5</v>
      </c>
      <c r="C324" s="98" t="s">
        <v>221</v>
      </c>
      <c r="D324" s="99">
        <v>14644899</v>
      </c>
      <c r="E324" s="99">
        <v>-5868128</v>
      </c>
      <c r="F324" s="99">
        <v>-16632</v>
      </c>
      <c r="G324" s="99">
        <v>8760139</v>
      </c>
      <c r="H324" s="99">
        <v>654966</v>
      </c>
      <c r="I324" s="99">
        <v>8105173</v>
      </c>
      <c r="J324" s="99">
        <v>7938481</v>
      </c>
      <c r="K324" s="99">
        <v>166692</v>
      </c>
      <c r="L324" s="99">
        <v>5492685</v>
      </c>
      <c r="M324" s="99">
        <v>4977269</v>
      </c>
      <c r="N324" s="99">
        <v>160450</v>
      </c>
      <c r="O324" s="99">
        <v>36203</v>
      </c>
      <c r="P324" s="99">
        <v>124247</v>
      </c>
      <c r="Q324" s="99">
        <v>78196</v>
      </c>
      <c r="R324" s="99">
        <v>276770</v>
      </c>
      <c r="S324" s="99">
        <v>-2445102</v>
      </c>
      <c r="T324" s="99">
        <v>-2316934</v>
      </c>
      <c r="U324" s="99">
        <v>-97407</v>
      </c>
      <c r="V324" s="99">
        <v>-61</v>
      </c>
      <c r="W324" s="99">
        <v>-2168775</v>
      </c>
      <c r="X324" s="99">
        <v>0</v>
      </c>
      <c r="Y324" s="99">
        <v>-50691</v>
      </c>
      <c r="Z324" s="99">
        <v>-82259</v>
      </c>
      <c r="AA324" s="99">
        <v>-45909</v>
      </c>
      <c r="AB324" s="99">
        <v>0</v>
      </c>
      <c r="AC324" s="99">
        <v>-16632</v>
      </c>
      <c r="AD324" s="99">
        <v>3030951</v>
      </c>
      <c r="AE324" s="99">
        <v>-872382</v>
      </c>
      <c r="AF324" s="99">
        <v>3903333</v>
      </c>
      <c r="AG324" s="99">
        <v>3819940</v>
      </c>
      <c r="AH324" s="99">
        <v>83393</v>
      </c>
      <c r="AI324" s="99">
        <v>4932685</v>
      </c>
      <c r="AJ324" s="99">
        <v>1946899</v>
      </c>
      <c r="AK324" s="99">
        <v>2937067</v>
      </c>
      <c r="AL324" s="99">
        <v>26339</v>
      </c>
      <c r="AM324" s="99">
        <v>102220</v>
      </c>
      <c r="AN324" s="99">
        <v>51948</v>
      </c>
      <c r="AO324" s="99">
        <v>60383</v>
      </c>
      <c r="AP324" s="99">
        <v>25523</v>
      </c>
      <c r="AQ324" s="99">
        <v>35370</v>
      </c>
      <c r="AR324" s="99">
        <v>-2156484</v>
      </c>
      <c r="AS324" s="99">
        <v>-4063</v>
      </c>
      <c r="AT324" s="99">
        <v>1</v>
      </c>
      <c r="AU324" s="99">
        <v>-16632</v>
      </c>
      <c r="AV324" s="99">
        <v>323962</v>
      </c>
      <c r="AW324" s="99">
        <v>24599</v>
      </c>
      <c r="AX324" s="99">
        <v>55718</v>
      </c>
      <c r="AY324" s="99">
        <v>15905</v>
      </c>
      <c r="AZ324" s="99">
        <v>2953</v>
      </c>
      <c r="BA324" s="99">
        <v>10765</v>
      </c>
      <c r="BB324" s="99">
        <v>26095</v>
      </c>
      <c r="BC324" s="99">
        <v>160313</v>
      </c>
      <c r="BD324" s="99">
        <v>83332</v>
      </c>
      <c r="BE324" s="99">
        <v>-91335</v>
      </c>
      <c r="BF324" s="99">
        <v>-86439</v>
      </c>
      <c r="BG324" s="99">
        <v>-44574</v>
      </c>
      <c r="BH324" s="99">
        <v>-41865</v>
      </c>
      <c r="BI324" s="99">
        <v>0</v>
      </c>
      <c r="BJ324" s="99">
        <v>-29937</v>
      </c>
      <c r="BK324" s="99">
        <v>-56502</v>
      </c>
      <c r="BL324" s="99">
        <v>-4896</v>
      </c>
      <c r="BM324" s="99">
        <v>0</v>
      </c>
      <c r="BN324" s="99">
        <v>232627</v>
      </c>
      <c r="BO324" s="99">
        <v>41052</v>
      </c>
      <c r="BP324" s="99">
        <v>16145</v>
      </c>
      <c r="BQ324" s="99">
        <v>25705</v>
      </c>
      <c r="BR324" s="99">
        <v>0</v>
      </c>
      <c r="BS324" s="99">
        <v>20131</v>
      </c>
      <c r="BT324" s="99">
        <v>3476</v>
      </c>
      <c r="BU324" s="99">
        <v>4719</v>
      </c>
      <c r="BV324" s="99">
        <v>3331</v>
      </c>
      <c r="BW324" s="99">
        <v>8605</v>
      </c>
      <c r="BX324" s="99">
        <v>11144</v>
      </c>
      <c r="BY324" s="99">
        <v>118448</v>
      </c>
      <c r="BZ324" s="99">
        <v>2</v>
      </c>
      <c r="CA324" s="99">
        <v>117668</v>
      </c>
      <c r="CB324" s="99">
        <v>-62185</v>
      </c>
      <c r="CC324" s="99">
        <v>-62185</v>
      </c>
      <c r="CD324" s="99">
        <v>0</v>
      </c>
      <c r="CE324" s="99">
        <v>55483</v>
      </c>
      <c r="CF324" s="99">
        <v>86780</v>
      </c>
      <c r="CG324" s="99">
        <v>27</v>
      </c>
      <c r="CH324" s="99">
        <v>-31324</v>
      </c>
      <c r="CI324" s="99">
        <v>6277183</v>
      </c>
      <c r="CJ324" s="99">
        <v>1750045</v>
      </c>
      <c r="CK324" s="99">
        <v>4527138</v>
      </c>
      <c r="CL324" s="99">
        <v>3765786</v>
      </c>
      <c r="CM324" s="99">
        <v>188366</v>
      </c>
      <c r="CN324" s="99">
        <v>572986</v>
      </c>
      <c r="CO324" s="99">
        <v>30017</v>
      </c>
      <c r="CP324" s="99">
        <v>0</v>
      </c>
      <c r="CQ324" s="99">
        <v>542969</v>
      </c>
      <c r="CR324" s="99">
        <v>-3109198</v>
      </c>
      <c r="CS324" s="99">
        <v>-1259242</v>
      </c>
      <c r="CT324" s="99">
        <v>-1156493</v>
      </c>
      <c r="CU324" s="99">
        <v>-13037</v>
      </c>
      <c r="CV324" s="99">
        <v>-20</v>
      </c>
      <c r="CW324" s="99">
        <v>-89692</v>
      </c>
      <c r="CX324" s="99">
        <v>-1609225</v>
      </c>
      <c r="CY324" s="99">
        <v>-1358621</v>
      </c>
      <c r="CZ324" s="99">
        <v>-242642</v>
      </c>
      <c r="DA324" s="99">
        <v>-7962</v>
      </c>
      <c r="DB324" s="99">
        <v>-240731</v>
      </c>
      <c r="DC324" s="99">
        <v>0</v>
      </c>
      <c r="DD324" s="99">
        <v>3167985</v>
      </c>
      <c r="DE324" s="99">
        <v>122887</v>
      </c>
      <c r="DF324" s="99">
        <v>3045098</v>
      </c>
      <c r="DG324" s="99">
        <v>2980099</v>
      </c>
      <c r="DH324" s="99">
        <v>64999</v>
      </c>
      <c r="DI324" s="99">
        <v>1515919</v>
      </c>
      <c r="DJ324" s="99">
        <v>48817</v>
      </c>
      <c r="DK324" s="99">
        <v>20331</v>
      </c>
      <c r="DL324" s="99">
        <v>2761</v>
      </c>
      <c r="DM324" s="99">
        <v>876450</v>
      </c>
      <c r="DN324" s="99">
        <v>464277</v>
      </c>
      <c r="DO324" s="99">
        <v>102851</v>
      </c>
      <c r="DP324" s="99"/>
      <c r="DQ324" s="99">
        <v>359</v>
      </c>
      <c r="DR324" s="99">
        <v>73</v>
      </c>
      <c r="DS324" s="99">
        <v>-75170</v>
      </c>
      <c r="DT324" s="99">
        <v>-1842</v>
      </c>
      <c r="DU324" s="99">
        <v>-496</v>
      </c>
      <c r="DV324" s="99">
        <v>-63</v>
      </c>
      <c r="DW324" s="99">
        <v>-72190</v>
      </c>
      <c r="DX324" s="99">
        <v>-12669</v>
      </c>
      <c r="DY324" s="99">
        <v>-58172</v>
      </c>
      <c r="DZ324" s="99">
        <v>-1349</v>
      </c>
      <c r="EA324" s="99">
        <v>-354</v>
      </c>
      <c r="EB324" s="99">
        <v>-224</v>
      </c>
      <c r="EC324" s="99"/>
      <c r="ED324" s="99">
        <v>0</v>
      </c>
      <c r="EE324" s="99">
        <v>-1</v>
      </c>
      <c r="EF324" s="99">
        <v>1440749</v>
      </c>
      <c r="EG324" s="99">
        <v>284007</v>
      </c>
      <c r="EH324" s="99">
        <v>1156742</v>
      </c>
      <c r="EI324" s="99">
        <v>1138442</v>
      </c>
      <c r="EJ324" s="99">
        <v>18300</v>
      </c>
      <c r="EK324" s="99">
        <v>46975</v>
      </c>
      <c r="EL324" s="99">
        <v>9352</v>
      </c>
      <c r="EM324" s="99">
        <v>37623</v>
      </c>
      <c r="EN324" s="99">
        <v>36803</v>
      </c>
      <c r="EO324" s="99">
        <v>820</v>
      </c>
      <c r="EP324" s="99">
        <v>19835</v>
      </c>
      <c r="EQ324" s="99">
        <v>4318</v>
      </c>
      <c r="ER324" s="99">
        <v>15517</v>
      </c>
      <c r="ES324" s="99">
        <v>15204</v>
      </c>
      <c r="ET324" s="99">
        <v>313</v>
      </c>
      <c r="EU324" s="99">
        <v>2698</v>
      </c>
      <c r="EV324" s="99">
        <v>1682</v>
      </c>
      <c r="EW324" s="99">
        <v>1016</v>
      </c>
      <c r="EX324" s="99">
        <v>994</v>
      </c>
      <c r="EY324" s="99">
        <v>22</v>
      </c>
      <c r="EZ324" s="99">
        <v>804260</v>
      </c>
      <c r="FA324" s="99">
        <v>140295</v>
      </c>
      <c r="FB324" s="99">
        <v>663965</v>
      </c>
      <c r="FC324" s="99">
        <v>653012</v>
      </c>
      <c r="FD324" s="99">
        <v>10953</v>
      </c>
      <c r="FE324" s="99">
        <v>463923</v>
      </c>
      <c r="FF324" s="99">
        <v>137722</v>
      </c>
      <c r="FG324" s="99">
        <v>326201</v>
      </c>
      <c r="FH324" s="99">
        <v>320009</v>
      </c>
      <c r="FI324" s="99">
        <v>6192</v>
      </c>
      <c r="FJ324" s="99">
        <v>102627</v>
      </c>
      <c r="FK324" s="99">
        <v>-9793</v>
      </c>
      <c r="FL324" s="99">
        <v>112420</v>
      </c>
      <c r="FM324" s="99">
        <v>112420</v>
      </c>
      <c r="FN324" s="99" t="s">
        <v>619</v>
      </c>
      <c r="FO324" s="99"/>
      <c r="FP324" s="99">
        <v>359</v>
      </c>
      <c r="FQ324" s="99">
        <v>72</v>
      </c>
      <c r="FR324" s="99">
        <v>917482</v>
      </c>
      <c r="FS324" s="99">
        <v>-85138</v>
      </c>
      <c r="FT324" s="99">
        <v>832344</v>
      </c>
      <c r="FU324" s="99">
        <v>353551</v>
      </c>
      <c r="FV324" s="99">
        <v>337517</v>
      </c>
      <c r="FW324" s="99">
        <v>16034</v>
      </c>
      <c r="FX324" s="99">
        <v>138479</v>
      </c>
      <c r="FY324" s="99">
        <v>174994</v>
      </c>
      <c r="FZ324" s="99">
        <v>0</v>
      </c>
      <c r="GA324" s="99">
        <v>0</v>
      </c>
      <c r="GB324" s="99">
        <v>11664</v>
      </c>
      <c r="GC324" s="99">
        <v>55265</v>
      </c>
      <c r="GD324" s="99">
        <v>-32028</v>
      </c>
      <c r="GE324" s="99">
        <v>47017</v>
      </c>
      <c r="GF324" s="99">
        <v>40276</v>
      </c>
      <c r="GG324" s="99">
        <v>98391</v>
      </c>
      <c r="GH324" s="99">
        <v>10497</v>
      </c>
      <c r="GI324" s="99">
        <v>755</v>
      </c>
      <c r="GJ324" s="99">
        <v>87139</v>
      </c>
      <c r="GL324"/>
      <c r="GM324"/>
      <c r="GN324"/>
      <c r="GO324"/>
    </row>
    <row r="325" spans="1:197">
      <c r="A325" s="98">
        <v>2021</v>
      </c>
      <c r="B325" s="98">
        <v>6</v>
      </c>
      <c r="C325" s="98" t="s">
        <v>222</v>
      </c>
      <c r="D325" s="99">
        <v>14789814</v>
      </c>
      <c r="E325" s="99">
        <v>-5836117</v>
      </c>
      <c r="F325" s="99">
        <v>-16764</v>
      </c>
      <c r="G325" s="99">
        <v>8936933</v>
      </c>
      <c r="H325" s="99">
        <v>831770</v>
      </c>
      <c r="I325" s="99">
        <v>8105163</v>
      </c>
      <c r="J325" s="99">
        <v>7938481</v>
      </c>
      <c r="K325" s="99">
        <v>166682</v>
      </c>
      <c r="L325" s="99">
        <v>5757644</v>
      </c>
      <c r="M325" s="99">
        <v>5088641</v>
      </c>
      <c r="N325" s="99">
        <v>249964</v>
      </c>
      <c r="O325" s="99">
        <v>122610</v>
      </c>
      <c r="P325" s="99">
        <v>127354</v>
      </c>
      <c r="Q325" s="99">
        <v>102602</v>
      </c>
      <c r="R325" s="99">
        <v>316437</v>
      </c>
      <c r="S325" s="99">
        <v>-2623564</v>
      </c>
      <c r="T325" s="99">
        <v>-2574554</v>
      </c>
      <c r="U325" s="99">
        <v>-94269</v>
      </c>
      <c r="V325" s="99">
        <v>-51</v>
      </c>
      <c r="W325" s="99">
        <v>-2430254</v>
      </c>
      <c r="X325" s="99">
        <v>0</v>
      </c>
      <c r="Y325" s="99">
        <v>-49980</v>
      </c>
      <c r="Z325" s="99">
        <v>-32058</v>
      </c>
      <c r="AA325" s="99">
        <v>-16288</v>
      </c>
      <c r="AB325" s="99">
        <v>-664</v>
      </c>
      <c r="AC325" s="99">
        <v>-16764</v>
      </c>
      <c r="AD325" s="99">
        <v>3117316</v>
      </c>
      <c r="AE325" s="99">
        <v>-786014</v>
      </c>
      <c r="AF325" s="99">
        <v>3903330</v>
      </c>
      <c r="AG325" s="99">
        <v>3819939</v>
      </c>
      <c r="AH325" s="99">
        <v>83391</v>
      </c>
      <c r="AI325" s="99">
        <v>5073501</v>
      </c>
      <c r="AJ325" s="99">
        <v>2231462</v>
      </c>
      <c r="AK325" s="99">
        <v>2767032</v>
      </c>
      <c r="AL325" s="99">
        <v>36225</v>
      </c>
      <c r="AM325" s="99">
        <v>147300</v>
      </c>
      <c r="AN325" s="99">
        <v>44898</v>
      </c>
      <c r="AO325" s="99">
        <v>82171</v>
      </c>
      <c r="AP325" s="99">
        <v>13844</v>
      </c>
      <c r="AQ325" s="99">
        <v>26412</v>
      </c>
      <c r="AR325" s="99">
        <v>-2324590</v>
      </c>
      <c r="AS325" s="99">
        <v>70544</v>
      </c>
      <c r="AT325" s="99">
        <v>0</v>
      </c>
      <c r="AU325" s="99">
        <v>-16764</v>
      </c>
      <c r="AV325" s="99">
        <v>315477</v>
      </c>
      <c r="AW325" s="99">
        <v>50652</v>
      </c>
      <c r="AX325" s="99">
        <v>45429</v>
      </c>
      <c r="AY325" s="99">
        <v>8941</v>
      </c>
      <c r="AZ325" s="99">
        <v>3718</v>
      </c>
      <c r="BA325" s="99">
        <v>11862</v>
      </c>
      <c r="BB325" s="99">
        <v>20908</v>
      </c>
      <c r="BC325" s="99">
        <v>106446</v>
      </c>
      <c r="BD325" s="99">
        <v>112950</v>
      </c>
      <c r="BE325" s="99">
        <v>-149520</v>
      </c>
      <c r="BF325" s="99">
        <v>-130118</v>
      </c>
      <c r="BG325" s="99">
        <v>-98862</v>
      </c>
      <c r="BH325" s="99">
        <v>-31256</v>
      </c>
      <c r="BI325" s="99">
        <v>0</v>
      </c>
      <c r="BJ325" s="99">
        <v>-52679</v>
      </c>
      <c r="BK325" s="99">
        <v>-77439</v>
      </c>
      <c r="BL325" s="99">
        <v>-19402</v>
      </c>
      <c r="BM325" s="99">
        <v>0</v>
      </c>
      <c r="BN325" s="99">
        <v>165957</v>
      </c>
      <c r="BO325" s="99">
        <v>62498</v>
      </c>
      <c r="BP325" s="99">
        <v>15004</v>
      </c>
      <c r="BQ325" s="99">
        <v>34897</v>
      </c>
      <c r="BR325" s="99">
        <v>25</v>
      </c>
      <c r="BS325" s="99">
        <v>31666</v>
      </c>
      <c r="BT325" s="99">
        <v>9161</v>
      </c>
      <c r="BU325" s="99">
        <v>27111</v>
      </c>
      <c r="BV325" s="99">
        <v>1192</v>
      </c>
      <c r="BW325" s="99">
        <v>-5798</v>
      </c>
      <c r="BX325" s="99">
        <v>-53433</v>
      </c>
      <c r="BY325" s="99">
        <v>75190</v>
      </c>
      <c r="BZ325" s="99">
        <v>110</v>
      </c>
      <c r="CA325" s="99">
        <v>174438</v>
      </c>
      <c r="CB325" s="99">
        <v>-99082</v>
      </c>
      <c r="CC325" s="99">
        <v>-99082</v>
      </c>
      <c r="CD325" s="99">
        <v>0</v>
      </c>
      <c r="CE325" s="99">
        <v>75356</v>
      </c>
      <c r="CF325" s="99">
        <v>148089</v>
      </c>
      <c r="CG325" s="99">
        <v>-36</v>
      </c>
      <c r="CH325" s="99">
        <v>-72697</v>
      </c>
      <c r="CI325" s="99">
        <v>5837844</v>
      </c>
      <c r="CJ325" s="99">
        <v>1744174</v>
      </c>
      <c r="CK325" s="99">
        <v>4093670</v>
      </c>
      <c r="CL325" s="99">
        <v>3510644</v>
      </c>
      <c r="CM325" s="99">
        <v>87749</v>
      </c>
      <c r="CN325" s="99">
        <v>495277</v>
      </c>
      <c r="CO325" s="99">
        <v>0</v>
      </c>
      <c r="CP325" s="99">
        <v>0</v>
      </c>
      <c r="CQ325" s="99">
        <v>495277</v>
      </c>
      <c r="CR325" s="99">
        <v>-2857847</v>
      </c>
      <c r="CS325" s="99">
        <v>-756924</v>
      </c>
      <c r="CT325" s="99">
        <v>-642424</v>
      </c>
      <c r="CU325" s="99">
        <v>-6513</v>
      </c>
      <c r="CV325" s="99">
        <v>-466</v>
      </c>
      <c r="CW325" s="99">
        <v>-107521</v>
      </c>
      <c r="CX325" s="99">
        <v>-1906245</v>
      </c>
      <c r="CY325" s="99">
        <v>-1767971</v>
      </c>
      <c r="CZ325" s="99">
        <v>-136910</v>
      </c>
      <c r="DA325" s="99">
        <v>-1364</v>
      </c>
      <c r="DB325" s="99">
        <v>0</v>
      </c>
      <c r="DC325" s="99">
        <v>-194678</v>
      </c>
      <c r="DD325" s="99">
        <v>2979997</v>
      </c>
      <c r="DE325" s="99">
        <v>-65098</v>
      </c>
      <c r="DF325" s="99">
        <v>3045095</v>
      </c>
      <c r="DG325" s="99">
        <v>2980098</v>
      </c>
      <c r="DH325" s="99">
        <v>64997</v>
      </c>
      <c r="DI325" s="99">
        <v>1723516</v>
      </c>
      <c r="DJ325" s="99">
        <v>57748</v>
      </c>
      <c r="DK325" s="99">
        <v>27849</v>
      </c>
      <c r="DL325" s="99">
        <v>1477</v>
      </c>
      <c r="DM325" s="99">
        <v>963738</v>
      </c>
      <c r="DN325" s="99">
        <v>568864</v>
      </c>
      <c r="DO325" s="99">
        <v>103651</v>
      </c>
      <c r="DP325" s="99"/>
      <c r="DQ325" s="99">
        <v>0</v>
      </c>
      <c r="DR325" s="99">
        <v>189</v>
      </c>
      <c r="DS325" s="99">
        <v>-53136</v>
      </c>
      <c r="DT325" s="99">
        <v>-2577</v>
      </c>
      <c r="DU325" s="99">
        <v>-1603</v>
      </c>
      <c r="DV325" s="99">
        <v>-6</v>
      </c>
      <c r="DW325" s="99">
        <v>-42764</v>
      </c>
      <c r="DX325" s="99">
        <v>-15903</v>
      </c>
      <c r="DY325" s="99">
        <v>-12278</v>
      </c>
      <c r="DZ325" s="99">
        <v>-14583</v>
      </c>
      <c r="EA325" s="99">
        <v>-6021</v>
      </c>
      <c r="EB325" s="99">
        <v>-59</v>
      </c>
      <c r="EC325" s="99"/>
      <c r="ED325" s="99">
        <v>0</v>
      </c>
      <c r="EE325" s="99">
        <v>-106</v>
      </c>
      <c r="EF325" s="99">
        <v>1670380</v>
      </c>
      <c r="EG325" s="99">
        <v>513642</v>
      </c>
      <c r="EH325" s="99">
        <v>1156738</v>
      </c>
      <c r="EI325" s="99">
        <v>1138444</v>
      </c>
      <c r="EJ325" s="99">
        <v>18294</v>
      </c>
      <c r="EK325" s="99">
        <v>55171</v>
      </c>
      <c r="EL325" s="99">
        <v>17549</v>
      </c>
      <c r="EM325" s="99">
        <v>37622</v>
      </c>
      <c r="EN325" s="99">
        <v>36804</v>
      </c>
      <c r="EO325" s="99">
        <v>818</v>
      </c>
      <c r="EP325" s="99">
        <v>26246</v>
      </c>
      <c r="EQ325" s="99">
        <v>10730</v>
      </c>
      <c r="ER325" s="99">
        <v>15516</v>
      </c>
      <c r="ES325" s="99">
        <v>15205</v>
      </c>
      <c r="ET325" s="99">
        <v>311</v>
      </c>
      <c r="EU325" s="99">
        <v>1471</v>
      </c>
      <c r="EV325" s="99">
        <v>455</v>
      </c>
      <c r="EW325" s="99">
        <v>1016</v>
      </c>
      <c r="EX325" s="99">
        <v>995</v>
      </c>
      <c r="EY325" s="99">
        <v>21</v>
      </c>
      <c r="EZ325" s="99">
        <v>920974</v>
      </c>
      <c r="FA325" s="99">
        <v>257013</v>
      </c>
      <c r="FB325" s="99">
        <v>663961</v>
      </c>
      <c r="FC325" s="99">
        <v>653011</v>
      </c>
      <c r="FD325" s="99">
        <v>10950</v>
      </c>
      <c r="FE325" s="99">
        <v>562843</v>
      </c>
      <c r="FF325" s="99">
        <v>236640</v>
      </c>
      <c r="FG325" s="99">
        <v>326203</v>
      </c>
      <c r="FH325" s="99">
        <v>320009</v>
      </c>
      <c r="FI325" s="99">
        <v>6194</v>
      </c>
      <c r="FJ325" s="99">
        <v>103592</v>
      </c>
      <c r="FK325" s="99">
        <v>-8828</v>
      </c>
      <c r="FL325" s="99">
        <v>112420</v>
      </c>
      <c r="FM325" s="99">
        <v>112420</v>
      </c>
      <c r="FN325" s="99" t="s">
        <v>619</v>
      </c>
      <c r="FO325" s="99"/>
      <c r="FP325" s="99">
        <v>0</v>
      </c>
      <c r="FQ325" s="99">
        <v>83</v>
      </c>
      <c r="FR325" s="99">
        <v>980895</v>
      </c>
      <c r="FS325" s="99">
        <v>-52968</v>
      </c>
      <c r="FT325" s="99">
        <v>927927</v>
      </c>
      <c r="FU325" s="99">
        <v>129850</v>
      </c>
      <c r="FV325" s="99">
        <v>129015</v>
      </c>
      <c r="FW325" s="99">
        <v>835</v>
      </c>
      <c r="FX325" s="99">
        <v>155827</v>
      </c>
      <c r="FY325" s="99">
        <v>168849</v>
      </c>
      <c r="FZ325" s="99">
        <v>127569</v>
      </c>
      <c r="GA325" s="99">
        <v>0</v>
      </c>
      <c r="GB325" s="99">
        <v>-210</v>
      </c>
      <c r="GC325" s="99">
        <v>193587</v>
      </c>
      <c r="GD325" s="99">
        <v>103222</v>
      </c>
      <c r="GE325" s="99">
        <v>54082</v>
      </c>
      <c r="GF325" s="99">
        <v>36283</v>
      </c>
      <c r="GG325" s="99">
        <v>152455</v>
      </c>
      <c r="GH325" s="99">
        <v>11337</v>
      </c>
      <c r="GI325" s="99">
        <v>537</v>
      </c>
      <c r="GJ325" s="99">
        <v>140581</v>
      </c>
      <c r="GL325"/>
      <c r="GM325"/>
      <c r="GN325"/>
      <c r="GO325"/>
    </row>
    <row r="326" spans="1:197">
      <c r="A326" s="98">
        <v>2021</v>
      </c>
      <c r="B326" s="98">
        <v>7</v>
      </c>
      <c r="C326" s="98" t="s">
        <v>223</v>
      </c>
      <c r="D326" s="99">
        <v>37723908</v>
      </c>
      <c r="E326" s="99">
        <v>-4230773</v>
      </c>
      <c r="F326" s="99">
        <v>-16631</v>
      </c>
      <c r="G326" s="99">
        <v>33476504</v>
      </c>
      <c r="H326" s="99">
        <v>22278281</v>
      </c>
      <c r="I326" s="99">
        <v>11198223</v>
      </c>
      <c r="J326" s="99">
        <v>10971658</v>
      </c>
      <c r="K326" s="99">
        <v>226565</v>
      </c>
      <c r="L326" s="99">
        <v>21119585</v>
      </c>
      <c r="M326" s="99">
        <v>11636061</v>
      </c>
      <c r="N326" s="99">
        <v>7812714</v>
      </c>
      <c r="O326" s="99">
        <v>7654871</v>
      </c>
      <c r="P326" s="99">
        <v>157843</v>
      </c>
      <c r="Q326" s="99">
        <v>66743</v>
      </c>
      <c r="R326" s="99">
        <v>1604067</v>
      </c>
      <c r="S326" s="99">
        <v>-1210776</v>
      </c>
      <c r="T326" s="99">
        <v>-1185330</v>
      </c>
      <c r="U326" s="99">
        <v>-75869</v>
      </c>
      <c r="V326" s="99">
        <v>-22</v>
      </c>
      <c r="W326" s="99">
        <v>-1067107</v>
      </c>
      <c r="X326" s="99">
        <v>0</v>
      </c>
      <c r="Y326" s="99">
        <v>-42332</v>
      </c>
      <c r="Z326" s="99">
        <v>-8008</v>
      </c>
      <c r="AA326" s="99">
        <v>-17438</v>
      </c>
      <c r="AB326" s="99">
        <v>0</v>
      </c>
      <c r="AC326" s="99">
        <v>-16631</v>
      </c>
      <c r="AD326" s="99">
        <v>19892178</v>
      </c>
      <c r="AE326" s="99">
        <v>12275593</v>
      </c>
      <c r="AF326" s="99">
        <v>7616585</v>
      </c>
      <c r="AG326" s="99">
        <v>7450833</v>
      </c>
      <c r="AH326" s="99">
        <v>165752</v>
      </c>
      <c r="AI326" s="99">
        <v>11620058</v>
      </c>
      <c r="AJ326" s="99">
        <v>3176134</v>
      </c>
      <c r="AK326" s="99">
        <v>3692777</v>
      </c>
      <c r="AL326" s="99">
        <v>4719727</v>
      </c>
      <c r="AM326" s="99">
        <v>349342</v>
      </c>
      <c r="AN326" s="99">
        <v>352628</v>
      </c>
      <c r="AO326" s="99">
        <v>97078</v>
      </c>
      <c r="AP326" s="99">
        <v>12028</v>
      </c>
      <c r="AQ326" s="99">
        <v>791556</v>
      </c>
      <c r="AR326" s="99">
        <v>6627384</v>
      </c>
      <c r="AS326" s="99">
        <v>58735</v>
      </c>
      <c r="AT326" s="99">
        <v>0</v>
      </c>
      <c r="AU326" s="99">
        <v>-16631</v>
      </c>
      <c r="AV326" s="99">
        <v>776310</v>
      </c>
      <c r="AW326" s="99">
        <v>13615</v>
      </c>
      <c r="AX326" s="99">
        <v>258845</v>
      </c>
      <c r="AY326" s="99">
        <v>105492</v>
      </c>
      <c r="AZ326" s="99">
        <v>26890</v>
      </c>
      <c r="BA326" s="99">
        <v>107039</v>
      </c>
      <c r="BB326" s="99">
        <v>19424</v>
      </c>
      <c r="BC326" s="99">
        <v>167772</v>
      </c>
      <c r="BD326" s="99">
        <v>336078</v>
      </c>
      <c r="BE326" s="99">
        <v>-189065</v>
      </c>
      <c r="BF326" s="99">
        <v>-187331</v>
      </c>
      <c r="BG326" s="99">
        <v>-141084</v>
      </c>
      <c r="BH326" s="99">
        <v>-46247</v>
      </c>
      <c r="BI326" s="99">
        <v>0</v>
      </c>
      <c r="BJ326" s="99">
        <v>-115280</v>
      </c>
      <c r="BK326" s="99">
        <v>-72051</v>
      </c>
      <c r="BL326" s="99">
        <v>-1734</v>
      </c>
      <c r="BM326" s="99">
        <v>0</v>
      </c>
      <c r="BN326" s="99">
        <v>587245</v>
      </c>
      <c r="BO326" s="99">
        <v>148220</v>
      </c>
      <c r="BP326" s="99">
        <v>146025</v>
      </c>
      <c r="BQ326" s="99">
        <v>41329</v>
      </c>
      <c r="BR326" s="99">
        <v>0</v>
      </c>
      <c r="BS326" s="99">
        <v>12381</v>
      </c>
      <c r="BT326" s="99">
        <v>121</v>
      </c>
      <c r="BU326" s="99">
        <v>239</v>
      </c>
      <c r="BV326" s="99">
        <v>1377</v>
      </c>
      <c r="BW326" s="99">
        <v>10644</v>
      </c>
      <c r="BX326" s="99">
        <v>117761</v>
      </c>
      <c r="BY326" s="99">
        <v>121525</v>
      </c>
      <c r="BZ326" s="99">
        <v>4</v>
      </c>
      <c r="CA326" s="99">
        <v>287529</v>
      </c>
      <c r="CB326" s="99">
        <v>-85329</v>
      </c>
      <c r="CC326" s="99">
        <v>-85329</v>
      </c>
      <c r="CD326" s="99">
        <v>0</v>
      </c>
      <c r="CE326" s="99">
        <v>202200</v>
      </c>
      <c r="CF326" s="99">
        <v>220183</v>
      </c>
      <c r="CG326" s="99">
        <v>4</v>
      </c>
      <c r="CH326" s="99">
        <v>-17987</v>
      </c>
      <c r="CI326" s="99">
        <v>13120057</v>
      </c>
      <c r="CJ326" s="99">
        <v>1645017</v>
      </c>
      <c r="CK326" s="99">
        <v>11475040</v>
      </c>
      <c r="CL326" s="99">
        <v>3899512</v>
      </c>
      <c r="CM326" s="99">
        <v>7138592</v>
      </c>
      <c r="CN326" s="99">
        <v>436936</v>
      </c>
      <c r="CO326" s="99">
        <v>0</v>
      </c>
      <c r="CP326" s="99">
        <v>0</v>
      </c>
      <c r="CQ326" s="99">
        <v>436936</v>
      </c>
      <c r="CR326" s="99">
        <v>-2545860</v>
      </c>
      <c r="CS326" s="99">
        <v>-1205485</v>
      </c>
      <c r="CT326" s="99">
        <v>-1139781</v>
      </c>
      <c r="CU326" s="99">
        <v>-6688</v>
      </c>
      <c r="CV326" s="99">
        <v>-46</v>
      </c>
      <c r="CW326" s="99">
        <v>-58970</v>
      </c>
      <c r="CX326" s="99">
        <v>-863454</v>
      </c>
      <c r="CY326" s="99">
        <v>-786364</v>
      </c>
      <c r="CZ326" s="99">
        <v>-69917</v>
      </c>
      <c r="DA326" s="99">
        <v>-7173</v>
      </c>
      <c r="DB326" s="99">
        <v>-476921</v>
      </c>
      <c r="DC326" s="99">
        <v>0</v>
      </c>
      <c r="DD326" s="99">
        <v>10574197</v>
      </c>
      <c r="DE326" s="99">
        <v>7884750</v>
      </c>
      <c r="DF326" s="99">
        <v>2689447</v>
      </c>
      <c r="DG326" s="99">
        <v>2630179</v>
      </c>
      <c r="DH326" s="99">
        <v>59268</v>
      </c>
      <c r="DI326" s="99">
        <v>1787542</v>
      </c>
      <c r="DJ326" s="99">
        <v>46302</v>
      </c>
      <c r="DK326" s="99">
        <v>25208</v>
      </c>
      <c r="DL326" s="99">
        <v>1479</v>
      </c>
      <c r="DM326" s="99">
        <v>1056389</v>
      </c>
      <c r="DN326" s="99">
        <v>557253</v>
      </c>
      <c r="DO326" s="99">
        <v>93186</v>
      </c>
      <c r="DP326" s="99"/>
      <c r="DQ326" s="99">
        <v>7585</v>
      </c>
      <c r="DR326" s="99">
        <v>140</v>
      </c>
      <c r="DS326" s="99">
        <v>-42638</v>
      </c>
      <c r="DT326" s="99">
        <v>-9164</v>
      </c>
      <c r="DU326" s="99">
        <v>-1381</v>
      </c>
      <c r="DV326" s="99">
        <v>-21</v>
      </c>
      <c r="DW326" s="99">
        <v>-16085</v>
      </c>
      <c r="DX326" s="99">
        <v>-9675</v>
      </c>
      <c r="DY326" s="99">
        <v>-2535</v>
      </c>
      <c r="DZ326" s="99">
        <v>-3875</v>
      </c>
      <c r="EA326" s="99">
        <v>-15924</v>
      </c>
      <c r="EB326" s="99">
        <v>-26</v>
      </c>
      <c r="EC326" s="99"/>
      <c r="ED326" s="99">
        <v>0</v>
      </c>
      <c r="EE326" s="99">
        <v>-37</v>
      </c>
      <c r="EF326" s="99">
        <v>1744904</v>
      </c>
      <c r="EG326" s="99">
        <v>852713</v>
      </c>
      <c r="EH326" s="99">
        <v>892191</v>
      </c>
      <c r="EI326" s="99">
        <v>890646</v>
      </c>
      <c r="EJ326" s="99">
        <v>1545</v>
      </c>
      <c r="EK326" s="99">
        <v>37138</v>
      </c>
      <c r="EL326" s="99">
        <v>33139</v>
      </c>
      <c r="EM326" s="99">
        <v>3999</v>
      </c>
      <c r="EN326" s="99">
        <v>4648</v>
      </c>
      <c r="EO326" s="99">
        <v>-649</v>
      </c>
      <c r="EP326" s="99">
        <v>23827</v>
      </c>
      <c r="EQ326" s="99">
        <v>8713</v>
      </c>
      <c r="ER326" s="99">
        <v>15114</v>
      </c>
      <c r="ES326" s="99">
        <v>14803</v>
      </c>
      <c r="ET326" s="99">
        <v>311</v>
      </c>
      <c r="EU326" s="99">
        <v>1458</v>
      </c>
      <c r="EV326" s="99">
        <v>805</v>
      </c>
      <c r="EW326" s="99">
        <v>653</v>
      </c>
      <c r="EX326" s="99">
        <v>646</v>
      </c>
      <c r="EY326" s="99">
        <v>7</v>
      </c>
      <c r="EZ326" s="99">
        <v>1040304</v>
      </c>
      <c r="FA326" s="99">
        <v>644007</v>
      </c>
      <c r="FB326" s="99">
        <v>396297</v>
      </c>
      <c r="FC326" s="99">
        <v>397383</v>
      </c>
      <c r="FD326" s="99">
        <v>-1086</v>
      </c>
      <c r="FE326" s="99">
        <v>541329</v>
      </c>
      <c r="FF326" s="99">
        <v>228067</v>
      </c>
      <c r="FG326" s="99">
        <v>313262</v>
      </c>
      <c r="FH326" s="99">
        <v>310300</v>
      </c>
      <c r="FI326" s="99">
        <v>2962</v>
      </c>
      <c r="FJ326" s="99">
        <v>93160</v>
      </c>
      <c r="FK326" s="99">
        <v>-69706</v>
      </c>
      <c r="FL326" s="99">
        <v>162866</v>
      </c>
      <c r="FM326" s="99">
        <v>162866</v>
      </c>
      <c r="FN326" s="99" t="s">
        <v>619</v>
      </c>
      <c r="FO326" s="99"/>
      <c r="FP326" s="99">
        <v>7585</v>
      </c>
      <c r="FQ326" s="99">
        <v>103</v>
      </c>
      <c r="FR326" s="99">
        <v>632885</v>
      </c>
      <c r="FS326" s="99">
        <v>-157105</v>
      </c>
      <c r="FT326" s="99">
        <v>475780</v>
      </c>
      <c r="FU326" s="99">
        <v>8177</v>
      </c>
      <c r="FV326" s="99">
        <v>6809</v>
      </c>
      <c r="FW326" s="99">
        <v>1368</v>
      </c>
      <c r="FX326" s="99">
        <v>145200</v>
      </c>
      <c r="FY326" s="99">
        <v>184747</v>
      </c>
      <c r="FZ326" s="99">
        <v>32669</v>
      </c>
      <c r="GA326" s="99">
        <v>0</v>
      </c>
      <c r="GB326" s="99">
        <v>100</v>
      </c>
      <c r="GC326" s="99">
        <v>-50352</v>
      </c>
      <c r="GD326" s="99">
        <v>-66465</v>
      </c>
      <c r="GE326" s="99">
        <v>28</v>
      </c>
      <c r="GF326" s="99">
        <v>16085</v>
      </c>
      <c r="GG326" s="99">
        <v>155239</v>
      </c>
      <c r="GH326" s="99">
        <v>54756</v>
      </c>
      <c r="GI326" s="99">
        <v>694</v>
      </c>
      <c r="GJ326" s="99">
        <v>99789</v>
      </c>
      <c r="GL326"/>
      <c r="GM326"/>
      <c r="GN326"/>
      <c r="GO326"/>
    </row>
    <row r="327" spans="1:197">
      <c r="A327" s="98">
        <v>2021</v>
      </c>
      <c r="B327" s="98">
        <v>8</v>
      </c>
      <c r="C327" s="98" t="s">
        <v>224</v>
      </c>
      <c r="D327" s="99">
        <v>21079054</v>
      </c>
      <c r="E327" s="99">
        <v>-3147439</v>
      </c>
      <c r="F327" s="99">
        <v>-16632</v>
      </c>
      <c r="G327" s="99">
        <v>17914983</v>
      </c>
      <c r="H327" s="99">
        <v>9809814</v>
      </c>
      <c r="I327" s="99">
        <v>8105169</v>
      </c>
      <c r="J327" s="99">
        <v>7938481</v>
      </c>
      <c r="K327" s="99">
        <v>166688</v>
      </c>
      <c r="L327" s="99">
        <v>6010041</v>
      </c>
      <c r="M327" s="99">
        <v>5286918</v>
      </c>
      <c r="N327" s="99">
        <v>190341</v>
      </c>
      <c r="O327" s="99">
        <v>28283</v>
      </c>
      <c r="P327" s="99">
        <v>162058</v>
      </c>
      <c r="Q327" s="99">
        <v>57776</v>
      </c>
      <c r="R327" s="99">
        <v>475006</v>
      </c>
      <c r="S327" s="99">
        <v>-358524</v>
      </c>
      <c r="T327" s="99">
        <v>-348912</v>
      </c>
      <c r="U327" s="99">
        <v>-74726</v>
      </c>
      <c r="V327" s="99">
        <v>-11</v>
      </c>
      <c r="W327" s="99">
        <v>-245906</v>
      </c>
      <c r="X327" s="99">
        <v>0</v>
      </c>
      <c r="Y327" s="99">
        <v>-28269</v>
      </c>
      <c r="Z327" s="99">
        <v>-5934</v>
      </c>
      <c r="AA327" s="99">
        <v>-3678</v>
      </c>
      <c r="AB327" s="99">
        <v>0</v>
      </c>
      <c r="AC327" s="99">
        <v>-16632</v>
      </c>
      <c r="AD327" s="99">
        <v>5634885</v>
      </c>
      <c r="AE327" s="99">
        <v>1731555</v>
      </c>
      <c r="AF327" s="99">
        <v>3903330</v>
      </c>
      <c r="AG327" s="99">
        <v>3819939</v>
      </c>
      <c r="AH327" s="99">
        <v>83391</v>
      </c>
      <c r="AI327" s="99">
        <v>5283684</v>
      </c>
      <c r="AJ327" s="99">
        <v>1936488</v>
      </c>
      <c r="AK327" s="99">
        <v>3257662</v>
      </c>
      <c r="AL327" s="99">
        <v>29766</v>
      </c>
      <c r="AM327" s="99">
        <v>241546</v>
      </c>
      <c r="AN327" s="99">
        <v>48034</v>
      </c>
      <c r="AO327" s="99">
        <v>122849</v>
      </c>
      <c r="AP327" s="99">
        <v>31348</v>
      </c>
      <c r="AQ327" s="99">
        <v>30785</v>
      </c>
      <c r="AR327" s="99">
        <v>-158571</v>
      </c>
      <c r="AS327" s="99">
        <v>51842</v>
      </c>
      <c r="AT327" s="99">
        <v>0</v>
      </c>
      <c r="AU327" s="99">
        <v>-16632</v>
      </c>
      <c r="AV327" s="99">
        <v>5664244</v>
      </c>
      <c r="AW327" s="99">
        <v>10847</v>
      </c>
      <c r="AX327" s="99">
        <v>5402913</v>
      </c>
      <c r="AY327" s="99">
        <v>1607218</v>
      </c>
      <c r="AZ327" s="99">
        <v>699632</v>
      </c>
      <c r="BA327" s="99">
        <v>3040495</v>
      </c>
      <c r="BB327" s="99">
        <v>55568</v>
      </c>
      <c r="BC327" s="99">
        <v>81114</v>
      </c>
      <c r="BD327" s="99">
        <v>169370</v>
      </c>
      <c r="BE327" s="99">
        <v>-68642</v>
      </c>
      <c r="BF327" s="99">
        <v>-59816</v>
      </c>
      <c r="BG327" s="99">
        <v>-17231</v>
      </c>
      <c r="BH327" s="99">
        <v>-42585</v>
      </c>
      <c r="BI327" s="99">
        <v>0</v>
      </c>
      <c r="BJ327" s="99">
        <v>-9706</v>
      </c>
      <c r="BK327" s="99">
        <v>-50110</v>
      </c>
      <c r="BL327" s="99">
        <v>-8826</v>
      </c>
      <c r="BM327" s="99">
        <v>0</v>
      </c>
      <c r="BN327" s="99">
        <v>5595602</v>
      </c>
      <c r="BO327" s="99">
        <v>99803</v>
      </c>
      <c r="BP327" s="99">
        <v>16941</v>
      </c>
      <c r="BQ327" s="99">
        <v>52207</v>
      </c>
      <c r="BR327" s="99">
        <v>287</v>
      </c>
      <c r="BS327" s="99">
        <v>2153</v>
      </c>
      <c r="BT327" s="99">
        <v>1335</v>
      </c>
      <c r="BU327" s="99">
        <v>142</v>
      </c>
      <c r="BV327" s="99">
        <v>642</v>
      </c>
      <c r="BW327" s="99">
        <v>34</v>
      </c>
      <c r="BX327" s="99">
        <v>5385682</v>
      </c>
      <c r="BY327" s="99">
        <v>38529</v>
      </c>
      <c r="BZ327" s="99">
        <v>0</v>
      </c>
      <c r="CA327" s="99">
        <v>326752</v>
      </c>
      <c r="CB327" s="99">
        <v>-47829</v>
      </c>
      <c r="CC327" s="99">
        <v>-47829</v>
      </c>
      <c r="CD327" s="99">
        <v>0</v>
      </c>
      <c r="CE327" s="99">
        <v>278923</v>
      </c>
      <c r="CF327" s="99">
        <v>250613</v>
      </c>
      <c r="CG327" s="99">
        <v>6</v>
      </c>
      <c r="CH327" s="99">
        <v>28304</v>
      </c>
      <c r="CI327" s="99">
        <v>6664292</v>
      </c>
      <c r="CJ327" s="99">
        <v>1739547</v>
      </c>
      <c r="CK327" s="99">
        <v>4924745</v>
      </c>
      <c r="CL327" s="99">
        <v>4243143</v>
      </c>
      <c r="CM327" s="99">
        <v>245658</v>
      </c>
      <c r="CN327" s="99">
        <v>435944</v>
      </c>
      <c r="CO327" s="99">
        <v>0</v>
      </c>
      <c r="CP327" s="99">
        <v>0</v>
      </c>
      <c r="CQ327" s="99">
        <v>435944</v>
      </c>
      <c r="CR327" s="99">
        <v>-2604469</v>
      </c>
      <c r="CS327" s="99">
        <v>-538324</v>
      </c>
      <c r="CT327" s="99">
        <v>-453118</v>
      </c>
      <c r="CU327" s="99">
        <v>-5958</v>
      </c>
      <c r="CV327" s="99">
        <v>-237</v>
      </c>
      <c r="CW327" s="99">
        <v>-79011</v>
      </c>
      <c r="CX327" s="99">
        <v>-2066145</v>
      </c>
      <c r="CY327" s="99">
        <v>-2045822</v>
      </c>
      <c r="CZ327" s="99">
        <v>-19119</v>
      </c>
      <c r="DA327" s="99">
        <v>-1204</v>
      </c>
      <c r="DB327" s="99">
        <v>0</v>
      </c>
      <c r="DC327" s="99">
        <v>0</v>
      </c>
      <c r="DD327" s="99">
        <v>4059823</v>
      </c>
      <c r="DE327" s="99">
        <v>1014728</v>
      </c>
      <c r="DF327" s="99">
        <v>3045095</v>
      </c>
      <c r="DG327" s="99">
        <v>2980098</v>
      </c>
      <c r="DH327" s="99">
        <v>64997</v>
      </c>
      <c r="DI327" s="99">
        <v>1850068</v>
      </c>
      <c r="DJ327" s="99">
        <v>77341</v>
      </c>
      <c r="DK327" s="99">
        <v>33353</v>
      </c>
      <c r="DL327" s="99">
        <v>3121</v>
      </c>
      <c r="DM327" s="99">
        <v>1104337</v>
      </c>
      <c r="DN327" s="99">
        <v>530323</v>
      </c>
      <c r="DO327" s="99">
        <v>100014</v>
      </c>
      <c r="DP327" s="99"/>
      <c r="DQ327" s="99">
        <v>1528</v>
      </c>
      <c r="DR327" s="99">
        <v>51</v>
      </c>
      <c r="DS327" s="99">
        <v>-53203</v>
      </c>
      <c r="DT327" s="99">
        <v>-1989</v>
      </c>
      <c r="DU327" s="99">
        <v>-146</v>
      </c>
      <c r="DV327" s="99">
        <v>-7</v>
      </c>
      <c r="DW327" s="99">
        <v>-50850</v>
      </c>
      <c r="DX327" s="99">
        <v>-6235</v>
      </c>
      <c r="DY327" s="99">
        <v>-44166</v>
      </c>
      <c r="DZ327" s="99">
        <v>-449</v>
      </c>
      <c r="EA327" s="99">
        <v>-3</v>
      </c>
      <c r="EB327" s="99">
        <v>-142</v>
      </c>
      <c r="EC327" s="99"/>
      <c r="ED327" s="99">
        <v>0</v>
      </c>
      <c r="EE327" s="99">
        <v>-66</v>
      </c>
      <c r="EF327" s="99">
        <v>1796865</v>
      </c>
      <c r="EG327" s="99">
        <v>640121</v>
      </c>
      <c r="EH327" s="99">
        <v>1156744</v>
      </c>
      <c r="EI327" s="99">
        <v>1138444</v>
      </c>
      <c r="EJ327" s="99">
        <v>18300</v>
      </c>
      <c r="EK327" s="99">
        <v>75352</v>
      </c>
      <c r="EL327" s="99">
        <v>37728</v>
      </c>
      <c r="EM327" s="99">
        <v>37624</v>
      </c>
      <c r="EN327" s="99">
        <v>36804</v>
      </c>
      <c r="EO327" s="99">
        <v>820</v>
      </c>
      <c r="EP327" s="99">
        <v>33207</v>
      </c>
      <c r="EQ327" s="99">
        <v>17690</v>
      </c>
      <c r="ER327" s="99">
        <v>15517</v>
      </c>
      <c r="ES327" s="99">
        <v>15205</v>
      </c>
      <c r="ET327" s="99">
        <v>312</v>
      </c>
      <c r="EU327" s="99">
        <v>3114</v>
      </c>
      <c r="EV327" s="99">
        <v>2097</v>
      </c>
      <c r="EW327" s="99">
        <v>1017</v>
      </c>
      <c r="EX327" s="99">
        <v>995</v>
      </c>
      <c r="EY327" s="99">
        <v>22</v>
      </c>
      <c r="EZ327" s="99">
        <v>1053487</v>
      </c>
      <c r="FA327" s="99">
        <v>389523</v>
      </c>
      <c r="FB327" s="99">
        <v>663964</v>
      </c>
      <c r="FC327" s="99">
        <v>653012</v>
      </c>
      <c r="FD327" s="99">
        <v>10952</v>
      </c>
      <c r="FE327" s="99">
        <v>530320</v>
      </c>
      <c r="FF327" s="99">
        <v>204117</v>
      </c>
      <c r="FG327" s="99">
        <v>326203</v>
      </c>
      <c r="FH327" s="99">
        <v>320009</v>
      </c>
      <c r="FI327" s="99">
        <v>6194</v>
      </c>
      <c r="FJ327" s="99">
        <v>99872</v>
      </c>
      <c r="FK327" s="99">
        <v>-12547</v>
      </c>
      <c r="FL327" s="99">
        <v>112419</v>
      </c>
      <c r="FM327" s="99">
        <v>112419</v>
      </c>
      <c r="FN327" s="99" t="s">
        <v>619</v>
      </c>
      <c r="FO327" s="99"/>
      <c r="FP327" s="99">
        <v>1528</v>
      </c>
      <c r="FQ327" s="99">
        <v>-15</v>
      </c>
      <c r="FR327" s="99">
        <v>563657</v>
      </c>
      <c r="FS327" s="99">
        <v>-14772</v>
      </c>
      <c r="FT327" s="99">
        <v>548885</v>
      </c>
      <c r="FU327" s="99">
        <v>-1155</v>
      </c>
      <c r="FV327" s="99">
        <v>-1881</v>
      </c>
      <c r="FW327" s="99">
        <v>726</v>
      </c>
      <c r="FX327" s="99">
        <v>172001</v>
      </c>
      <c r="FY327" s="99">
        <v>43849</v>
      </c>
      <c r="FZ327" s="99">
        <v>25232</v>
      </c>
      <c r="GA327" s="99">
        <v>92233</v>
      </c>
      <c r="GB327" s="99">
        <v>10212</v>
      </c>
      <c r="GC327" s="99">
        <v>89814</v>
      </c>
      <c r="GD327" s="99">
        <v>1113</v>
      </c>
      <c r="GE327" s="99">
        <v>27403</v>
      </c>
      <c r="GF327" s="99">
        <v>61298</v>
      </c>
      <c r="GG327" s="99">
        <v>116699</v>
      </c>
      <c r="GH327" s="99">
        <v>14319</v>
      </c>
      <c r="GI327" s="99">
        <v>753</v>
      </c>
      <c r="GJ327" s="99">
        <v>101627</v>
      </c>
      <c r="GL327"/>
      <c r="GM327"/>
      <c r="GN327"/>
      <c r="GO327"/>
    </row>
    <row r="328" spans="1:197">
      <c r="A328" s="98">
        <v>2021</v>
      </c>
      <c r="B328" s="98">
        <v>9</v>
      </c>
      <c r="C328" s="98" t="s">
        <v>225</v>
      </c>
      <c r="D328" s="99">
        <v>14941883</v>
      </c>
      <c r="E328" s="99">
        <v>-2875532</v>
      </c>
      <c r="F328" s="99">
        <v>-16632</v>
      </c>
      <c r="G328" s="99">
        <v>12049719</v>
      </c>
      <c r="H328" s="99">
        <v>3944557</v>
      </c>
      <c r="I328" s="99">
        <v>8105162</v>
      </c>
      <c r="J328" s="99">
        <v>7938480</v>
      </c>
      <c r="K328" s="99">
        <v>166682</v>
      </c>
      <c r="L328" s="99">
        <v>5193788</v>
      </c>
      <c r="M328" s="99">
        <v>4701731</v>
      </c>
      <c r="N328" s="99">
        <v>185990</v>
      </c>
      <c r="O328" s="99">
        <v>27928</v>
      </c>
      <c r="P328" s="99">
        <v>158062</v>
      </c>
      <c r="Q328" s="99">
        <v>86995</v>
      </c>
      <c r="R328" s="99">
        <v>219072</v>
      </c>
      <c r="S328" s="99">
        <v>-365865</v>
      </c>
      <c r="T328" s="99">
        <v>-347124</v>
      </c>
      <c r="U328" s="99">
        <v>-76513</v>
      </c>
      <c r="V328" s="99">
        <v>-21</v>
      </c>
      <c r="W328" s="99">
        <v>-235645</v>
      </c>
      <c r="X328" s="99">
        <v>0</v>
      </c>
      <c r="Y328" s="99">
        <v>-34945</v>
      </c>
      <c r="Z328" s="99">
        <v>-8260</v>
      </c>
      <c r="AA328" s="99">
        <v>-9653</v>
      </c>
      <c r="AB328" s="99">
        <v>-828</v>
      </c>
      <c r="AC328" s="99">
        <v>-16632</v>
      </c>
      <c r="AD328" s="99">
        <v>4811291</v>
      </c>
      <c r="AE328" s="99">
        <v>907958</v>
      </c>
      <c r="AF328" s="99">
        <v>3903333</v>
      </c>
      <c r="AG328" s="99">
        <v>3819940</v>
      </c>
      <c r="AH328" s="99">
        <v>83393</v>
      </c>
      <c r="AI328" s="99">
        <v>4692945</v>
      </c>
      <c r="AJ328" s="99">
        <v>1958031</v>
      </c>
      <c r="AK328" s="99">
        <v>2678326</v>
      </c>
      <c r="AL328" s="99">
        <v>8568</v>
      </c>
      <c r="AM328" s="99">
        <v>79066</v>
      </c>
      <c r="AN328" s="99">
        <v>40863</v>
      </c>
      <c r="AO328" s="99">
        <v>49195</v>
      </c>
      <c r="AP328" s="99">
        <v>20321</v>
      </c>
      <c r="AQ328" s="99">
        <v>27932</v>
      </c>
      <c r="AR328" s="99">
        <v>-161134</v>
      </c>
      <c r="AS328" s="99">
        <v>78735</v>
      </c>
      <c r="AT328" s="99">
        <v>0</v>
      </c>
      <c r="AU328" s="99">
        <v>-16632</v>
      </c>
      <c r="AV328" s="99">
        <v>254935</v>
      </c>
      <c r="AW328" s="99">
        <v>4423</v>
      </c>
      <c r="AX328" s="99">
        <v>90841</v>
      </c>
      <c r="AY328" s="99">
        <v>12913</v>
      </c>
      <c r="AZ328" s="99">
        <v>24115</v>
      </c>
      <c r="BA328" s="99">
        <v>5593</v>
      </c>
      <c r="BB328" s="99">
        <v>48220</v>
      </c>
      <c r="BC328" s="99">
        <v>90797</v>
      </c>
      <c r="BD328" s="99">
        <v>68874</v>
      </c>
      <c r="BE328" s="99">
        <v>-96772</v>
      </c>
      <c r="BF328" s="99">
        <v>-92758</v>
      </c>
      <c r="BG328" s="99">
        <v>-55422</v>
      </c>
      <c r="BH328" s="99">
        <v>-37336</v>
      </c>
      <c r="BI328" s="99">
        <v>0</v>
      </c>
      <c r="BJ328" s="99">
        <v>-40274</v>
      </c>
      <c r="BK328" s="99">
        <v>-52484</v>
      </c>
      <c r="BL328" s="99">
        <v>-4014</v>
      </c>
      <c r="BM328" s="99">
        <v>0</v>
      </c>
      <c r="BN328" s="99">
        <v>158163</v>
      </c>
      <c r="BO328" s="99">
        <v>33551</v>
      </c>
      <c r="BP328" s="99">
        <v>14128</v>
      </c>
      <c r="BQ328" s="99">
        <v>20901</v>
      </c>
      <c r="BR328" s="99">
        <v>4</v>
      </c>
      <c r="BS328" s="99">
        <v>679</v>
      </c>
      <c r="BT328" s="99">
        <v>230</v>
      </c>
      <c r="BU328" s="99">
        <v>37</v>
      </c>
      <c r="BV328" s="99">
        <v>626</v>
      </c>
      <c r="BW328" s="99">
        <v>-214</v>
      </c>
      <c r="BX328" s="99">
        <v>35419</v>
      </c>
      <c r="BY328" s="99">
        <v>53461</v>
      </c>
      <c r="BZ328" s="99">
        <v>20</v>
      </c>
      <c r="CA328" s="99">
        <v>111917</v>
      </c>
      <c r="CB328" s="99">
        <v>-60554</v>
      </c>
      <c r="CC328" s="99">
        <v>-60554</v>
      </c>
      <c r="CD328" s="99">
        <v>0</v>
      </c>
      <c r="CE328" s="99">
        <v>51363</v>
      </c>
      <c r="CF328" s="99">
        <v>89805</v>
      </c>
      <c r="CG328" s="99">
        <v>-10</v>
      </c>
      <c r="CH328" s="99">
        <v>-38432</v>
      </c>
      <c r="CI328" s="99">
        <v>6356558</v>
      </c>
      <c r="CJ328" s="99">
        <v>1801072</v>
      </c>
      <c r="CK328" s="99">
        <v>4555486</v>
      </c>
      <c r="CL328" s="99">
        <v>4041833</v>
      </c>
      <c r="CM328" s="99">
        <v>151269</v>
      </c>
      <c r="CN328" s="99">
        <v>362384</v>
      </c>
      <c r="CO328" s="99">
        <v>0</v>
      </c>
      <c r="CP328" s="99">
        <v>0</v>
      </c>
      <c r="CQ328" s="99">
        <v>362384</v>
      </c>
      <c r="CR328" s="99">
        <v>-2255379</v>
      </c>
      <c r="CS328" s="99">
        <v>-384503</v>
      </c>
      <c r="CT328" s="99">
        <v>-293824</v>
      </c>
      <c r="CU328" s="99">
        <v>-4230</v>
      </c>
      <c r="CV328" s="99">
        <v>-111</v>
      </c>
      <c r="CW328" s="99">
        <v>-86338</v>
      </c>
      <c r="CX328" s="99">
        <v>-1625076</v>
      </c>
      <c r="CY328" s="99">
        <v>-1604524</v>
      </c>
      <c r="CZ328" s="99">
        <v>-20023</v>
      </c>
      <c r="DA328" s="99">
        <v>-529</v>
      </c>
      <c r="DB328" s="99">
        <v>0</v>
      </c>
      <c r="DC328" s="99">
        <v>-245800</v>
      </c>
      <c r="DD328" s="99">
        <v>4101179</v>
      </c>
      <c r="DE328" s="99">
        <v>1056083</v>
      </c>
      <c r="DF328" s="99">
        <v>3045096</v>
      </c>
      <c r="DG328" s="99">
        <v>2980098</v>
      </c>
      <c r="DH328" s="99">
        <v>64998</v>
      </c>
      <c r="DI328" s="99">
        <v>1934711</v>
      </c>
      <c r="DJ328" s="99">
        <v>73078</v>
      </c>
      <c r="DK328" s="99">
        <v>34215</v>
      </c>
      <c r="DL328" s="99">
        <v>1480</v>
      </c>
      <c r="DM328" s="99">
        <v>1045979</v>
      </c>
      <c r="DN328" s="99">
        <v>649215</v>
      </c>
      <c r="DO328" s="99">
        <v>130714</v>
      </c>
      <c r="DP328" s="99"/>
      <c r="DQ328" s="99">
        <v>0</v>
      </c>
      <c r="DR328" s="99">
        <v>30</v>
      </c>
      <c r="DS328" s="99">
        <v>-47422</v>
      </c>
      <c r="DT328" s="99">
        <v>-1023</v>
      </c>
      <c r="DU328" s="99">
        <v>-1457</v>
      </c>
      <c r="DV328" s="99">
        <v>-39</v>
      </c>
      <c r="DW328" s="99">
        <v>-40143</v>
      </c>
      <c r="DX328" s="99">
        <v>-5469</v>
      </c>
      <c r="DY328" s="99">
        <v>-22667</v>
      </c>
      <c r="DZ328" s="99">
        <v>-12007</v>
      </c>
      <c r="EA328" s="99">
        <v>-4609</v>
      </c>
      <c r="EB328" s="99">
        <v>-146</v>
      </c>
      <c r="EC328" s="99"/>
      <c r="ED328" s="99">
        <v>0</v>
      </c>
      <c r="EE328" s="99">
        <v>-5</v>
      </c>
      <c r="EF328" s="99">
        <v>1887289</v>
      </c>
      <c r="EG328" s="99">
        <v>730556</v>
      </c>
      <c r="EH328" s="99">
        <v>1156733</v>
      </c>
      <c r="EI328" s="99">
        <v>1138442</v>
      </c>
      <c r="EJ328" s="99">
        <v>18291</v>
      </c>
      <c r="EK328" s="99">
        <v>72055</v>
      </c>
      <c r="EL328" s="99">
        <v>34434</v>
      </c>
      <c r="EM328" s="99">
        <v>37621</v>
      </c>
      <c r="EN328" s="99">
        <v>36804</v>
      </c>
      <c r="EO328" s="99">
        <v>817</v>
      </c>
      <c r="EP328" s="99">
        <v>32758</v>
      </c>
      <c r="EQ328" s="99">
        <v>17243</v>
      </c>
      <c r="ER328" s="99">
        <v>15515</v>
      </c>
      <c r="ES328" s="99">
        <v>15204</v>
      </c>
      <c r="ET328" s="99">
        <v>311</v>
      </c>
      <c r="EU328" s="99">
        <v>1441</v>
      </c>
      <c r="EV328" s="99">
        <v>428</v>
      </c>
      <c r="EW328" s="99">
        <v>1013</v>
      </c>
      <c r="EX328" s="99">
        <v>994</v>
      </c>
      <c r="EY328" s="99">
        <v>19</v>
      </c>
      <c r="EZ328" s="99">
        <v>1005836</v>
      </c>
      <c r="FA328" s="99">
        <v>341873</v>
      </c>
      <c r="FB328" s="99">
        <v>663963</v>
      </c>
      <c r="FC328" s="99">
        <v>653011</v>
      </c>
      <c r="FD328" s="99">
        <v>10952</v>
      </c>
      <c r="FE328" s="99">
        <v>644606</v>
      </c>
      <c r="FF328" s="99">
        <v>318405</v>
      </c>
      <c r="FG328" s="99">
        <v>326201</v>
      </c>
      <c r="FH328" s="99">
        <v>320009</v>
      </c>
      <c r="FI328" s="99">
        <v>6192</v>
      </c>
      <c r="FJ328" s="99">
        <v>130568</v>
      </c>
      <c r="FK328" s="99">
        <v>18148</v>
      </c>
      <c r="FL328" s="99">
        <v>112420</v>
      </c>
      <c r="FM328" s="99">
        <v>112420</v>
      </c>
      <c r="FN328" s="99" t="s">
        <v>619</v>
      </c>
      <c r="FO328" s="99"/>
      <c r="FP328" s="99">
        <v>0</v>
      </c>
      <c r="FQ328" s="99">
        <v>25</v>
      </c>
      <c r="FR328" s="99">
        <v>1089974</v>
      </c>
      <c r="FS328" s="99">
        <v>-49540</v>
      </c>
      <c r="FT328" s="99">
        <v>1040434</v>
      </c>
      <c r="FU328" s="99">
        <v>398682</v>
      </c>
      <c r="FV328" s="99">
        <v>372257</v>
      </c>
      <c r="FW328" s="99">
        <v>26425</v>
      </c>
      <c r="FX328" s="99">
        <v>186258</v>
      </c>
      <c r="FY328" s="99">
        <v>308977</v>
      </c>
      <c r="FZ328" s="99">
        <v>23193</v>
      </c>
      <c r="GA328" s="99">
        <v>1042</v>
      </c>
      <c r="GB328" s="99">
        <v>41</v>
      </c>
      <c r="GC328" s="99">
        <v>27822</v>
      </c>
      <c r="GD328" s="99">
        <v>-34005</v>
      </c>
      <c r="GE328" s="99">
        <v>1</v>
      </c>
      <c r="GF328" s="99">
        <v>61826</v>
      </c>
      <c r="GG328" s="99">
        <v>94419</v>
      </c>
      <c r="GH328" s="99">
        <v>12137</v>
      </c>
      <c r="GI328" s="99">
        <v>548</v>
      </c>
      <c r="GJ328" s="99">
        <v>81734</v>
      </c>
      <c r="GL328"/>
      <c r="GM328"/>
      <c r="GN328"/>
      <c r="GO328"/>
    </row>
    <row r="329" spans="1:197">
      <c r="A329" s="98">
        <v>2021</v>
      </c>
      <c r="B329" s="98">
        <v>10</v>
      </c>
      <c r="C329" s="98" t="s">
        <v>226</v>
      </c>
      <c r="D329" s="99">
        <v>40676455</v>
      </c>
      <c r="E329" s="99">
        <v>-3166194</v>
      </c>
      <c r="F329" s="99">
        <v>-16632</v>
      </c>
      <c r="G329" s="99">
        <v>37493629</v>
      </c>
      <c r="H329" s="99">
        <v>29388458</v>
      </c>
      <c r="I329" s="99">
        <v>8105171</v>
      </c>
      <c r="J329" s="99">
        <v>7938483</v>
      </c>
      <c r="K329" s="99">
        <v>166688</v>
      </c>
      <c r="L329" s="99">
        <v>11451300</v>
      </c>
      <c r="M329" s="99">
        <v>9528503</v>
      </c>
      <c r="N329" s="99">
        <v>204055</v>
      </c>
      <c r="O329" s="99">
        <v>35751</v>
      </c>
      <c r="P329" s="99">
        <v>168304</v>
      </c>
      <c r="Q329" s="99">
        <v>73532</v>
      </c>
      <c r="R329" s="99">
        <v>1645210</v>
      </c>
      <c r="S329" s="99">
        <v>-712204</v>
      </c>
      <c r="T329" s="99">
        <v>-670128</v>
      </c>
      <c r="U329" s="99">
        <v>-79146</v>
      </c>
      <c r="V329" s="99">
        <v>-18</v>
      </c>
      <c r="W329" s="99">
        <v>-550728</v>
      </c>
      <c r="X329" s="99">
        <v>0</v>
      </c>
      <c r="Y329" s="99">
        <v>-40236</v>
      </c>
      <c r="Z329" s="99">
        <v>-36118</v>
      </c>
      <c r="AA329" s="99">
        <v>-5958</v>
      </c>
      <c r="AB329" s="99">
        <v>0</v>
      </c>
      <c r="AC329" s="99">
        <v>-16632</v>
      </c>
      <c r="AD329" s="99">
        <v>10722464</v>
      </c>
      <c r="AE329" s="99">
        <v>6819133</v>
      </c>
      <c r="AF329" s="99">
        <v>3903331</v>
      </c>
      <c r="AG329" s="99">
        <v>3819939</v>
      </c>
      <c r="AH329" s="99">
        <v>83392</v>
      </c>
      <c r="AI329" s="99">
        <v>9523695</v>
      </c>
      <c r="AJ329" s="99">
        <v>1997684</v>
      </c>
      <c r="AK329" s="99">
        <v>2801345</v>
      </c>
      <c r="AL329" s="99">
        <v>4617058</v>
      </c>
      <c r="AM329" s="99">
        <v>300684</v>
      </c>
      <c r="AN329" s="99">
        <v>387966</v>
      </c>
      <c r="AO329" s="99">
        <v>75994</v>
      </c>
      <c r="AP329" s="99">
        <v>14971</v>
      </c>
      <c r="AQ329" s="99">
        <v>864445</v>
      </c>
      <c r="AR329" s="99">
        <v>-466073</v>
      </c>
      <c r="AS329" s="99">
        <v>37414</v>
      </c>
      <c r="AT329" s="99">
        <v>0</v>
      </c>
      <c r="AU329" s="99">
        <v>-16632</v>
      </c>
      <c r="AV329" s="99">
        <v>13183985</v>
      </c>
      <c r="AW329" s="99">
        <v>12655354</v>
      </c>
      <c r="AX329" s="99">
        <v>126321</v>
      </c>
      <c r="AY329" s="99">
        <v>8166</v>
      </c>
      <c r="AZ329" s="99">
        <v>6860</v>
      </c>
      <c r="BA329" s="99">
        <v>9907</v>
      </c>
      <c r="BB329" s="99">
        <v>101388</v>
      </c>
      <c r="BC329" s="99">
        <v>85286</v>
      </c>
      <c r="BD329" s="99">
        <v>317024</v>
      </c>
      <c r="BE329" s="99">
        <v>-217585</v>
      </c>
      <c r="BF329" s="99">
        <v>-215797</v>
      </c>
      <c r="BG329" s="99">
        <v>-192118</v>
      </c>
      <c r="BH329" s="99">
        <v>-23679</v>
      </c>
      <c r="BI329" s="99">
        <v>0</v>
      </c>
      <c r="BJ329" s="99">
        <v>-163633</v>
      </c>
      <c r="BK329" s="99">
        <v>-52164</v>
      </c>
      <c r="BL329" s="99">
        <v>-1788</v>
      </c>
      <c r="BM329" s="99">
        <v>0</v>
      </c>
      <c r="BN329" s="99">
        <v>12966400</v>
      </c>
      <c r="BO329" s="99">
        <v>127086</v>
      </c>
      <c r="BP329" s="99">
        <v>156999</v>
      </c>
      <c r="BQ329" s="99">
        <v>32298</v>
      </c>
      <c r="BR329" s="99">
        <v>114</v>
      </c>
      <c r="BS329" s="99">
        <v>12653970</v>
      </c>
      <c r="BT329" s="99">
        <v>3801956</v>
      </c>
      <c r="BU329" s="99">
        <v>7539228</v>
      </c>
      <c r="BV329" s="99">
        <v>1286907</v>
      </c>
      <c r="BW329" s="99">
        <v>25879</v>
      </c>
      <c r="BX329" s="99">
        <v>-65797</v>
      </c>
      <c r="BY329" s="99">
        <v>61607</v>
      </c>
      <c r="BZ329" s="99">
        <v>123</v>
      </c>
      <c r="CA329" s="99">
        <v>284928</v>
      </c>
      <c r="CB329" s="99">
        <v>-70361</v>
      </c>
      <c r="CC329" s="99">
        <v>-70361</v>
      </c>
      <c r="CD329" s="99">
        <v>0</v>
      </c>
      <c r="CE329" s="99">
        <v>214567</v>
      </c>
      <c r="CF329" s="99">
        <v>165372</v>
      </c>
      <c r="CG329" s="99">
        <v>30704</v>
      </c>
      <c r="CH329" s="99">
        <v>18491</v>
      </c>
      <c r="CI329" s="99">
        <v>13262334</v>
      </c>
      <c r="CJ329" s="99">
        <v>1795011</v>
      </c>
      <c r="CK329" s="99">
        <v>11467323</v>
      </c>
      <c r="CL329" s="99">
        <v>3437300</v>
      </c>
      <c r="CM329" s="99">
        <v>7442112</v>
      </c>
      <c r="CN329" s="99">
        <v>587911</v>
      </c>
      <c r="CO329" s="99">
        <v>0</v>
      </c>
      <c r="CP329" s="99">
        <v>0</v>
      </c>
      <c r="CQ329" s="99">
        <v>587911</v>
      </c>
      <c r="CR329" s="99">
        <v>-2090177</v>
      </c>
      <c r="CS329" s="99">
        <v>-355690</v>
      </c>
      <c r="CT329" s="99">
        <v>-268061</v>
      </c>
      <c r="CU329" s="99">
        <v>-6699</v>
      </c>
      <c r="CV329" s="99">
        <v>-186</v>
      </c>
      <c r="CW329" s="99">
        <v>-80744</v>
      </c>
      <c r="CX329" s="99">
        <v>-1122534</v>
      </c>
      <c r="CY329" s="99">
        <v>-1113630</v>
      </c>
      <c r="CZ329" s="99">
        <v>-8307</v>
      </c>
      <c r="DA329" s="99">
        <v>-597</v>
      </c>
      <c r="DB329" s="99">
        <v>-611953</v>
      </c>
      <c r="DC329" s="99">
        <v>0</v>
      </c>
      <c r="DD329" s="99">
        <v>11172157</v>
      </c>
      <c r="DE329" s="99">
        <v>8127060</v>
      </c>
      <c r="DF329" s="99">
        <v>3045097</v>
      </c>
      <c r="DG329" s="99">
        <v>2980099</v>
      </c>
      <c r="DH329" s="99">
        <v>64998</v>
      </c>
      <c r="DI329" s="99">
        <v>1866430</v>
      </c>
      <c r="DJ329" s="99">
        <v>69506</v>
      </c>
      <c r="DK329" s="99">
        <v>34758</v>
      </c>
      <c r="DL329" s="99">
        <v>1352</v>
      </c>
      <c r="DM329" s="99">
        <v>1069745</v>
      </c>
      <c r="DN329" s="99">
        <v>595314</v>
      </c>
      <c r="DO329" s="99">
        <v>88117</v>
      </c>
      <c r="DP329" s="99"/>
      <c r="DQ329" s="99">
        <v>7603</v>
      </c>
      <c r="DR329" s="99">
        <v>35</v>
      </c>
      <c r="DS329" s="99">
        <v>-28560</v>
      </c>
      <c r="DT329" s="99">
        <v>-9654</v>
      </c>
      <c r="DU329" s="99">
        <v>-2175</v>
      </c>
      <c r="DV329" s="99">
        <v>-18</v>
      </c>
      <c r="DW329" s="99">
        <v>-15698</v>
      </c>
      <c r="DX329" s="99">
        <v>-7417</v>
      </c>
      <c r="DY329" s="99">
        <v>-7590</v>
      </c>
      <c r="DZ329" s="99">
        <v>-691</v>
      </c>
      <c r="EA329" s="99">
        <v>-980</v>
      </c>
      <c r="EB329" s="99">
        <v>-30</v>
      </c>
      <c r="EC329" s="99"/>
      <c r="ED329" s="99">
        <v>0</v>
      </c>
      <c r="EE329" s="99">
        <v>-5</v>
      </c>
      <c r="EF329" s="99">
        <v>1837870</v>
      </c>
      <c r="EG329" s="99">
        <v>681127</v>
      </c>
      <c r="EH329" s="99">
        <v>1156743</v>
      </c>
      <c r="EI329" s="99">
        <v>1138445</v>
      </c>
      <c r="EJ329" s="99">
        <v>18298</v>
      </c>
      <c r="EK329" s="99">
        <v>59852</v>
      </c>
      <c r="EL329" s="99">
        <v>22230</v>
      </c>
      <c r="EM329" s="99">
        <v>37622</v>
      </c>
      <c r="EN329" s="99">
        <v>36804</v>
      </c>
      <c r="EO329" s="99">
        <v>818</v>
      </c>
      <c r="EP329" s="99">
        <v>32583</v>
      </c>
      <c r="EQ329" s="99">
        <v>17066</v>
      </c>
      <c r="ER329" s="99">
        <v>15517</v>
      </c>
      <c r="ES329" s="99">
        <v>15205</v>
      </c>
      <c r="ET329" s="99">
        <v>312</v>
      </c>
      <c r="EU329" s="99">
        <v>1334</v>
      </c>
      <c r="EV329" s="99">
        <v>317</v>
      </c>
      <c r="EW329" s="99">
        <v>1017</v>
      </c>
      <c r="EX329" s="99">
        <v>995</v>
      </c>
      <c r="EY329" s="99">
        <v>22</v>
      </c>
      <c r="EZ329" s="99">
        <v>1054047</v>
      </c>
      <c r="FA329" s="99">
        <v>390084</v>
      </c>
      <c r="FB329" s="99">
        <v>663963</v>
      </c>
      <c r="FC329" s="99">
        <v>653012</v>
      </c>
      <c r="FD329" s="99">
        <v>10951</v>
      </c>
      <c r="FE329" s="99">
        <v>594334</v>
      </c>
      <c r="FF329" s="99">
        <v>268130</v>
      </c>
      <c r="FG329" s="99">
        <v>326204</v>
      </c>
      <c r="FH329" s="99">
        <v>320009</v>
      </c>
      <c r="FI329" s="99">
        <v>6195</v>
      </c>
      <c r="FJ329" s="99">
        <v>88087</v>
      </c>
      <c r="FK329" s="99">
        <v>-24333</v>
      </c>
      <c r="FL329" s="99">
        <v>112420</v>
      </c>
      <c r="FM329" s="99">
        <v>112420</v>
      </c>
      <c r="FN329" s="99" t="s">
        <v>619</v>
      </c>
      <c r="FO329" s="99"/>
      <c r="FP329" s="99">
        <v>7603</v>
      </c>
      <c r="FQ329" s="99">
        <v>30</v>
      </c>
      <c r="FR329" s="99">
        <v>627478</v>
      </c>
      <c r="FS329" s="99">
        <v>-47307</v>
      </c>
      <c r="FT329" s="99">
        <v>580171</v>
      </c>
      <c r="FU329" s="99">
        <v>9065</v>
      </c>
      <c r="FV329" s="99">
        <v>8764</v>
      </c>
      <c r="FW329" s="99">
        <v>301</v>
      </c>
      <c r="FX329" s="99">
        <v>203286</v>
      </c>
      <c r="FY329" s="99">
        <v>156818</v>
      </c>
      <c r="FZ329" s="99">
        <v>27932</v>
      </c>
      <c r="GA329" s="99">
        <v>1272</v>
      </c>
      <c r="GB329" s="99">
        <v>63</v>
      </c>
      <c r="GC329" s="99">
        <v>60020</v>
      </c>
      <c r="GD329" s="99">
        <v>123</v>
      </c>
      <c r="GE329" s="99">
        <v>5943</v>
      </c>
      <c r="GF329" s="99">
        <v>53954</v>
      </c>
      <c r="GG329" s="99">
        <v>121715</v>
      </c>
      <c r="GH329" s="99">
        <v>15571</v>
      </c>
      <c r="GI329" s="99">
        <v>593</v>
      </c>
      <c r="GJ329" s="99">
        <v>105551</v>
      </c>
      <c r="GL329"/>
      <c r="GM329"/>
      <c r="GN329"/>
      <c r="GO329"/>
    </row>
    <row r="330" spans="1:197">
      <c r="A330" s="98">
        <v>2021</v>
      </c>
      <c r="B330" s="98">
        <v>11</v>
      </c>
      <c r="C330" s="98" t="s">
        <v>227</v>
      </c>
      <c r="D330" s="99">
        <v>18619662</v>
      </c>
      <c r="E330" s="99">
        <v>-3142807</v>
      </c>
      <c r="F330" s="99">
        <v>-16631</v>
      </c>
      <c r="G330" s="99">
        <v>15460224</v>
      </c>
      <c r="H330" s="99">
        <v>7355058</v>
      </c>
      <c r="I330" s="99">
        <v>8105166</v>
      </c>
      <c r="J330" s="99">
        <v>7938482</v>
      </c>
      <c r="K330" s="99">
        <v>166684</v>
      </c>
      <c r="L330" s="99">
        <v>8977875</v>
      </c>
      <c r="M330" s="99">
        <v>4893433</v>
      </c>
      <c r="N330" s="99">
        <v>3703022</v>
      </c>
      <c r="O330" s="99">
        <v>3545240</v>
      </c>
      <c r="P330" s="99">
        <v>157782</v>
      </c>
      <c r="Q330" s="99">
        <v>99864</v>
      </c>
      <c r="R330" s="99">
        <v>281556</v>
      </c>
      <c r="S330" s="99">
        <v>-622621</v>
      </c>
      <c r="T330" s="99">
        <v>-607381</v>
      </c>
      <c r="U330" s="99">
        <v>-76067</v>
      </c>
      <c r="V330" s="99">
        <v>-8</v>
      </c>
      <c r="W330" s="99">
        <v>-486179</v>
      </c>
      <c r="X330" s="99">
        <v>0</v>
      </c>
      <c r="Y330" s="99">
        <v>-45127</v>
      </c>
      <c r="Z330" s="99">
        <v>-9460</v>
      </c>
      <c r="AA330" s="99">
        <v>-5780</v>
      </c>
      <c r="AB330" s="99">
        <v>0</v>
      </c>
      <c r="AC330" s="99">
        <v>-16631</v>
      </c>
      <c r="AD330" s="99">
        <v>8338623</v>
      </c>
      <c r="AE330" s="99">
        <v>4435292</v>
      </c>
      <c r="AF330" s="99">
        <v>3903331</v>
      </c>
      <c r="AG330" s="99">
        <v>3819939</v>
      </c>
      <c r="AH330" s="99">
        <v>83392</v>
      </c>
      <c r="AI330" s="99">
        <v>4888958</v>
      </c>
      <c r="AJ330" s="99">
        <v>2024069</v>
      </c>
      <c r="AK330" s="99">
        <v>2792678</v>
      </c>
      <c r="AL330" s="99">
        <v>33525</v>
      </c>
      <c r="AM330" s="99">
        <v>125244</v>
      </c>
      <c r="AN330" s="99">
        <v>47172</v>
      </c>
      <c r="AO330" s="99">
        <v>53269</v>
      </c>
      <c r="AP330" s="99">
        <v>16757</v>
      </c>
      <c r="AQ330" s="99">
        <v>37809</v>
      </c>
      <c r="AR330" s="99">
        <v>3095641</v>
      </c>
      <c r="AS330" s="99">
        <v>90404</v>
      </c>
      <c r="AT330" s="99">
        <v>0</v>
      </c>
      <c r="AU330" s="99">
        <v>-16631</v>
      </c>
      <c r="AV330" s="99">
        <v>389700</v>
      </c>
      <c r="AW330" s="99">
        <v>50650</v>
      </c>
      <c r="AX330" s="99">
        <v>132901</v>
      </c>
      <c r="AY330" s="99">
        <v>23182</v>
      </c>
      <c r="AZ330" s="99">
        <v>16780</v>
      </c>
      <c r="BA330" s="99">
        <v>10438</v>
      </c>
      <c r="BB330" s="99">
        <v>82501</v>
      </c>
      <c r="BC330" s="99">
        <v>112059</v>
      </c>
      <c r="BD330" s="99">
        <v>94090</v>
      </c>
      <c r="BE330" s="99">
        <v>-288276</v>
      </c>
      <c r="BF330" s="99">
        <v>-286515</v>
      </c>
      <c r="BG330" s="99">
        <v>-220652</v>
      </c>
      <c r="BH330" s="99">
        <v>-65863</v>
      </c>
      <c r="BI330" s="99">
        <v>-201746</v>
      </c>
      <c r="BJ330" s="99">
        <v>-5815</v>
      </c>
      <c r="BK330" s="99">
        <v>-78954</v>
      </c>
      <c r="BL330" s="99">
        <v>-1761</v>
      </c>
      <c r="BM330" s="99">
        <v>0</v>
      </c>
      <c r="BN330" s="99">
        <v>101424</v>
      </c>
      <c r="BO330" s="99">
        <v>52980</v>
      </c>
      <c r="BP330" s="99">
        <v>16863</v>
      </c>
      <c r="BQ330" s="99">
        <v>22679</v>
      </c>
      <c r="BR330" s="99">
        <v>0</v>
      </c>
      <c r="BS330" s="99">
        <v>49296</v>
      </c>
      <c r="BT330" s="99">
        <v>10877</v>
      </c>
      <c r="BU330" s="99">
        <v>12004</v>
      </c>
      <c r="BV330" s="99">
        <v>9464</v>
      </c>
      <c r="BW330" s="99">
        <v>16951</v>
      </c>
      <c r="BX330" s="99">
        <v>-87751</v>
      </c>
      <c r="BY330" s="99">
        <v>46196</v>
      </c>
      <c r="BZ330" s="99">
        <v>1161</v>
      </c>
      <c r="CA330" s="99">
        <v>194934</v>
      </c>
      <c r="CB330" s="99">
        <v>-48607</v>
      </c>
      <c r="CC330" s="99">
        <v>-48607</v>
      </c>
      <c r="CD330" s="99">
        <v>0</v>
      </c>
      <c r="CE330" s="99">
        <v>146327</v>
      </c>
      <c r="CF330" s="99">
        <v>149546</v>
      </c>
      <c r="CG330" s="99">
        <v>110</v>
      </c>
      <c r="CH330" s="99">
        <v>-3329</v>
      </c>
      <c r="CI330" s="99">
        <v>6724288</v>
      </c>
      <c r="CJ330" s="99">
        <v>1985495</v>
      </c>
      <c r="CK330" s="99">
        <v>4738793</v>
      </c>
      <c r="CL330" s="99">
        <v>3911485</v>
      </c>
      <c r="CM330" s="99">
        <v>361966</v>
      </c>
      <c r="CN330" s="99">
        <v>465342</v>
      </c>
      <c r="CO330" s="99">
        <v>0</v>
      </c>
      <c r="CP330" s="99">
        <v>16000</v>
      </c>
      <c r="CQ330" s="99">
        <v>449342</v>
      </c>
      <c r="CR330" s="99">
        <v>-2024077</v>
      </c>
      <c r="CS330" s="99">
        <v>-282673</v>
      </c>
      <c r="CT330" s="99">
        <v>-187114</v>
      </c>
      <c r="CU330" s="99">
        <v>-7281</v>
      </c>
      <c r="CV330" s="99">
        <v>-99</v>
      </c>
      <c r="CW330" s="99">
        <v>-88179</v>
      </c>
      <c r="CX330" s="99">
        <v>-1704186</v>
      </c>
      <c r="CY330" s="99">
        <v>-1692741</v>
      </c>
      <c r="CZ330" s="99">
        <v>-8456</v>
      </c>
      <c r="DA330" s="99">
        <v>-2989</v>
      </c>
      <c r="DB330" s="99">
        <v>0</v>
      </c>
      <c r="DC330" s="99">
        <v>-37218</v>
      </c>
      <c r="DD330" s="99">
        <v>4700211</v>
      </c>
      <c r="DE330" s="99">
        <v>1655117</v>
      </c>
      <c r="DF330" s="99">
        <v>3045094</v>
      </c>
      <c r="DG330" s="99">
        <v>2980098</v>
      </c>
      <c r="DH330" s="99">
        <v>64996</v>
      </c>
      <c r="DI330" s="99">
        <v>1579901</v>
      </c>
      <c r="DJ330" s="99">
        <v>101214</v>
      </c>
      <c r="DK330" s="99">
        <v>40090</v>
      </c>
      <c r="DL330" s="99">
        <v>2624</v>
      </c>
      <c r="DM330" s="99">
        <v>1011613</v>
      </c>
      <c r="DN330" s="99">
        <v>409131</v>
      </c>
      <c r="DO330" s="99">
        <v>15199</v>
      </c>
      <c r="DP330" s="99"/>
      <c r="DQ330" s="99">
        <v>9</v>
      </c>
      <c r="DR330" s="99">
        <v>21</v>
      </c>
      <c r="DS330" s="99">
        <v>-61623</v>
      </c>
      <c r="DT330" s="99">
        <v>-2263</v>
      </c>
      <c r="DU330" s="99">
        <v>-220</v>
      </c>
      <c r="DV330" s="99">
        <v>-46</v>
      </c>
      <c r="DW330" s="99">
        <v>-56879</v>
      </c>
      <c r="DX330" s="99">
        <v>-4480</v>
      </c>
      <c r="DY330" s="99">
        <v>-50767</v>
      </c>
      <c r="DZ330" s="99">
        <v>-1632</v>
      </c>
      <c r="EA330" s="99">
        <v>-55</v>
      </c>
      <c r="EB330" s="99">
        <v>-805</v>
      </c>
      <c r="EC330" s="99"/>
      <c r="ED330" s="99">
        <v>-1197</v>
      </c>
      <c r="EE330" s="99">
        <v>-158</v>
      </c>
      <c r="EF330" s="99">
        <v>1518278</v>
      </c>
      <c r="EG330" s="99">
        <v>361537</v>
      </c>
      <c r="EH330" s="99">
        <v>1156741</v>
      </c>
      <c r="EI330" s="99">
        <v>1138445</v>
      </c>
      <c r="EJ330" s="99">
        <v>18296</v>
      </c>
      <c r="EK330" s="99">
        <v>98951</v>
      </c>
      <c r="EL330" s="99">
        <v>61327</v>
      </c>
      <c r="EM330" s="99">
        <v>37624</v>
      </c>
      <c r="EN330" s="99">
        <v>36804</v>
      </c>
      <c r="EO330" s="99">
        <v>820</v>
      </c>
      <c r="EP330" s="99">
        <v>39870</v>
      </c>
      <c r="EQ330" s="99">
        <v>24354</v>
      </c>
      <c r="ER330" s="99">
        <v>15516</v>
      </c>
      <c r="ES330" s="99">
        <v>15205</v>
      </c>
      <c r="ET330" s="99">
        <v>311</v>
      </c>
      <c r="EU330" s="99">
        <v>2578</v>
      </c>
      <c r="EV330" s="99">
        <v>1563</v>
      </c>
      <c r="EW330" s="99">
        <v>1015</v>
      </c>
      <c r="EX330" s="99">
        <v>995</v>
      </c>
      <c r="EY330" s="99">
        <v>20</v>
      </c>
      <c r="EZ330" s="99">
        <v>954734</v>
      </c>
      <c r="FA330" s="99">
        <v>290771</v>
      </c>
      <c r="FB330" s="99">
        <v>663963</v>
      </c>
      <c r="FC330" s="99">
        <v>653011</v>
      </c>
      <c r="FD330" s="99">
        <v>10952</v>
      </c>
      <c r="FE330" s="99">
        <v>409076</v>
      </c>
      <c r="FF330" s="99">
        <v>82873</v>
      </c>
      <c r="FG330" s="99">
        <v>326203</v>
      </c>
      <c r="FH330" s="99">
        <v>320010</v>
      </c>
      <c r="FI330" s="99">
        <v>6193</v>
      </c>
      <c r="FJ330" s="99">
        <v>14394</v>
      </c>
      <c r="FK330" s="99">
        <v>-98026</v>
      </c>
      <c r="FL330" s="99">
        <v>112420</v>
      </c>
      <c r="FM330" s="99">
        <v>112420</v>
      </c>
      <c r="FN330" s="99" t="s">
        <v>619</v>
      </c>
      <c r="FO330" s="99"/>
      <c r="FP330" s="99">
        <v>-1188</v>
      </c>
      <c r="FQ330" s="99">
        <v>-137</v>
      </c>
      <c r="FR330" s="99">
        <v>752964</v>
      </c>
      <c r="FS330" s="99">
        <v>-97603</v>
      </c>
      <c r="FT330" s="99">
        <v>655361</v>
      </c>
      <c r="FU330" s="99">
        <v>66812</v>
      </c>
      <c r="FV330" s="99">
        <v>66610</v>
      </c>
      <c r="FW330" s="99">
        <v>202</v>
      </c>
      <c r="FX330" s="99">
        <v>209484</v>
      </c>
      <c r="FY330" s="99">
        <v>169204</v>
      </c>
      <c r="FZ330" s="99">
        <v>32669</v>
      </c>
      <c r="GA330" s="99">
        <v>71319</v>
      </c>
      <c r="GB330" s="99">
        <v>7645</v>
      </c>
      <c r="GC330" s="99">
        <v>-5705</v>
      </c>
      <c r="GD330" s="99">
        <v>-33169</v>
      </c>
      <c r="GE330" s="99">
        <v>0</v>
      </c>
      <c r="GF330" s="99">
        <v>27464</v>
      </c>
      <c r="GG330" s="99">
        <v>103933</v>
      </c>
      <c r="GH330" s="99">
        <v>13945</v>
      </c>
      <c r="GI330" s="99">
        <v>727</v>
      </c>
      <c r="GJ330" s="99">
        <v>89261</v>
      </c>
      <c r="GL330"/>
      <c r="GM330"/>
      <c r="GN330"/>
      <c r="GO330"/>
    </row>
    <row r="331" spans="1:197">
      <c r="A331" s="98">
        <v>2021</v>
      </c>
      <c r="B331" s="98">
        <v>12</v>
      </c>
      <c r="C331" s="98" t="s">
        <v>228</v>
      </c>
      <c r="D331" s="99">
        <v>21773242</v>
      </c>
      <c r="E331" s="99">
        <v>-5242177</v>
      </c>
      <c r="F331" s="99">
        <v>-16632</v>
      </c>
      <c r="G331" s="99">
        <v>16514433</v>
      </c>
      <c r="H331" s="99">
        <v>8409269</v>
      </c>
      <c r="I331" s="99">
        <v>8105164</v>
      </c>
      <c r="J331" s="99">
        <v>7938480</v>
      </c>
      <c r="K331" s="99">
        <v>166684</v>
      </c>
      <c r="L331" s="99">
        <v>6757571</v>
      </c>
      <c r="M331" s="99">
        <v>6159467</v>
      </c>
      <c r="N331" s="99">
        <v>165101</v>
      </c>
      <c r="O331" s="99">
        <v>31281</v>
      </c>
      <c r="P331" s="99">
        <v>133820</v>
      </c>
      <c r="Q331" s="99">
        <v>61812</v>
      </c>
      <c r="R331" s="99">
        <v>371191</v>
      </c>
      <c r="S331" s="99">
        <v>-603147</v>
      </c>
      <c r="T331" s="99">
        <v>-587271</v>
      </c>
      <c r="U331" s="99">
        <v>-78285</v>
      </c>
      <c r="V331" s="99">
        <v>-4</v>
      </c>
      <c r="W331" s="99">
        <v>-463281</v>
      </c>
      <c r="X331" s="99">
        <v>0</v>
      </c>
      <c r="Y331" s="99">
        <v>-45701</v>
      </c>
      <c r="Z331" s="99">
        <v>-7774</v>
      </c>
      <c r="AA331" s="99">
        <v>-8102</v>
      </c>
      <c r="AB331" s="99">
        <v>0</v>
      </c>
      <c r="AC331" s="99">
        <v>-16632</v>
      </c>
      <c r="AD331" s="99">
        <v>6137792</v>
      </c>
      <c r="AE331" s="99">
        <v>2234460</v>
      </c>
      <c r="AF331" s="99">
        <v>3903332</v>
      </c>
      <c r="AG331" s="99">
        <v>3819940</v>
      </c>
      <c r="AH331" s="99">
        <v>83392</v>
      </c>
      <c r="AI331" s="99">
        <v>6153327</v>
      </c>
      <c r="AJ331" s="99">
        <v>3143752</v>
      </c>
      <c r="AK331" s="99">
        <v>2961083</v>
      </c>
      <c r="AL331" s="99">
        <v>16110</v>
      </c>
      <c r="AM331" s="99">
        <v>150437</v>
      </c>
      <c r="AN331" s="99">
        <v>40711</v>
      </c>
      <c r="AO331" s="99">
        <v>129693</v>
      </c>
      <c r="AP331" s="99">
        <v>16297</v>
      </c>
      <c r="AQ331" s="99">
        <v>32091</v>
      </c>
      <c r="AR331" s="99">
        <v>-422170</v>
      </c>
      <c r="AS331" s="99">
        <v>54038</v>
      </c>
      <c r="AT331" s="99">
        <v>0</v>
      </c>
      <c r="AU331" s="99">
        <v>-16632</v>
      </c>
      <c r="AV331" s="99">
        <v>5570806</v>
      </c>
      <c r="AW331" s="99">
        <v>5271215</v>
      </c>
      <c r="AX331" s="99">
        <v>87833</v>
      </c>
      <c r="AY331" s="99">
        <v>7243</v>
      </c>
      <c r="AZ331" s="99">
        <v>1237</v>
      </c>
      <c r="BA331" s="99">
        <v>12507</v>
      </c>
      <c r="BB331" s="99">
        <v>66846</v>
      </c>
      <c r="BC331" s="99">
        <v>79391</v>
      </c>
      <c r="BD331" s="99">
        <v>132367</v>
      </c>
      <c r="BE331" s="99">
        <v>-1523995</v>
      </c>
      <c r="BF331" s="99">
        <v>-1522450</v>
      </c>
      <c r="BG331" s="99">
        <v>-1480779</v>
      </c>
      <c r="BH331" s="99">
        <v>-41671</v>
      </c>
      <c r="BI331" s="99">
        <v>-1462147</v>
      </c>
      <c r="BJ331" s="99">
        <v>-1579</v>
      </c>
      <c r="BK331" s="99">
        <v>-58724</v>
      </c>
      <c r="BL331" s="99">
        <v>-1545</v>
      </c>
      <c r="BM331" s="99">
        <v>0</v>
      </c>
      <c r="BN331" s="99">
        <v>4046811</v>
      </c>
      <c r="BO331" s="99">
        <v>61251</v>
      </c>
      <c r="BP331" s="99">
        <v>15190</v>
      </c>
      <c r="BQ331" s="99">
        <v>55208</v>
      </c>
      <c r="BR331" s="99">
        <v>0</v>
      </c>
      <c r="BS331" s="99">
        <v>5270384</v>
      </c>
      <c r="BT331" s="99">
        <v>1793613</v>
      </c>
      <c r="BU331" s="99">
        <v>2420405</v>
      </c>
      <c r="BV331" s="99">
        <v>1039254</v>
      </c>
      <c r="BW331" s="99">
        <v>17112</v>
      </c>
      <c r="BX331" s="99">
        <v>-1392946</v>
      </c>
      <c r="BY331" s="99">
        <v>37720</v>
      </c>
      <c r="BZ331" s="99">
        <v>4</v>
      </c>
      <c r="CA331" s="99">
        <v>288172</v>
      </c>
      <c r="CB331" s="99">
        <v>-79207</v>
      </c>
      <c r="CC331" s="99">
        <v>-79207</v>
      </c>
      <c r="CD331" s="99">
        <v>0</v>
      </c>
      <c r="CE331" s="99">
        <v>208965</v>
      </c>
      <c r="CF331" s="99">
        <v>218936</v>
      </c>
      <c r="CG331" s="99">
        <v>17090</v>
      </c>
      <c r="CH331" s="99">
        <v>-27061</v>
      </c>
      <c r="CI331" s="99">
        <v>6706132</v>
      </c>
      <c r="CJ331" s="99">
        <v>1965096</v>
      </c>
      <c r="CK331" s="99">
        <v>4741036</v>
      </c>
      <c r="CL331" s="99">
        <v>4097709</v>
      </c>
      <c r="CM331" s="99">
        <v>189541</v>
      </c>
      <c r="CN331" s="99">
        <v>453786</v>
      </c>
      <c r="CO331" s="99">
        <v>0</v>
      </c>
      <c r="CP331" s="99">
        <v>20008</v>
      </c>
      <c r="CQ331" s="99">
        <v>433778</v>
      </c>
      <c r="CR331" s="99">
        <v>-2811318</v>
      </c>
      <c r="CS331" s="99">
        <v>-187214</v>
      </c>
      <c r="CT331" s="99">
        <v>-73053</v>
      </c>
      <c r="CU331" s="99">
        <v>-1594</v>
      </c>
      <c r="CV331" s="99">
        <v>-56</v>
      </c>
      <c r="CW331" s="99">
        <v>-112511</v>
      </c>
      <c r="CX331" s="99">
        <v>-1774550</v>
      </c>
      <c r="CY331" s="99">
        <v>-1770758</v>
      </c>
      <c r="CZ331" s="99">
        <v>-2290</v>
      </c>
      <c r="DA331" s="99">
        <v>-1502</v>
      </c>
      <c r="DB331" s="99">
        <v>-574543</v>
      </c>
      <c r="DC331" s="99">
        <v>-275011</v>
      </c>
      <c r="DD331" s="99">
        <v>3894814</v>
      </c>
      <c r="DE331" s="99">
        <v>849718</v>
      </c>
      <c r="DF331" s="99">
        <v>3045096</v>
      </c>
      <c r="DG331" s="99">
        <v>2980098</v>
      </c>
      <c r="DH331" s="99">
        <v>64998</v>
      </c>
      <c r="DI331" s="99">
        <v>1672646</v>
      </c>
      <c r="DJ331" s="99">
        <v>70622</v>
      </c>
      <c r="DK331" s="99">
        <v>28658</v>
      </c>
      <c r="DL331" s="99">
        <v>807</v>
      </c>
      <c r="DM331" s="99">
        <v>1082534</v>
      </c>
      <c r="DN331" s="99">
        <v>474997</v>
      </c>
      <c r="DO331" s="99">
        <v>15000</v>
      </c>
      <c r="DP331" s="99"/>
      <c r="DQ331" s="99">
        <v>1</v>
      </c>
      <c r="DR331" s="99">
        <v>27</v>
      </c>
      <c r="DS331" s="99">
        <v>-130306</v>
      </c>
      <c r="DT331" s="99">
        <v>-6170</v>
      </c>
      <c r="DU331" s="99">
        <v>-3908</v>
      </c>
      <c r="DV331" s="99">
        <v>-61</v>
      </c>
      <c r="DW331" s="99">
        <v>-97923</v>
      </c>
      <c r="DX331" s="99">
        <v>-4399</v>
      </c>
      <c r="DY331" s="99">
        <v>-14581</v>
      </c>
      <c r="DZ331" s="99">
        <v>-78943</v>
      </c>
      <c r="EA331" s="99">
        <v>-22188</v>
      </c>
      <c r="EB331" s="99">
        <v>-49</v>
      </c>
      <c r="EC331" s="99"/>
      <c r="ED331" s="99">
        <v>0</v>
      </c>
      <c r="EE331" s="99">
        <v>-7</v>
      </c>
      <c r="EF331" s="99">
        <v>1542340</v>
      </c>
      <c r="EG331" s="99">
        <v>385604</v>
      </c>
      <c r="EH331" s="99">
        <v>1156736</v>
      </c>
      <c r="EI331" s="99">
        <v>1138442</v>
      </c>
      <c r="EJ331" s="99">
        <v>18294</v>
      </c>
      <c r="EK331" s="99">
        <v>64452</v>
      </c>
      <c r="EL331" s="99">
        <v>26830</v>
      </c>
      <c r="EM331" s="99">
        <v>37622</v>
      </c>
      <c r="EN331" s="99">
        <v>36804</v>
      </c>
      <c r="EO331" s="99">
        <v>818</v>
      </c>
      <c r="EP331" s="99">
        <v>24750</v>
      </c>
      <c r="EQ331" s="99">
        <v>9236</v>
      </c>
      <c r="ER331" s="99">
        <v>15514</v>
      </c>
      <c r="ES331" s="99">
        <v>15204</v>
      </c>
      <c r="ET331" s="99">
        <v>310</v>
      </c>
      <c r="EU331" s="99">
        <v>746</v>
      </c>
      <c r="EV331" s="99">
        <v>-269</v>
      </c>
      <c r="EW331" s="99">
        <v>1015</v>
      </c>
      <c r="EX331" s="99">
        <v>994</v>
      </c>
      <c r="EY331" s="99">
        <v>21</v>
      </c>
      <c r="EZ331" s="99">
        <v>984611</v>
      </c>
      <c r="FA331" s="99">
        <v>320648</v>
      </c>
      <c r="FB331" s="99">
        <v>663963</v>
      </c>
      <c r="FC331" s="99">
        <v>653012</v>
      </c>
      <c r="FD331" s="99">
        <v>10951</v>
      </c>
      <c r="FE331" s="99">
        <v>452809</v>
      </c>
      <c r="FF331" s="99">
        <v>126606</v>
      </c>
      <c r="FG331" s="99">
        <v>326203</v>
      </c>
      <c r="FH331" s="99">
        <v>320009</v>
      </c>
      <c r="FI331" s="99">
        <v>6194</v>
      </c>
      <c r="FJ331" s="99">
        <v>14951</v>
      </c>
      <c r="FK331" s="99">
        <v>-97468</v>
      </c>
      <c r="FL331" s="99">
        <v>112419</v>
      </c>
      <c r="FM331" s="99">
        <v>112419</v>
      </c>
      <c r="FN331" s="99" t="s">
        <v>619</v>
      </c>
      <c r="FO331" s="99"/>
      <c r="FP331" s="99">
        <v>1</v>
      </c>
      <c r="FQ331" s="99">
        <v>20</v>
      </c>
      <c r="FR331" s="99">
        <v>777915</v>
      </c>
      <c r="FS331" s="99">
        <v>-94204</v>
      </c>
      <c r="FT331" s="99">
        <v>683711</v>
      </c>
      <c r="FU331" s="99">
        <v>174680</v>
      </c>
      <c r="FV331" s="99">
        <v>174413</v>
      </c>
      <c r="FW331" s="99">
        <v>267</v>
      </c>
      <c r="FX331" s="99">
        <v>199161</v>
      </c>
      <c r="FY331" s="99">
        <v>171551</v>
      </c>
      <c r="FZ331" s="99">
        <v>26486</v>
      </c>
      <c r="GA331" s="99">
        <v>471</v>
      </c>
      <c r="GB331" s="99">
        <v>404</v>
      </c>
      <c r="GC331" s="99">
        <v>-12301</v>
      </c>
      <c r="GD331" s="99">
        <v>-31456</v>
      </c>
      <c r="GE331" s="99">
        <v>17361</v>
      </c>
      <c r="GF331" s="99">
        <v>1794</v>
      </c>
      <c r="GG331" s="99">
        <v>123259</v>
      </c>
      <c r="GH331" s="99">
        <v>12258</v>
      </c>
      <c r="GI331" s="99">
        <v>355</v>
      </c>
      <c r="GJ331" s="99">
        <v>110646</v>
      </c>
      <c r="GL331"/>
      <c r="GM331"/>
      <c r="GN331"/>
      <c r="GO331"/>
    </row>
    <row r="332" spans="1:197">
      <c r="A332" s="96">
        <v>2022</v>
      </c>
      <c r="B332" s="96">
        <v>1</v>
      </c>
      <c r="C332" s="97" t="s">
        <v>217</v>
      </c>
      <c r="D332" s="314">
        <v>25266590</v>
      </c>
      <c r="E332" s="314">
        <v>-6143825</v>
      </c>
      <c r="F332" s="314">
        <v>-124497</v>
      </c>
      <c r="G332" s="314">
        <v>18998268</v>
      </c>
      <c r="H332" s="314">
        <v>10473430</v>
      </c>
      <c r="I332" s="314">
        <v>8524838</v>
      </c>
      <c r="J332" s="314">
        <v>8338752</v>
      </c>
      <c r="K332" s="314">
        <v>186086</v>
      </c>
      <c r="L332" s="314">
        <v>14473862</v>
      </c>
      <c r="M332" s="314">
        <v>12915774</v>
      </c>
      <c r="N332" s="314">
        <v>124736</v>
      </c>
      <c r="O332" s="314">
        <v>0</v>
      </c>
      <c r="P332" s="314">
        <v>124736</v>
      </c>
      <c r="Q332" s="314">
        <v>91676</v>
      </c>
      <c r="R332" s="314">
        <v>1341676</v>
      </c>
      <c r="S332" s="314">
        <v>-432422</v>
      </c>
      <c r="T332" s="314">
        <v>-421840</v>
      </c>
      <c r="U332" s="314">
        <v>0</v>
      </c>
      <c r="V332" s="314">
        <v>-76618</v>
      </c>
      <c r="W332" s="314">
        <v>0</v>
      </c>
      <c r="X332" s="314">
        <v>-312054</v>
      </c>
      <c r="Y332" s="314">
        <v>-33168</v>
      </c>
      <c r="Z332" s="314">
        <v>-7785</v>
      </c>
      <c r="AA332" s="314">
        <v>-2652</v>
      </c>
      <c r="AB332" s="314">
        <v>-145</v>
      </c>
      <c r="AC332" s="314">
        <v>-124497</v>
      </c>
      <c r="AD332" s="314">
        <v>13916943</v>
      </c>
      <c r="AE332" s="314">
        <v>9728278</v>
      </c>
      <c r="AF332" s="314">
        <v>4188665</v>
      </c>
      <c r="AG332" s="314">
        <v>4099396</v>
      </c>
      <c r="AH332" s="314">
        <v>89269</v>
      </c>
      <c r="AI332" s="314">
        <v>12913894</v>
      </c>
      <c r="AJ332" s="314">
        <v>2660711</v>
      </c>
      <c r="AK332" s="314">
        <v>4521667</v>
      </c>
      <c r="AL332" s="314">
        <v>5698375</v>
      </c>
      <c r="AM332" s="314">
        <v>604732</v>
      </c>
      <c r="AN332" s="314">
        <v>388108</v>
      </c>
      <c r="AO332" s="314">
        <v>148171</v>
      </c>
      <c r="AP332" s="314">
        <v>141121</v>
      </c>
      <c r="AQ332" s="314">
        <v>58627</v>
      </c>
      <c r="AR332" s="314">
        <v>-297104</v>
      </c>
      <c r="AS332" s="314">
        <v>83891</v>
      </c>
      <c r="AT332" s="314">
        <v>0</v>
      </c>
      <c r="AU332" s="314">
        <v>-124497</v>
      </c>
      <c r="AV332" s="314">
        <v>975597</v>
      </c>
      <c r="AW332" s="314">
        <v>45570</v>
      </c>
      <c r="AX332" s="314">
        <v>125703</v>
      </c>
      <c r="AY332" s="314">
        <v>31502</v>
      </c>
      <c r="AZ332" s="314">
        <v>25588</v>
      </c>
      <c r="BA332" s="314">
        <v>15397</v>
      </c>
      <c r="BB332" s="314">
        <v>53216</v>
      </c>
      <c r="BC332" s="314">
        <v>321123</v>
      </c>
      <c r="BD332" s="314">
        <v>483201</v>
      </c>
      <c r="BE332" s="314">
        <v>-3730860</v>
      </c>
      <c r="BF332" s="314">
        <v>-3729488</v>
      </c>
      <c r="BG332" s="314">
        <v>-3706623</v>
      </c>
      <c r="BH332" s="314">
        <v>-22865</v>
      </c>
      <c r="BI332" s="314">
        <v>0</v>
      </c>
      <c r="BJ332" s="314">
        <v>-3693076</v>
      </c>
      <c r="BK332" s="314">
        <v>-36412</v>
      </c>
      <c r="BL332" s="314">
        <v>-1372</v>
      </c>
      <c r="BM332" s="314">
        <v>0</v>
      </c>
      <c r="BN332" s="314">
        <v>-2755263</v>
      </c>
      <c r="BO332" s="314">
        <v>257104</v>
      </c>
      <c r="BP332" s="314">
        <v>162611</v>
      </c>
      <c r="BQ332" s="314">
        <v>63072</v>
      </c>
      <c r="BR332" s="314">
        <v>72</v>
      </c>
      <c r="BS332" s="314">
        <v>44468</v>
      </c>
      <c r="BT332" s="314">
        <v>9236</v>
      </c>
      <c r="BU332" s="314">
        <v>2812</v>
      </c>
      <c r="BV332" s="314">
        <v>18731</v>
      </c>
      <c r="BW332" s="314">
        <v>13689</v>
      </c>
      <c r="BX332" s="314">
        <v>-3580920</v>
      </c>
      <c r="BY332" s="314">
        <v>298258</v>
      </c>
      <c r="BZ332" s="314">
        <v>72</v>
      </c>
      <c r="CA332" s="314">
        <v>415047</v>
      </c>
      <c r="CB332" s="314">
        <v>-47156</v>
      </c>
      <c r="CC332" s="314">
        <v>-47156</v>
      </c>
      <c r="CD332" s="314">
        <v>0</v>
      </c>
      <c r="CE332" s="314">
        <v>367891</v>
      </c>
      <c r="CF332" s="314">
        <v>299545</v>
      </c>
      <c r="CG332" s="314">
        <v>161</v>
      </c>
      <c r="CH332" s="314">
        <v>68185</v>
      </c>
      <c r="CI332" s="314">
        <v>7050239</v>
      </c>
      <c r="CJ332" s="314">
        <v>2220875</v>
      </c>
      <c r="CK332" s="314">
        <v>4829364</v>
      </c>
      <c r="CL332" s="314">
        <v>3912524</v>
      </c>
      <c r="CM332" s="314">
        <v>433975</v>
      </c>
      <c r="CN332" s="314">
        <v>482865</v>
      </c>
      <c r="CO332" s="314">
        <v>0</v>
      </c>
      <c r="CP332" s="314">
        <v>0</v>
      </c>
      <c r="CQ332" s="314">
        <v>482865</v>
      </c>
      <c r="CR332" s="314">
        <v>-1870527</v>
      </c>
      <c r="CS332" s="314">
        <v>-117771</v>
      </c>
      <c r="CT332" s="314">
        <v>-3130</v>
      </c>
      <c r="CU332" s="314">
        <v>-28053</v>
      </c>
      <c r="CV332" s="314">
        <v>-46</v>
      </c>
      <c r="CW332" s="314">
        <v>-86542</v>
      </c>
      <c r="CX332" s="314">
        <v>-1752756</v>
      </c>
      <c r="CY332" s="314">
        <v>0</v>
      </c>
      <c r="CZ332" s="314">
        <v>-1752198</v>
      </c>
      <c r="DA332" s="314">
        <v>-558</v>
      </c>
      <c r="DB332" s="314">
        <v>0</v>
      </c>
      <c r="DC332" s="314">
        <v>0</v>
      </c>
      <c r="DD332" s="314">
        <v>5179712</v>
      </c>
      <c r="DE332" s="314">
        <v>2014615</v>
      </c>
      <c r="DF332" s="314">
        <v>3165097</v>
      </c>
      <c r="DG332" s="314">
        <v>3089082</v>
      </c>
      <c r="DH332" s="314">
        <v>76015</v>
      </c>
      <c r="DI332" s="314">
        <v>1705175</v>
      </c>
      <c r="DJ332" s="314">
        <v>66652</v>
      </c>
      <c r="DK332" s="314">
        <v>27080</v>
      </c>
      <c r="DL332" s="314">
        <v>1722</v>
      </c>
      <c r="DM332" s="314">
        <v>1067495</v>
      </c>
      <c r="DN332" s="314">
        <v>512490</v>
      </c>
      <c r="DO332" s="314">
        <v>17863</v>
      </c>
      <c r="DP332" s="314"/>
      <c r="DQ332" s="314">
        <v>11807</v>
      </c>
      <c r="DR332" s="314">
        <v>66</v>
      </c>
      <c r="DS332" s="314">
        <v>-16677</v>
      </c>
      <c r="DT332" s="314">
        <v>-5409</v>
      </c>
      <c r="DU332" s="314">
        <v>-332</v>
      </c>
      <c r="DV332" s="314">
        <v>-11</v>
      </c>
      <c r="DW332" s="314">
        <v>-10900</v>
      </c>
      <c r="DX332" s="314">
        <v>-4651</v>
      </c>
      <c r="DY332" s="314">
        <v>-4370</v>
      </c>
      <c r="DZ332" s="314">
        <v>-1879</v>
      </c>
      <c r="EA332" s="314">
        <v>-13</v>
      </c>
      <c r="EB332" s="314">
        <v>-12</v>
      </c>
      <c r="EC332" s="314"/>
      <c r="ED332" s="314">
        <v>0</v>
      </c>
      <c r="EE332" s="314">
        <v>0</v>
      </c>
      <c r="EF332" s="314">
        <v>1688498</v>
      </c>
      <c r="EG332" s="314">
        <v>517422</v>
      </c>
      <c r="EH332" s="314">
        <v>1171076</v>
      </c>
      <c r="EI332" s="314">
        <v>1150274</v>
      </c>
      <c r="EJ332" s="314">
        <v>20802</v>
      </c>
      <c r="EK332" s="314">
        <v>61243</v>
      </c>
      <c r="EL332" s="314">
        <v>26355</v>
      </c>
      <c r="EM332" s="314">
        <v>34888</v>
      </c>
      <c r="EN332" s="314">
        <v>33962</v>
      </c>
      <c r="EO332" s="314">
        <v>926</v>
      </c>
      <c r="EP332" s="314">
        <v>26748</v>
      </c>
      <c r="EQ332" s="314">
        <v>9986</v>
      </c>
      <c r="ER332" s="314">
        <v>16762</v>
      </c>
      <c r="ES332" s="314">
        <v>16389</v>
      </c>
      <c r="ET332" s="314">
        <v>373</v>
      </c>
      <c r="EU332" s="314">
        <v>1711</v>
      </c>
      <c r="EV332" s="314">
        <v>598</v>
      </c>
      <c r="EW332" s="314">
        <v>1113</v>
      </c>
      <c r="EX332" s="314">
        <v>1089</v>
      </c>
      <c r="EY332" s="314">
        <v>24</v>
      </c>
      <c r="EZ332" s="314">
        <v>1056595</v>
      </c>
      <c r="FA332" s="314">
        <v>387767</v>
      </c>
      <c r="FB332" s="314">
        <v>668828</v>
      </c>
      <c r="FC332" s="314">
        <v>655805</v>
      </c>
      <c r="FD332" s="314">
        <v>13023</v>
      </c>
      <c r="FE332" s="314">
        <v>512477</v>
      </c>
      <c r="FF332" s="314">
        <v>180138</v>
      </c>
      <c r="FG332" s="314">
        <v>332339</v>
      </c>
      <c r="FH332" s="314">
        <v>325883</v>
      </c>
      <c r="FI332" s="314">
        <v>6456</v>
      </c>
      <c r="FJ332" s="314">
        <v>17851</v>
      </c>
      <c r="FK332" s="314">
        <v>-99295</v>
      </c>
      <c r="FL332" s="314">
        <v>117146</v>
      </c>
      <c r="FM332" s="314">
        <v>117146</v>
      </c>
      <c r="FN332" s="314" t="s">
        <v>619</v>
      </c>
      <c r="FO332" s="314"/>
      <c r="FP332" s="314">
        <v>11807</v>
      </c>
      <c r="FQ332" s="314">
        <v>66</v>
      </c>
      <c r="FR332" s="314">
        <v>646670</v>
      </c>
      <c r="FS332" s="314">
        <v>-46183</v>
      </c>
      <c r="FT332" s="314">
        <v>600487</v>
      </c>
      <c r="FU332" s="314">
        <v>20869</v>
      </c>
      <c r="FV332" s="314">
        <v>3244</v>
      </c>
      <c r="FW332" s="314">
        <v>17625</v>
      </c>
      <c r="FX332" s="314">
        <v>212747</v>
      </c>
      <c r="FY332" s="314">
        <v>184665</v>
      </c>
      <c r="FZ332" s="314">
        <v>26027</v>
      </c>
      <c r="GA332" s="314">
        <v>4359</v>
      </c>
      <c r="GB332" s="314">
        <v>120</v>
      </c>
      <c r="GC332" s="314">
        <v>15002</v>
      </c>
      <c r="GD332" s="314">
        <v>-32257</v>
      </c>
      <c r="GE332" s="314">
        <v>0</v>
      </c>
      <c r="GF332" s="314">
        <v>47259</v>
      </c>
      <c r="GG332" s="314">
        <v>136698</v>
      </c>
      <c r="GH332" s="314">
        <v>26907</v>
      </c>
      <c r="GI332" s="314">
        <v>599</v>
      </c>
      <c r="GJ332" s="314">
        <v>109192</v>
      </c>
      <c r="GL332"/>
      <c r="GM332"/>
      <c r="GN332"/>
      <c r="GO332"/>
    </row>
    <row r="333" spans="1:197">
      <c r="A333" s="98">
        <v>2022</v>
      </c>
      <c r="B333" s="98">
        <v>2</v>
      </c>
      <c r="C333" s="98" t="s">
        <v>218</v>
      </c>
      <c r="D333" s="315">
        <v>26518179</v>
      </c>
      <c r="E333" s="315">
        <v>-3139417</v>
      </c>
      <c r="F333" s="315">
        <v>-17570</v>
      </c>
      <c r="G333" s="315">
        <v>23361192</v>
      </c>
      <c r="H333" s="315">
        <v>14836353</v>
      </c>
      <c r="I333" s="315">
        <v>8524839</v>
      </c>
      <c r="J333" s="315">
        <v>8338754</v>
      </c>
      <c r="K333" s="315">
        <v>186085</v>
      </c>
      <c r="L333" s="315">
        <v>6942772</v>
      </c>
      <c r="M333" s="315">
        <v>5514184</v>
      </c>
      <c r="N333" s="315">
        <v>120331</v>
      </c>
      <c r="O333" s="315">
        <v>0</v>
      </c>
      <c r="P333" s="315">
        <v>120331</v>
      </c>
      <c r="Q333" s="315">
        <v>77104</v>
      </c>
      <c r="R333" s="315">
        <v>1231153</v>
      </c>
      <c r="S333" s="315">
        <v>-152509</v>
      </c>
      <c r="T333" s="315">
        <v>-136069</v>
      </c>
      <c r="U333" s="315">
        <v>-30579</v>
      </c>
      <c r="V333" s="315">
        <v>-4741</v>
      </c>
      <c r="W333" s="315">
        <v>0</v>
      </c>
      <c r="X333" s="315">
        <v>-62707</v>
      </c>
      <c r="Y333" s="315">
        <v>-38042</v>
      </c>
      <c r="Z333" s="315">
        <v>-8638</v>
      </c>
      <c r="AA333" s="315">
        <v>-7802</v>
      </c>
      <c r="AB333" s="315">
        <v>0</v>
      </c>
      <c r="AC333" s="315">
        <v>-17570</v>
      </c>
      <c r="AD333" s="315">
        <v>6772693</v>
      </c>
      <c r="AE333" s="315">
        <v>2584028</v>
      </c>
      <c r="AF333" s="315">
        <v>4188665</v>
      </c>
      <c r="AG333" s="315">
        <v>4099397</v>
      </c>
      <c r="AH333" s="315">
        <v>89268</v>
      </c>
      <c r="AI333" s="315">
        <v>5507796</v>
      </c>
      <c r="AJ333" s="315">
        <v>2231210</v>
      </c>
      <c r="AK333" s="315">
        <v>3050815</v>
      </c>
      <c r="AL333" s="315">
        <v>185927</v>
      </c>
      <c r="AM333" s="315">
        <v>146862</v>
      </c>
      <c r="AN333" s="315">
        <v>58453</v>
      </c>
      <c r="AO333" s="315">
        <v>80215</v>
      </c>
      <c r="AP333" s="315">
        <v>49805</v>
      </c>
      <c r="AQ333" s="315">
        <v>894404</v>
      </c>
      <c r="AR333" s="315">
        <v>-15738</v>
      </c>
      <c r="AS333" s="315">
        <v>68466</v>
      </c>
      <c r="AT333" s="315">
        <v>0</v>
      </c>
      <c r="AU333" s="315">
        <v>-17570</v>
      </c>
      <c r="AV333" s="315">
        <v>376014</v>
      </c>
      <c r="AW333" s="315">
        <v>21308</v>
      </c>
      <c r="AX333" s="315">
        <v>109034</v>
      </c>
      <c r="AY333" s="315">
        <v>32490</v>
      </c>
      <c r="AZ333" s="315">
        <v>12006</v>
      </c>
      <c r="BA333" s="315">
        <v>13172</v>
      </c>
      <c r="BB333" s="315">
        <v>51366</v>
      </c>
      <c r="BC333" s="315">
        <v>129885</v>
      </c>
      <c r="BD333" s="315">
        <v>115787</v>
      </c>
      <c r="BE333" s="315">
        <v>-425936</v>
      </c>
      <c r="BF333" s="315">
        <v>-423478</v>
      </c>
      <c r="BG333" s="315">
        <v>-388452</v>
      </c>
      <c r="BH333" s="315">
        <v>-35026</v>
      </c>
      <c r="BI333" s="315">
        <v>0</v>
      </c>
      <c r="BJ333" s="315">
        <v>-364005</v>
      </c>
      <c r="BK333" s="315">
        <v>-59473</v>
      </c>
      <c r="BL333" s="315">
        <v>-2458</v>
      </c>
      <c r="BM333" s="315">
        <v>0</v>
      </c>
      <c r="BN333" s="315">
        <v>-49922</v>
      </c>
      <c r="BO333" s="315">
        <v>57624</v>
      </c>
      <c r="BP333" s="315">
        <v>22708</v>
      </c>
      <c r="BQ333" s="315">
        <v>34146</v>
      </c>
      <c r="BR333" s="315">
        <v>327</v>
      </c>
      <c r="BS333" s="315">
        <v>19336</v>
      </c>
      <c r="BT333" s="315">
        <v>1492</v>
      </c>
      <c r="BU333" s="315">
        <v>217</v>
      </c>
      <c r="BV333" s="315">
        <v>3524</v>
      </c>
      <c r="BW333" s="315">
        <v>14103</v>
      </c>
      <c r="BX333" s="315">
        <v>-279418</v>
      </c>
      <c r="BY333" s="315">
        <v>94859</v>
      </c>
      <c r="BZ333" s="315">
        <v>496</v>
      </c>
      <c r="CA333" s="315">
        <v>221916</v>
      </c>
      <c r="CB333" s="315">
        <v>-46757</v>
      </c>
      <c r="CC333" s="315">
        <v>-46757</v>
      </c>
      <c r="CD333" s="315">
        <v>0</v>
      </c>
      <c r="CE333" s="315">
        <v>175159</v>
      </c>
      <c r="CF333" s="315">
        <v>189203</v>
      </c>
      <c r="CG333" s="315">
        <v>24</v>
      </c>
      <c r="CH333" s="315">
        <v>-14068</v>
      </c>
      <c r="CI333" s="315">
        <v>16682354</v>
      </c>
      <c r="CJ333" s="315">
        <v>1994007</v>
      </c>
      <c r="CK333" s="315">
        <v>14688347</v>
      </c>
      <c r="CL333" s="315">
        <v>6076196</v>
      </c>
      <c r="CM333" s="315">
        <v>8165387</v>
      </c>
      <c r="CN333" s="315">
        <v>446764</v>
      </c>
      <c r="CO333" s="315">
        <v>0</v>
      </c>
      <c r="CP333" s="315">
        <v>12241</v>
      </c>
      <c r="CQ333" s="315">
        <v>434523</v>
      </c>
      <c r="CR333" s="315">
        <v>-2394190</v>
      </c>
      <c r="CS333" s="315">
        <v>-175874</v>
      </c>
      <c r="CT333" s="315">
        <v>-10784</v>
      </c>
      <c r="CU333" s="315">
        <v>-27722</v>
      </c>
      <c r="CV333" s="315">
        <v>-190</v>
      </c>
      <c r="CW333" s="315">
        <v>-137178</v>
      </c>
      <c r="CX333" s="315">
        <v>-2207602</v>
      </c>
      <c r="CY333" s="315">
        <v>0</v>
      </c>
      <c r="CZ333" s="315">
        <v>-2206730</v>
      </c>
      <c r="DA333" s="315">
        <v>-872</v>
      </c>
      <c r="DB333" s="315">
        <v>0</v>
      </c>
      <c r="DC333" s="315">
        <v>-10714</v>
      </c>
      <c r="DD333" s="315">
        <v>14288164</v>
      </c>
      <c r="DE333" s="315">
        <v>11123068</v>
      </c>
      <c r="DF333" s="315">
        <v>3165096</v>
      </c>
      <c r="DG333" s="315">
        <v>3089083</v>
      </c>
      <c r="DH333" s="315">
        <v>76013</v>
      </c>
      <c r="DI333" s="315">
        <v>1555701</v>
      </c>
      <c r="DJ333" s="315">
        <v>115386</v>
      </c>
      <c r="DK333" s="315">
        <v>31427</v>
      </c>
      <c r="DL333" s="315">
        <v>4247</v>
      </c>
      <c r="DM333" s="315">
        <v>923318</v>
      </c>
      <c r="DN333" s="315">
        <v>463901</v>
      </c>
      <c r="DO333" s="315">
        <v>17273</v>
      </c>
      <c r="DP333" s="315"/>
      <c r="DQ333" s="315">
        <v>93</v>
      </c>
      <c r="DR333" s="315">
        <v>56</v>
      </c>
      <c r="DS333" s="315">
        <v>-50030</v>
      </c>
      <c r="DT333" s="315">
        <v>-5460</v>
      </c>
      <c r="DU333" s="315">
        <v>-207</v>
      </c>
      <c r="DV333" s="315">
        <v>-11</v>
      </c>
      <c r="DW333" s="315">
        <v>-44163</v>
      </c>
      <c r="DX333" s="315">
        <v>-1996</v>
      </c>
      <c r="DY333" s="315">
        <v>-40441</v>
      </c>
      <c r="DZ333" s="315">
        <v>-1726</v>
      </c>
      <c r="EA333" s="315">
        <v>0</v>
      </c>
      <c r="EB333" s="315">
        <v>-130</v>
      </c>
      <c r="EC333" s="315"/>
      <c r="ED333" s="315">
        <v>0</v>
      </c>
      <c r="EE333" s="315">
        <v>-59</v>
      </c>
      <c r="EF333" s="315">
        <v>1505671</v>
      </c>
      <c r="EG333" s="315">
        <v>334593</v>
      </c>
      <c r="EH333" s="315">
        <v>1171078</v>
      </c>
      <c r="EI333" s="315">
        <v>1150274</v>
      </c>
      <c r="EJ333" s="315">
        <v>20804</v>
      </c>
      <c r="EK333" s="315">
        <v>109926</v>
      </c>
      <c r="EL333" s="315">
        <v>75036</v>
      </c>
      <c r="EM333" s="315">
        <v>34890</v>
      </c>
      <c r="EN333" s="315">
        <v>33962</v>
      </c>
      <c r="EO333" s="315">
        <v>928</v>
      </c>
      <c r="EP333" s="315">
        <v>31220</v>
      </c>
      <c r="EQ333" s="315">
        <v>14457</v>
      </c>
      <c r="ER333" s="315">
        <v>16763</v>
      </c>
      <c r="ES333" s="315">
        <v>16389</v>
      </c>
      <c r="ET333" s="315">
        <v>374</v>
      </c>
      <c r="EU333" s="315">
        <v>4236</v>
      </c>
      <c r="EV333" s="315">
        <v>3122</v>
      </c>
      <c r="EW333" s="315">
        <v>1114</v>
      </c>
      <c r="EX333" s="315">
        <v>1090</v>
      </c>
      <c r="EY333" s="315">
        <v>24</v>
      </c>
      <c r="EZ333" s="315">
        <v>879155</v>
      </c>
      <c r="FA333" s="315">
        <v>210330</v>
      </c>
      <c r="FB333" s="315">
        <v>668825</v>
      </c>
      <c r="FC333" s="315">
        <v>655804</v>
      </c>
      <c r="FD333" s="315">
        <v>13021</v>
      </c>
      <c r="FE333" s="315">
        <v>463901</v>
      </c>
      <c r="FF333" s="315">
        <v>131562</v>
      </c>
      <c r="FG333" s="315">
        <v>332339</v>
      </c>
      <c r="FH333" s="315">
        <v>325882</v>
      </c>
      <c r="FI333" s="315">
        <v>6457</v>
      </c>
      <c r="FJ333" s="315">
        <v>17143</v>
      </c>
      <c r="FK333" s="315">
        <v>-100004</v>
      </c>
      <c r="FL333" s="315">
        <v>117147</v>
      </c>
      <c r="FM333" s="315">
        <v>117147</v>
      </c>
      <c r="FN333" s="315" t="s">
        <v>619</v>
      </c>
      <c r="FO333" s="315"/>
      <c r="FP333" s="315">
        <v>93</v>
      </c>
      <c r="FQ333" s="315">
        <v>-3</v>
      </c>
      <c r="FR333" s="315">
        <v>739422</v>
      </c>
      <c r="FS333" s="315">
        <v>-69995</v>
      </c>
      <c r="FT333" s="315">
        <v>669427</v>
      </c>
      <c r="FU333" s="315">
        <v>1058</v>
      </c>
      <c r="FV333" s="315">
        <v>273</v>
      </c>
      <c r="FW333" s="315">
        <v>785</v>
      </c>
      <c r="FX333" s="315">
        <v>222984</v>
      </c>
      <c r="FY333" s="315">
        <v>201164</v>
      </c>
      <c r="FZ333" s="315">
        <v>26226</v>
      </c>
      <c r="GA333" s="315">
        <v>69084</v>
      </c>
      <c r="GB333" s="315">
        <v>10273</v>
      </c>
      <c r="GC333" s="315">
        <v>44397</v>
      </c>
      <c r="GD333" s="315">
        <v>-33928</v>
      </c>
      <c r="GE333" s="315">
        <v>3731</v>
      </c>
      <c r="GF333" s="315">
        <v>74594</v>
      </c>
      <c r="GG333" s="315">
        <v>94241</v>
      </c>
      <c r="GH333" s="315">
        <v>19590</v>
      </c>
      <c r="GI333" s="315">
        <v>623</v>
      </c>
      <c r="GJ333" s="315">
        <v>74028</v>
      </c>
      <c r="GL333"/>
      <c r="GM333"/>
      <c r="GN333"/>
      <c r="GO333"/>
    </row>
    <row r="334" spans="1:197">
      <c r="A334" s="98">
        <v>2022</v>
      </c>
      <c r="B334" s="98">
        <v>3</v>
      </c>
      <c r="C334" s="98" t="s">
        <v>219</v>
      </c>
      <c r="D334" s="315">
        <v>15346458</v>
      </c>
      <c r="E334" s="315">
        <v>-2938994</v>
      </c>
      <c r="F334" s="315">
        <v>-17571</v>
      </c>
      <c r="G334" s="315">
        <v>12389893</v>
      </c>
      <c r="H334" s="315">
        <v>3865053</v>
      </c>
      <c r="I334" s="315">
        <v>8524840</v>
      </c>
      <c r="J334" s="315">
        <v>8338752</v>
      </c>
      <c r="K334" s="315">
        <v>186088</v>
      </c>
      <c r="L334" s="315">
        <v>6197029</v>
      </c>
      <c r="M334" s="315">
        <v>5742426</v>
      </c>
      <c r="N334" s="315">
        <v>126231</v>
      </c>
      <c r="O334" s="315">
        <v>0</v>
      </c>
      <c r="P334" s="315">
        <v>126231</v>
      </c>
      <c r="Q334" s="315">
        <v>75290</v>
      </c>
      <c r="R334" s="315">
        <v>253082</v>
      </c>
      <c r="S334" s="315">
        <v>-253176</v>
      </c>
      <c r="T334" s="315">
        <v>-193892</v>
      </c>
      <c r="U334" s="315">
        <v>-116859</v>
      </c>
      <c r="V334" s="315">
        <v>-725</v>
      </c>
      <c r="W334" s="315">
        <v>0</v>
      </c>
      <c r="X334" s="315">
        <v>-37617</v>
      </c>
      <c r="Y334" s="315">
        <v>-38691</v>
      </c>
      <c r="Z334" s="315">
        <v>-42895</v>
      </c>
      <c r="AA334" s="315">
        <v>-15738</v>
      </c>
      <c r="AB334" s="315">
        <v>-651</v>
      </c>
      <c r="AC334" s="315">
        <v>-17571</v>
      </c>
      <c r="AD334" s="315">
        <v>5926282</v>
      </c>
      <c r="AE334" s="315">
        <v>1737616</v>
      </c>
      <c r="AF334" s="315">
        <v>4188666</v>
      </c>
      <c r="AG334" s="315">
        <v>4099396</v>
      </c>
      <c r="AH334" s="315">
        <v>89270</v>
      </c>
      <c r="AI334" s="315">
        <v>5728640</v>
      </c>
      <c r="AJ334" s="315">
        <v>2110631</v>
      </c>
      <c r="AK334" s="315">
        <v>3521106</v>
      </c>
      <c r="AL334" s="315">
        <v>28923</v>
      </c>
      <c r="AM334" s="315">
        <v>85881</v>
      </c>
      <c r="AN334" s="315">
        <v>45456</v>
      </c>
      <c r="AO334" s="315">
        <v>80335</v>
      </c>
      <c r="AP334" s="315">
        <v>16907</v>
      </c>
      <c r="AQ334" s="315">
        <v>21900</v>
      </c>
      <c r="AR334" s="315">
        <v>-67661</v>
      </c>
      <c r="AS334" s="315">
        <v>32395</v>
      </c>
      <c r="AT334" s="315">
        <v>0</v>
      </c>
      <c r="AU334" s="315">
        <v>-17571</v>
      </c>
      <c r="AV334" s="315">
        <v>359654</v>
      </c>
      <c r="AW334" s="315">
        <v>74944</v>
      </c>
      <c r="AX334" s="315">
        <v>94975</v>
      </c>
      <c r="AY334" s="315">
        <v>23580</v>
      </c>
      <c r="AZ334" s="315">
        <v>7880</v>
      </c>
      <c r="BA334" s="315">
        <v>23727</v>
      </c>
      <c r="BB334" s="315">
        <v>39788</v>
      </c>
      <c r="BC334" s="315">
        <v>102282</v>
      </c>
      <c r="BD334" s="315">
        <v>87453</v>
      </c>
      <c r="BE334" s="315">
        <v>-236666</v>
      </c>
      <c r="BF334" s="315">
        <v>-221297</v>
      </c>
      <c r="BG334" s="315">
        <v>-167467</v>
      </c>
      <c r="BH334" s="315">
        <v>-53830</v>
      </c>
      <c r="BI334" s="315">
        <v>0</v>
      </c>
      <c r="BJ334" s="315">
        <v>-105478</v>
      </c>
      <c r="BK334" s="315">
        <v>-115819</v>
      </c>
      <c r="BL334" s="315">
        <v>-15369</v>
      </c>
      <c r="BM334" s="315">
        <v>0</v>
      </c>
      <c r="BN334" s="315">
        <v>122988</v>
      </c>
      <c r="BO334" s="315">
        <v>36128</v>
      </c>
      <c r="BP334" s="315">
        <v>16544</v>
      </c>
      <c r="BQ334" s="315">
        <v>34200</v>
      </c>
      <c r="BR334" s="315">
        <v>0</v>
      </c>
      <c r="BS334" s="315">
        <v>60148</v>
      </c>
      <c r="BT334" s="315">
        <v>1107</v>
      </c>
      <c r="BU334" s="315">
        <v>63199</v>
      </c>
      <c r="BV334" s="315">
        <v>1659</v>
      </c>
      <c r="BW334" s="315">
        <v>-5817</v>
      </c>
      <c r="BX334" s="315">
        <v>-72492</v>
      </c>
      <c r="BY334" s="315">
        <v>48452</v>
      </c>
      <c r="BZ334" s="315">
        <v>8</v>
      </c>
      <c r="CA334" s="315">
        <v>155033</v>
      </c>
      <c r="CB334" s="315">
        <v>-49892</v>
      </c>
      <c r="CC334" s="315">
        <v>-49892</v>
      </c>
      <c r="CD334" s="315">
        <v>0</v>
      </c>
      <c r="CE334" s="315">
        <v>105141</v>
      </c>
      <c r="CF334" s="315">
        <v>123599</v>
      </c>
      <c r="CG334" s="315">
        <v>-7</v>
      </c>
      <c r="CH334" s="315">
        <v>-18451</v>
      </c>
      <c r="CI334" s="315">
        <v>6411516</v>
      </c>
      <c r="CJ334" s="315">
        <v>2171279</v>
      </c>
      <c r="CK334" s="315">
        <v>4240237</v>
      </c>
      <c r="CL334" s="315">
        <v>3742366</v>
      </c>
      <c r="CM334" s="315">
        <v>175316</v>
      </c>
      <c r="CN334" s="315">
        <v>322555</v>
      </c>
      <c r="CO334" s="315">
        <v>0</v>
      </c>
      <c r="CP334" s="315">
        <v>0</v>
      </c>
      <c r="CQ334" s="315">
        <v>322555</v>
      </c>
      <c r="CR334" s="315">
        <v>-2293143</v>
      </c>
      <c r="CS334" s="315">
        <v>-212670</v>
      </c>
      <c r="CT334" s="315">
        <v>-50275</v>
      </c>
      <c r="CU334" s="315">
        <v>-32282</v>
      </c>
      <c r="CV334" s="315">
        <v>-140</v>
      </c>
      <c r="CW334" s="315">
        <v>-129973</v>
      </c>
      <c r="CX334" s="315">
        <v>-1694100</v>
      </c>
      <c r="CY334" s="315">
        <v>-68473</v>
      </c>
      <c r="CZ334" s="315">
        <v>-1617196</v>
      </c>
      <c r="DA334" s="315">
        <v>-8431</v>
      </c>
      <c r="DB334" s="315">
        <v>0</v>
      </c>
      <c r="DC334" s="315">
        <v>-386373</v>
      </c>
      <c r="DD334" s="315">
        <v>4118373</v>
      </c>
      <c r="DE334" s="315">
        <v>953275</v>
      </c>
      <c r="DF334" s="315">
        <v>3165098</v>
      </c>
      <c r="DG334" s="315">
        <v>3089082</v>
      </c>
      <c r="DH334" s="315">
        <v>76016</v>
      </c>
      <c r="DI334" s="315">
        <v>1566180</v>
      </c>
      <c r="DJ334" s="315">
        <v>88091</v>
      </c>
      <c r="DK334" s="315">
        <v>28878</v>
      </c>
      <c r="DL334" s="315">
        <v>1748</v>
      </c>
      <c r="DM334" s="315">
        <v>957052</v>
      </c>
      <c r="DN334" s="315">
        <v>469968</v>
      </c>
      <c r="DO334" s="315">
        <v>20314</v>
      </c>
      <c r="DP334" s="315"/>
      <c r="DQ334" s="315">
        <v>10</v>
      </c>
      <c r="DR334" s="315">
        <v>119</v>
      </c>
      <c r="DS334" s="315">
        <v>-40807</v>
      </c>
      <c r="DT334" s="315">
        <v>-1746</v>
      </c>
      <c r="DU334" s="315">
        <v>-333</v>
      </c>
      <c r="DV334" s="315">
        <v>-18</v>
      </c>
      <c r="DW334" s="315">
        <v>-38073</v>
      </c>
      <c r="DX334" s="315">
        <v>-1398</v>
      </c>
      <c r="DY334" s="315">
        <v>-23029</v>
      </c>
      <c r="DZ334" s="315">
        <v>-13646</v>
      </c>
      <c r="EA334" s="315">
        <v>-177</v>
      </c>
      <c r="EB334" s="315">
        <v>-398</v>
      </c>
      <c r="EC334" s="315"/>
      <c r="ED334" s="315">
        <v>0</v>
      </c>
      <c r="EE334" s="315">
        <v>-62</v>
      </c>
      <c r="EF334" s="315">
        <v>1525373</v>
      </c>
      <c r="EG334" s="315">
        <v>354297</v>
      </c>
      <c r="EH334" s="315">
        <v>1171076</v>
      </c>
      <c r="EI334" s="315">
        <v>1150274</v>
      </c>
      <c r="EJ334" s="315">
        <v>20802</v>
      </c>
      <c r="EK334" s="315">
        <v>86345</v>
      </c>
      <c r="EL334" s="315">
        <v>51456</v>
      </c>
      <c r="EM334" s="315">
        <v>34889</v>
      </c>
      <c r="EN334" s="315">
        <v>33962</v>
      </c>
      <c r="EO334" s="315">
        <v>927</v>
      </c>
      <c r="EP334" s="315">
        <v>28545</v>
      </c>
      <c r="EQ334" s="315">
        <v>11784</v>
      </c>
      <c r="ER334" s="315">
        <v>16761</v>
      </c>
      <c r="ES334" s="315">
        <v>16389</v>
      </c>
      <c r="ET334" s="315">
        <v>372</v>
      </c>
      <c r="EU334" s="315">
        <v>1730</v>
      </c>
      <c r="EV334" s="315">
        <v>617</v>
      </c>
      <c r="EW334" s="315">
        <v>1113</v>
      </c>
      <c r="EX334" s="315">
        <v>1089</v>
      </c>
      <c r="EY334" s="315">
        <v>24</v>
      </c>
      <c r="EZ334" s="315">
        <v>918979</v>
      </c>
      <c r="FA334" s="315">
        <v>250151</v>
      </c>
      <c r="FB334" s="315">
        <v>668828</v>
      </c>
      <c r="FC334" s="315">
        <v>655805</v>
      </c>
      <c r="FD334" s="315">
        <v>13023</v>
      </c>
      <c r="FE334" s="315">
        <v>469791</v>
      </c>
      <c r="FF334" s="315">
        <v>137452</v>
      </c>
      <c r="FG334" s="315">
        <v>332339</v>
      </c>
      <c r="FH334" s="315">
        <v>325883</v>
      </c>
      <c r="FI334" s="315">
        <v>6456</v>
      </c>
      <c r="FJ334" s="315">
        <v>19916</v>
      </c>
      <c r="FK334" s="315">
        <v>-97230</v>
      </c>
      <c r="FL334" s="315">
        <v>117146</v>
      </c>
      <c r="FM334" s="315">
        <v>117146</v>
      </c>
      <c r="FN334" s="315" t="s">
        <v>619</v>
      </c>
      <c r="FO334" s="315"/>
      <c r="FP334" s="315">
        <v>10</v>
      </c>
      <c r="FQ334" s="315">
        <v>57</v>
      </c>
      <c r="FR334" s="315">
        <v>657046</v>
      </c>
      <c r="FS334" s="315">
        <v>-65310</v>
      </c>
      <c r="FT334" s="315">
        <v>591736</v>
      </c>
      <c r="FU334" s="315">
        <v>1274</v>
      </c>
      <c r="FV334" s="315">
        <v>748</v>
      </c>
      <c r="FW334" s="315">
        <v>526</v>
      </c>
      <c r="FX334" s="315">
        <v>198669</v>
      </c>
      <c r="FY334" s="315">
        <v>177502</v>
      </c>
      <c r="FZ334" s="315">
        <v>29942</v>
      </c>
      <c r="GA334" s="315">
        <v>21</v>
      </c>
      <c r="GB334" s="315">
        <v>67</v>
      </c>
      <c r="GC334" s="315">
        <v>86241</v>
      </c>
      <c r="GD334" s="315">
        <v>-26750</v>
      </c>
      <c r="GE334" s="315">
        <v>0</v>
      </c>
      <c r="GF334" s="315">
        <v>112991</v>
      </c>
      <c r="GG334" s="315">
        <v>98020</v>
      </c>
      <c r="GH334" s="315">
        <v>8267</v>
      </c>
      <c r="GI334" s="315">
        <v>859</v>
      </c>
      <c r="GJ334" s="315">
        <v>88894</v>
      </c>
      <c r="GL334"/>
      <c r="GM334"/>
      <c r="GN334"/>
      <c r="GO334"/>
    </row>
    <row r="335" spans="1:197">
      <c r="A335" s="98">
        <v>2022</v>
      </c>
      <c r="B335" s="98">
        <v>4</v>
      </c>
      <c r="C335" s="98" t="s">
        <v>220</v>
      </c>
      <c r="D335" s="99">
        <v>37974671</v>
      </c>
      <c r="E335" s="99">
        <v>-6784697</v>
      </c>
      <c r="F335" s="99">
        <v>-17570</v>
      </c>
      <c r="G335" s="99">
        <v>31172404</v>
      </c>
      <c r="H335" s="99">
        <v>22647564</v>
      </c>
      <c r="I335" s="99">
        <v>8524840</v>
      </c>
      <c r="J335" s="99">
        <v>8338752</v>
      </c>
      <c r="K335" s="99">
        <v>186088</v>
      </c>
      <c r="L335" s="99">
        <v>13025403</v>
      </c>
      <c r="M335" s="99">
        <v>11066496</v>
      </c>
      <c r="N335" s="99">
        <v>154641</v>
      </c>
      <c r="O335" s="99">
        <v>0</v>
      </c>
      <c r="P335" s="99">
        <v>154641</v>
      </c>
      <c r="Q335" s="99">
        <v>71061</v>
      </c>
      <c r="R335" s="99">
        <v>1733205</v>
      </c>
      <c r="S335" s="99">
        <v>-2344002</v>
      </c>
      <c r="T335" s="99">
        <v>-2288635</v>
      </c>
      <c r="U335" s="99">
        <v>-76725</v>
      </c>
      <c r="V335" s="99">
        <v>-87</v>
      </c>
      <c r="W335" s="99">
        <v>-2164596</v>
      </c>
      <c r="X335" s="99">
        <v>0</v>
      </c>
      <c r="Y335" s="99">
        <v>-47227</v>
      </c>
      <c r="Z335" s="99">
        <v>-20544</v>
      </c>
      <c r="AA335" s="99">
        <v>-31768</v>
      </c>
      <c r="AB335" s="99">
        <v>-3055</v>
      </c>
      <c r="AC335" s="99">
        <v>-17570</v>
      </c>
      <c r="AD335" s="99">
        <v>10663831</v>
      </c>
      <c r="AE335" s="99">
        <v>6475167</v>
      </c>
      <c r="AF335" s="99">
        <v>4188664</v>
      </c>
      <c r="AG335" s="99">
        <v>4099396</v>
      </c>
      <c r="AH335" s="99">
        <v>89268</v>
      </c>
      <c r="AI335" s="99">
        <v>11037260</v>
      </c>
      <c r="AJ335" s="99">
        <v>2102218</v>
      </c>
      <c r="AK335" s="99">
        <v>3961085</v>
      </c>
      <c r="AL335" s="99">
        <v>4960280</v>
      </c>
      <c r="AM335" s="99">
        <v>320715</v>
      </c>
      <c r="AN335" s="99">
        <v>384748</v>
      </c>
      <c r="AO335" s="99">
        <v>125761</v>
      </c>
      <c r="AP335" s="99">
        <v>24765</v>
      </c>
      <c r="AQ335" s="99">
        <v>871629</v>
      </c>
      <c r="AR335" s="99">
        <v>-2133994</v>
      </c>
      <c r="AS335" s="99">
        <v>50517</v>
      </c>
      <c r="AT335" s="99">
        <v>0</v>
      </c>
      <c r="AU335" s="99">
        <v>-17570</v>
      </c>
      <c r="AV335" s="99">
        <v>7639267</v>
      </c>
      <c r="AW335" s="99">
        <v>7026288</v>
      </c>
      <c r="AX335" s="99">
        <v>129011</v>
      </c>
      <c r="AY335" s="99">
        <v>30037</v>
      </c>
      <c r="AZ335" s="99">
        <v>51263</v>
      </c>
      <c r="BA335" s="99">
        <v>28173</v>
      </c>
      <c r="BB335" s="99">
        <v>19538</v>
      </c>
      <c r="BC335" s="99">
        <v>131100</v>
      </c>
      <c r="BD335" s="99">
        <v>352868</v>
      </c>
      <c r="BE335" s="99">
        <v>-267084</v>
      </c>
      <c r="BF335" s="99">
        <v>-263982</v>
      </c>
      <c r="BG335" s="99">
        <v>-231990</v>
      </c>
      <c r="BH335" s="99">
        <v>-31992</v>
      </c>
      <c r="BI335" s="99">
        <v>0</v>
      </c>
      <c r="BJ335" s="99">
        <v>-37473</v>
      </c>
      <c r="BK335" s="99">
        <v>-226509</v>
      </c>
      <c r="BL335" s="99">
        <v>-3102</v>
      </c>
      <c r="BM335" s="99">
        <v>0</v>
      </c>
      <c r="BN335" s="99">
        <v>7372183</v>
      </c>
      <c r="BO335" s="99">
        <v>137263</v>
      </c>
      <c r="BP335" s="99">
        <v>160642</v>
      </c>
      <c r="BQ335" s="99">
        <v>53540</v>
      </c>
      <c r="BR335" s="99">
        <v>300</v>
      </c>
      <c r="BS335" s="99">
        <v>7024206</v>
      </c>
      <c r="BT335" s="99">
        <v>2394875</v>
      </c>
      <c r="BU335" s="99">
        <v>3470976</v>
      </c>
      <c r="BV335" s="99">
        <v>987738</v>
      </c>
      <c r="BW335" s="99">
        <v>170617</v>
      </c>
      <c r="BX335" s="99">
        <v>-102979</v>
      </c>
      <c r="BY335" s="99">
        <v>99108</v>
      </c>
      <c r="BZ335" s="99">
        <v>103</v>
      </c>
      <c r="CA335" s="99">
        <v>309176</v>
      </c>
      <c r="CB335" s="99">
        <v>-59133</v>
      </c>
      <c r="CC335" s="99">
        <v>-59133</v>
      </c>
      <c r="CD335" s="99">
        <v>0</v>
      </c>
      <c r="CE335" s="99">
        <v>250043</v>
      </c>
      <c r="CF335" s="99">
        <v>235665</v>
      </c>
      <c r="CG335" s="99">
        <v>20411</v>
      </c>
      <c r="CH335" s="99">
        <v>-6033</v>
      </c>
      <c r="CI335" s="99">
        <v>13731463</v>
      </c>
      <c r="CJ335" s="99">
        <v>2050909</v>
      </c>
      <c r="CK335" s="99">
        <v>11680554</v>
      </c>
      <c r="CL335" s="99">
        <v>3799684</v>
      </c>
      <c r="CM335" s="99">
        <v>7201201</v>
      </c>
      <c r="CN335" s="99">
        <v>679669</v>
      </c>
      <c r="CO335" s="99">
        <v>16936</v>
      </c>
      <c r="CP335" s="99">
        <v>0</v>
      </c>
      <c r="CQ335" s="99">
        <v>662733</v>
      </c>
      <c r="CR335" s="99">
        <v>-3915441</v>
      </c>
      <c r="CS335" s="99">
        <v>-782156</v>
      </c>
      <c r="CT335" s="99">
        <v>-681087</v>
      </c>
      <c r="CU335" s="99">
        <v>-12755</v>
      </c>
      <c r="CV335" s="99">
        <v>-320</v>
      </c>
      <c r="CW335" s="99">
        <v>-87994</v>
      </c>
      <c r="CX335" s="99">
        <v>-2372188</v>
      </c>
      <c r="CY335" s="99">
        <v>-980846</v>
      </c>
      <c r="CZ335" s="99">
        <v>-1389710</v>
      </c>
      <c r="DA335" s="99">
        <v>-1632</v>
      </c>
      <c r="DB335" s="99">
        <v>-761097</v>
      </c>
      <c r="DC335" s="99">
        <v>0</v>
      </c>
      <c r="DD335" s="99">
        <v>9816022</v>
      </c>
      <c r="DE335" s="99">
        <v>6650925</v>
      </c>
      <c r="DF335" s="99">
        <v>3165097</v>
      </c>
      <c r="DG335" s="99">
        <v>3089083</v>
      </c>
      <c r="DH335" s="99">
        <v>76014</v>
      </c>
      <c r="DI335" s="99">
        <v>2111475</v>
      </c>
      <c r="DJ335" s="99">
        <v>42904</v>
      </c>
      <c r="DK335" s="99">
        <v>20719</v>
      </c>
      <c r="DL335" s="99">
        <v>897</v>
      </c>
      <c r="DM335" s="99">
        <v>1380178</v>
      </c>
      <c r="DN335" s="99">
        <v>632189</v>
      </c>
      <c r="DO335" s="99">
        <v>20918</v>
      </c>
      <c r="DP335" s="99"/>
      <c r="DQ335" s="99">
        <v>13604</v>
      </c>
      <c r="DR335" s="99">
        <v>66</v>
      </c>
      <c r="DS335" s="99">
        <v>-101874</v>
      </c>
      <c r="DT335" s="99">
        <v>-42127</v>
      </c>
      <c r="DU335" s="99">
        <v>-16935</v>
      </c>
      <c r="DV335" s="99">
        <v>-12</v>
      </c>
      <c r="DW335" s="99">
        <v>-25094</v>
      </c>
      <c r="DX335" s="99">
        <v>-5106</v>
      </c>
      <c r="DY335" s="99">
        <v>-17206</v>
      </c>
      <c r="DZ335" s="99">
        <v>-2782</v>
      </c>
      <c r="EA335" s="99">
        <v>-17385</v>
      </c>
      <c r="EB335" s="99">
        <v>-313</v>
      </c>
      <c r="EC335" s="99"/>
      <c r="ED335" s="99">
        <v>0</v>
      </c>
      <c r="EE335" s="99">
        <v>-8</v>
      </c>
      <c r="EF335" s="99">
        <v>2009601</v>
      </c>
      <c r="EG335" s="99">
        <v>838522</v>
      </c>
      <c r="EH335" s="99">
        <v>1171079</v>
      </c>
      <c r="EI335" s="99">
        <v>1150273</v>
      </c>
      <c r="EJ335" s="99">
        <v>20806</v>
      </c>
      <c r="EK335" s="99">
        <v>777</v>
      </c>
      <c r="EL335" s="99">
        <v>-34112</v>
      </c>
      <c r="EM335" s="99">
        <v>34889</v>
      </c>
      <c r="EN335" s="99">
        <v>33962</v>
      </c>
      <c r="EO335" s="99">
        <v>927</v>
      </c>
      <c r="EP335" s="99">
        <v>3784</v>
      </c>
      <c r="EQ335" s="99">
        <v>-12979</v>
      </c>
      <c r="ER335" s="99">
        <v>16763</v>
      </c>
      <c r="ES335" s="99">
        <v>16388</v>
      </c>
      <c r="ET335" s="99">
        <v>375</v>
      </c>
      <c r="EU335" s="99">
        <v>885</v>
      </c>
      <c r="EV335" s="99">
        <v>-230</v>
      </c>
      <c r="EW335" s="99">
        <v>1115</v>
      </c>
      <c r="EX335" s="99">
        <v>1090</v>
      </c>
      <c r="EY335" s="99">
        <v>25</v>
      </c>
      <c r="EZ335" s="99">
        <v>1355084</v>
      </c>
      <c r="FA335" s="99">
        <v>686257</v>
      </c>
      <c r="FB335" s="99">
        <v>668827</v>
      </c>
      <c r="FC335" s="99">
        <v>655804</v>
      </c>
      <c r="FD335" s="99">
        <v>13023</v>
      </c>
      <c r="FE335" s="99">
        <v>614804</v>
      </c>
      <c r="FF335" s="99">
        <v>282465</v>
      </c>
      <c r="FG335" s="99">
        <v>332339</v>
      </c>
      <c r="FH335" s="99">
        <v>325883</v>
      </c>
      <c r="FI335" s="99">
        <v>6456</v>
      </c>
      <c r="FJ335" s="99">
        <v>20605</v>
      </c>
      <c r="FK335" s="99">
        <v>-96541</v>
      </c>
      <c r="FL335" s="99">
        <v>117146</v>
      </c>
      <c r="FM335" s="99">
        <v>117146</v>
      </c>
      <c r="FN335" s="99" t="s">
        <v>619</v>
      </c>
      <c r="FO335" s="99"/>
      <c r="FP335" s="99">
        <v>13604</v>
      </c>
      <c r="FQ335" s="99">
        <v>58</v>
      </c>
      <c r="FR335" s="99">
        <v>1157887</v>
      </c>
      <c r="FS335" s="99">
        <v>-97163</v>
      </c>
      <c r="FT335" s="99">
        <v>1060724</v>
      </c>
      <c r="FU335" s="99">
        <v>-160</v>
      </c>
      <c r="FV335" s="99">
        <v>-666</v>
      </c>
      <c r="FW335" s="99">
        <v>506</v>
      </c>
      <c r="FX335" s="99">
        <v>206285</v>
      </c>
      <c r="FY335" s="99">
        <v>214836</v>
      </c>
      <c r="FZ335" s="99">
        <v>34188</v>
      </c>
      <c r="GA335" s="99">
        <v>439</v>
      </c>
      <c r="GB335" s="99">
        <v>44</v>
      </c>
      <c r="GC335" s="99">
        <v>392417</v>
      </c>
      <c r="GD335" s="99">
        <v>364852</v>
      </c>
      <c r="GE335" s="99">
        <v>0</v>
      </c>
      <c r="GF335" s="99">
        <v>27565</v>
      </c>
      <c r="GG335" s="99">
        <v>212675</v>
      </c>
      <c r="GH335" s="99">
        <v>105353</v>
      </c>
      <c r="GI335" s="99">
        <v>1021</v>
      </c>
      <c r="GJ335" s="99">
        <v>106301</v>
      </c>
      <c r="GL335"/>
      <c r="GM335"/>
      <c r="GN335"/>
      <c r="GO335"/>
    </row>
    <row r="336" spans="1:197">
      <c r="A336" s="98">
        <v>2022</v>
      </c>
      <c r="B336" s="98">
        <v>5</v>
      </c>
      <c r="C336" s="98" t="s">
        <v>221</v>
      </c>
      <c r="D336" s="99">
        <v>17375064</v>
      </c>
      <c r="E336" s="99">
        <v>-6182308</v>
      </c>
      <c r="F336" s="99">
        <v>-17571</v>
      </c>
      <c r="G336" s="99">
        <v>11175185</v>
      </c>
      <c r="H336" s="99">
        <v>2650347</v>
      </c>
      <c r="I336" s="99">
        <v>8524838</v>
      </c>
      <c r="J336" s="99">
        <v>8338751</v>
      </c>
      <c r="K336" s="99">
        <v>186087</v>
      </c>
      <c r="L336" s="99">
        <v>6399331</v>
      </c>
      <c r="M336" s="99">
        <v>5689779</v>
      </c>
      <c r="N336" s="99">
        <v>203554</v>
      </c>
      <c r="O336" s="99">
        <v>71653</v>
      </c>
      <c r="P336" s="99">
        <v>131901</v>
      </c>
      <c r="Q336" s="99">
        <v>75882</v>
      </c>
      <c r="R336" s="99">
        <v>430116</v>
      </c>
      <c r="S336" s="99">
        <v>-2449221</v>
      </c>
      <c r="T336" s="99">
        <v>-2426994</v>
      </c>
      <c r="U336" s="99">
        <v>-78402</v>
      </c>
      <c r="V336" s="99">
        <v>-35</v>
      </c>
      <c r="W336" s="99">
        <v>-2304491</v>
      </c>
      <c r="X336" s="99">
        <v>0</v>
      </c>
      <c r="Y336" s="99">
        <v>-44066</v>
      </c>
      <c r="Z336" s="99">
        <v>-13053</v>
      </c>
      <c r="AA336" s="99">
        <v>-9174</v>
      </c>
      <c r="AB336" s="99">
        <v>0</v>
      </c>
      <c r="AC336" s="99">
        <v>-17571</v>
      </c>
      <c r="AD336" s="99">
        <v>3932539</v>
      </c>
      <c r="AE336" s="99">
        <v>-256126</v>
      </c>
      <c r="AF336" s="99">
        <v>4188665</v>
      </c>
      <c r="AG336" s="99">
        <v>4099396</v>
      </c>
      <c r="AH336" s="99">
        <v>89269</v>
      </c>
      <c r="AI336" s="99">
        <v>5683195</v>
      </c>
      <c r="AJ336" s="99">
        <v>2175382</v>
      </c>
      <c r="AK336" s="99">
        <v>3397025</v>
      </c>
      <c r="AL336" s="99">
        <v>68055</v>
      </c>
      <c r="AM336" s="99">
        <v>239901</v>
      </c>
      <c r="AN336" s="99">
        <v>52051</v>
      </c>
      <c r="AO336" s="99">
        <v>77675</v>
      </c>
      <c r="AP336" s="99">
        <v>13688</v>
      </c>
      <c r="AQ336" s="99">
        <v>44211</v>
      </c>
      <c r="AR336" s="99">
        <v>-2223440</v>
      </c>
      <c r="AS336" s="99">
        <v>62829</v>
      </c>
      <c r="AT336" s="99">
        <v>0</v>
      </c>
      <c r="AU336" s="99">
        <v>-17571</v>
      </c>
      <c r="AV336" s="99">
        <v>482590</v>
      </c>
      <c r="AW336" s="99">
        <v>33877</v>
      </c>
      <c r="AX336" s="99">
        <v>56092</v>
      </c>
      <c r="AY336" s="99">
        <v>16041</v>
      </c>
      <c r="AZ336" s="99">
        <v>5219</v>
      </c>
      <c r="BA336" s="99">
        <v>17975</v>
      </c>
      <c r="BB336" s="99">
        <v>16857</v>
      </c>
      <c r="BC336" s="99">
        <v>238471</v>
      </c>
      <c r="BD336" s="99">
        <v>154150</v>
      </c>
      <c r="BE336" s="99">
        <v>-98415</v>
      </c>
      <c r="BF336" s="99">
        <v>-95815</v>
      </c>
      <c r="BG336" s="99">
        <v>-50214</v>
      </c>
      <c r="BH336" s="99">
        <v>-45601</v>
      </c>
      <c r="BI336" s="99">
        <v>0</v>
      </c>
      <c r="BJ336" s="99">
        <v>-38641</v>
      </c>
      <c r="BK336" s="99">
        <v>-57174</v>
      </c>
      <c r="BL336" s="99">
        <v>-2600</v>
      </c>
      <c r="BM336" s="99">
        <v>0</v>
      </c>
      <c r="BN336" s="99">
        <v>384175</v>
      </c>
      <c r="BO336" s="99">
        <v>101755</v>
      </c>
      <c r="BP336" s="99">
        <v>18369</v>
      </c>
      <c r="BQ336" s="99">
        <v>33068</v>
      </c>
      <c r="BR336" s="99">
        <v>0</v>
      </c>
      <c r="BS336" s="99">
        <v>32232</v>
      </c>
      <c r="BT336" s="99">
        <v>10118</v>
      </c>
      <c r="BU336" s="99">
        <v>3800</v>
      </c>
      <c r="BV336" s="99">
        <v>5729</v>
      </c>
      <c r="BW336" s="99">
        <v>12585</v>
      </c>
      <c r="BX336" s="99">
        <v>5878</v>
      </c>
      <c r="BY336" s="99">
        <v>192870</v>
      </c>
      <c r="BZ336" s="99">
        <v>3</v>
      </c>
      <c r="CA336" s="99">
        <v>335269</v>
      </c>
      <c r="CB336" s="99">
        <v>-42342</v>
      </c>
      <c r="CC336" s="99">
        <v>-42342</v>
      </c>
      <c r="CD336" s="99">
        <v>0</v>
      </c>
      <c r="CE336" s="99">
        <v>292927</v>
      </c>
      <c r="CF336" s="99">
        <v>287136</v>
      </c>
      <c r="CG336" s="99">
        <v>80</v>
      </c>
      <c r="CH336" s="99">
        <v>5711</v>
      </c>
      <c r="CI336" s="99">
        <v>7720065</v>
      </c>
      <c r="CJ336" s="99">
        <v>2201353</v>
      </c>
      <c r="CK336" s="99">
        <v>5518712</v>
      </c>
      <c r="CL336" s="99">
        <v>4589075</v>
      </c>
      <c r="CM336" s="99">
        <v>368899</v>
      </c>
      <c r="CN336" s="99">
        <v>560738</v>
      </c>
      <c r="CO336" s="99">
        <v>0</v>
      </c>
      <c r="CP336" s="99">
        <v>0</v>
      </c>
      <c r="CQ336" s="99">
        <v>560738</v>
      </c>
      <c r="CR336" s="99">
        <v>-3466304</v>
      </c>
      <c r="CS336" s="99">
        <v>-1393906</v>
      </c>
      <c r="CT336" s="99">
        <v>-1272060</v>
      </c>
      <c r="CU336" s="99">
        <v>-12922</v>
      </c>
      <c r="CV336" s="99">
        <v>-164</v>
      </c>
      <c r="CW336" s="99">
        <v>-108760</v>
      </c>
      <c r="CX336" s="99">
        <v>-2072398</v>
      </c>
      <c r="CY336" s="99">
        <v>-1442363</v>
      </c>
      <c r="CZ336" s="99">
        <v>-627754</v>
      </c>
      <c r="DA336" s="99">
        <v>-2281</v>
      </c>
      <c r="DB336" s="99">
        <v>0</v>
      </c>
      <c r="DC336" s="99">
        <v>0</v>
      </c>
      <c r="DD336" s="99">
        <v>4253761</v>
      </c>
      <c r="DE336" s="99">
        <v>1088664</v>
      </c>
      <c r="DF336" s="99">
        <v>3165097</v>
      </c>
      <c r="DG336" s="99">
        <v>3089082</v>
      </c>
      <c r="DH336" s="99">
        <v>76015</v>
      </c>
      <c r="DI336" s="99">
        <v>1687216</v>
      </c>
      <c r="DJ336" s="99">
        <v>83780</v>
      </c>
      <c r="DK336" s="99">
        <v>25618</v>
      </c>
      <c r="DL336" s="99">
        <v>2851</v>
      </c>
      <c r="DM336" s="99">
        <v>1014627</v>
      </c>
      <c r="DN336" s="99">
        <v>540686</v>
      </c>
      <c r="DO336" s="99">
        <v>19549</v>
      </c>
      <c r="DP336" s="99"/>
      <c r="DQ336" s="99">
        <v>15</v>
      </c>
      <c r="DR336" s="99">
        <v>90</v>
      </c>
      <c r="DS336" s="99">
        <v>-75324</v>
      </c>
      <c r="DT336" s="99">
        <v>-2973</v>
      </c>
      <c r="DU336" s="99">
        <v>-208</v>
      </c>
      <c r="DV336" s="99">
        <v>-4</v>
      </c>
      <c r="DW336" s="99">
        <v>-70835</v>
      </c>
      <c r="DX336" s="99">
        <v>-13211</v>
      </c>
      <c r="DY336" s="99">
        <v>-56259</v>
      </c>
      <c r="DZ336" s="99">
        <v>-1365</v>
      </c>
      <c r="EA336" s="99">
        <v>-310</v>
      </c>
      <c r="EB336" s="99">
        <v>-907</v>
      </c>
      <c r="EC336" s="99"/>
      <c r="ED336" s="99">
        <v>0</v>
      </c>
      <c r="EE336" s="99">
        <v>-87</v>
      </c>
      <c r="EF336" s="99">
        <v>1611892</v>
      </c>
      <c r="EG336" s="99">
        <v>440816</v>
      </c>
      <c r="EH336" s="99">
        <v>1171076</v>
      </c>
      <c r="EI336" s="99">
        <v>1150273</v>
      </c>
      <c r="EJ336" s="99">
        <v>20803</v>
      </c>
      <c r="EK336" s="99">
        <v>80807</v>
      </c>
      <c r="EL336" s="99">
        <v>45917</v>
      </c>
      <c r="EM336" s="99">
        <v>34890</v>
      </c>
      <c r="EN336" s="99">
        <v>33962</v>
      </c>
      <c r="EO336" s="99">
        <v>928</v>
      </c>
      <c r="EP336" s="99">
        <v>25410</v>
      </c>
      <c r="EQ336" s="99">
        <v>8648</v>
      </c>
      <c r="ER336" s="99">
        <v>16762</v>
      </c>
      <c r="ES336" s="99">
        <v>16389</v>
      </c>
      <c r="ET336" s="99">
        <v>373</v>
      </c>
      <c r="EU336" s="99">
        <v>2847</v>
      </c>
      <c r="EV336" s="99">
        <v>1734</v>
      </c>
      <c r="EW336" s="99">
        <v>1113</v>
      </c>
      <c r="EX336" s="99">
        <v>1089</v>
      </c>
      <c r="EY336" s="99">
        <v>24</v>
      </c>
      <c r="EZ336" s="99">
        <v>943792</v>
      </c>
      <c r="FA336" s="99">
        <v>274966</v>
      </c>
      <c r="FB336" s="99">
        <v>668826</v>
      </c>
      <c r="FC336" s="99">
        <v>655805</v>
      </c>
      <c r="FD336" s="99">
        <v>13021</v>
      </c>
      <c r="FE336" s="99">
        <v>540376</v>
      </c>
      <c r="FF336" s="99">
        <v>208037</v>
      </c>
      <c r="FG336" s="99">
        <v>332339</v>
      </c>
      <c r="FH336" s="99">
        <v>325882</v>
      </c>
      <c r="FI336" s="99">
        <v>6457</v>
      </c>
      <c r="FJ336" s="99">
        <v>18642</v>
      </c>
      <c r="FK336" s="99">
        <v>-98504</v>
      </c>
      <c r="FL336" s="99">
        <v>117146</v>
      </c>
      <c r="FM336" s="99">
        <v>117146</v>
      </c>
      <c r="FN336" s="99" t="s">
        <v>619</v>
      </c>
      <c r="FO336" s="99"/>
      <c r="FP336" s="99">
        <v>15</v>
      </c>
      <c r="FQ336" s="99">
        <v>3</v>
      </c>
      <c r="FR336" s="99">
        <v>750593</v>
      </c>
      <c r="FS336" s="99">
        <v>-50702</v>
      </c>
      <c r="FT336" s="99">
        <v>699891</v>
      </c>
      <c r="FU336" s="99">
        <v>14232</v>
      </c>
      <c r="FV336" s="99">
        <v>-2172</v>
      </c>
      <c r="FW336" s="99">
        <v>16404</v>
      </c>
      <c r="FX336" s="99">
        <v>208461</v>
      </c>
      <c r="FY336" s="99">
        <v>179390</v>
      </c>
      <c r="FZ336" s="99">
        <v>30252</v>
      </c>
      <c r="GA336" s="99">
        <v>65847</v>
      </c>
      <c r="GB336" s="99">
        <v>10065</v>
      </c>
      <c r="GC336" s="99">
        <v>57539</v>
      </c>
      <c r="GD336" s="99">
        <v>-19544</v>
      </c>
      <c r="GE336" s="99">
        <v>32</v>
      </c>
      <c r="GF336" s="99">
        <v>77051</v>
      </c>
      <c r="GG336" s="99">
        <v>134105</v>
      </c>
      <c r="GH336" s="99">
        <v>16309</v>
      </c>
      <c r="GI336" s="99">
        <v>934</v>
      </c>
      <c r="GJ336" s="99">
        <v>116862</v>
      </c>
      <c r="GL336"/>
      <c r="GM336"/>
      <c r="GN336"/>
      <c r="GO336"/>
    </row>
    <row r="337" spans="1:197">
      <c r="A337" s="98">
        <v>2022</v>
      </c>
      <c r="B337" s="98">
        <v>6</v>
      </c>
      <c r="C337" s="98" t="s">
        <v>222</v>
      </c>
      <c r="D337" s="99">
        <v>17005822</v>
      </c>
      <c r="E337" s="99">
        <v>-7076309</v>
      </c>
      <c r="F337" s="99">
        <v>-17570</v>
      </c>
      <c r="G337" s="99">
        <v>9911943</v>
      </c>
      <c r="H337" s="99">
        <v>1387102</v>
      </c>
      <c r="I337" s="99">
        <v>8524841</v>
      </c>
      <c r="J337" s="99">
        <v>8338754</v>
      </c>
      <c r="K337" s="99">
        <v>186087</v>
      </c>
      <c r="L337" s="99">
        <v>6426883</v>
      </c>
      <c r="M337" s="99">
        <v>5649321</v>
      </c>
      <c r="N337" s="99">
        <v>247290</v>
      </c>
      <c r="O337" s="99">
        <v>114944</v>
      </c>
      <c r="P337" s="99">
        <v>132346</v>
      </c>
      <c r="Q337" s="99">
        <v>82012</v>
      </c>
      <c r="R337" s="99">
        <v>448260</v>
      </c>
      <c r="S337" s="99">
        <v>-2673707</v>
      </c>
      <c r="T337" s="99">
        <v>-2648466</v>
      </c>
      <c r="U337" s="99">
        <v>-77184</v>
      </c>
      <c r="V337" s="99">
        <v>-23</v>
      </c>
      <c r="W337" s="99">
        <v>-2526101</v>
      </c>
      <c r="X337" s="99">
        <v>0</v>
      </c>
      <c r="Y337" s="99">
        <v>-45158</v>
      </c>
      <c r="Z337" s="99">
        <v>-9089</v>
      </c>
      <c r="AA337" s="99">
        <v>-16152</v>
      </c>
      <c r="AB337" s="99">
        <v>0</v>
      </c>
      <c r="AC337" s="99">
        <v>-17570</v>
      </c>
      <c r="AD337" s="99">
        <v>3735606</v>
      </c>
      <c r="AE337" s="99">
        <v>-453059</v>
      </c>
      <c r="AF337" s="99">
        <v>4188665</v>
      </c>
      <c r="AG337" s="99">
        <v>4099397</v>
      </c>
      <c r="AH337" s="99">
        <v>89268</v>
      </c>
      <c r="AI337" s="99">
        <v>5639804</v>
      </c>
      <c r="AJ337" s="99">
        <v>2499209</v>
      </c>
      <c r="AK337" s="99">
        <v>3036510</v>
      </c>
      <c r="AL337" s="99">
        <v>32917</v>
      </c>
      <c r="AM337" s="99">
        <v>233243</v>
      </c>
      <c r="AN337" s="99">
        <v>47566</v>
      </c>
      <c r="AO337" s="99">
        <v>100226</v>
      </c>
      <c r="AP337" s="99">
        <v>14438</v>
      </c>
      <c r="AQ337" s="99">
        <v>46152</v>
      </c>
      <c r="AR337" s="99">
        <v>-2401176</v>
      </c>
      <c r="AS337" s="99">
        <v>72923</v>
      </c>
      <c r="AT337" s="99">
        <v>0</v>
      </c>
      <c r="AU337" s="99">
        <v>-17570</v>
      </c>
      <c r="AV337" s="99">
        <v>508806</v>
      </c>
      <c r="AW337" s="99">
        <v>32500</v>
      </c>
      <c r="AX337" s="99">
        <v>66562</v>
      </c>
      <c r="AY337" s="99">
        <v>8227</v>
      </c>
      <c r="AZ337" s="99">
        <v>34326</v>
      </c>
      <c r="BA337" s="99">
        <v>8118</v>
      </c>
      <c r="BB337" s="99">
        <v>15891</v>
      </c>
      <c r="BC337" s="99">
        <v>250812</v>
      </c>
      <c r="BD337" s="99">
        <v>158932</v>
      </c>
      <c r="BE337" s="99">
        <v>-166329</v>
      </c>
      <c r="BF337" s="99">
        <v>-161211</v>
      </c>
      <c r="BG337" s="99">
        <v>-120477</v>
      </c>
      <c r="BH337" s="99">
        <v>-40734</v>
      </c>
      <c r="BI337" s="99">
        <v>0</v>
      </c>
      <c r="BJ337" s="99">
        <v>-72717</v>
      </c>
      <c r="BK337" s="99">
        <v>-88494</v>
      </c>
      <c r="BL337" s="99">
        <v>-5118</v>
      </c>
      <c r="BM337" s="99">
        <v>0</v>
      </c>
      <c r="BN337" s="99">
        <v>342477</v>
      </c>
      <c r="BO337" s="99">
        <v>96956</v>
      </c>
      <c r="BP337" s="99">
        <v>16517</v>
      </c>
      <c r="BQ337" s="99">
        <v>42656</v>
      </c>
      <c r="BR337" s="99">
        <v>0</v>
      </c>
      <c r="BS337" s="99">
        <v>30045</v>
      </c>
      <c r="BT337" s="99">
        <v>6367</v>
      </c>
      <c r="BU337" s="99">
        <v>15996</v>
      </c>
      <c r="BV337" s="99">
        <v>1039</v>
      </c>
      <c r="BW337" s="99">
        <v>6643</v>
      </c>
      <c r="BX337" s="99">
        <v>-53915</v>
      </c>
      <c r="BY337" s="99">
        <v>210078</v>
      </c>
      <c r="BZ337" s="99">
        <v>140</v>
      </c>
      <c r="CA337" s="99">
        <v>273042</v>
      </c>
      <c r="CB337" s="99">
        <v>-73577</v>
      </c>
      <c r="CC337" s="99">
        <v>-73577</v>
      </c>
      <c r="CD337" s="99">
        <v>0</v>
      </c>
      <c r="CE337" s="99">
        <v>199465</v>
      </c>
      <c r="CF337" s="99">
        <v>238503</v>
      </c>
      <c r="CG337" s="99">
        <v>33</v>
      </c>
      <c r="CH337" s="99">
        <v>-39071</v>
      </c>
      <c r="CI337" s="99">
        <v>7314516</v>
      </c>
      <c r="CJ337" s="99">
        <v>2323222</v>
      </c>
      <c r="CK337" s="99">
        <v>4991294</v>
      </c>
      <c r="CL337" s="99">
        <v>4285538</v>
      </c>
      <c r="CM337" s="99">
        <v>148112</v>
      </c>
      <c r="CN337" s="99">
        <v>557644</v>
      </c>
      <c r="CO337" s="99">
        <v>0</v>
      </c>
      <c r="CP337" s="99">
        <v>0</v>
      </c>
      <c r="CQ337" s="99">
        <v>557644</v>
      </c>
      <c r="CR337" s="99">
        <v>-3982022</v>
      </c>
      <c r="CS337" s="99">
        <v>-1018672</v>
      </c>
      <c r="CT337" s="99">
        <v>-891108</v>
      </c>
      <c r="CU337" s="99">
        <v>-7271</v>
      </c>
      <c r="CV337" s="99">
        <v>-105</v>
      </c>
      <c r="CW337" s="99">
        <v>-120188</v>
      </c>
      <c r="CX337" s="99">
        <v>-2783570</v>
      </c>
      <c r="CY337" s="99">
        <v>-2575278</v>
      </c>
      <c r="CZ337" s="99">
        <v>-205737</v>
      </c>
      <c r="DA337" s="99">
        <v>-2555</v>
      </c>
      <c r="DB337" s="99">
        <v>0</v>
      </c>
      <c r="DC337" s="99">
        <v>-179780</v>
      </c>
      <c r="DD337" s="99">
        <v>3332494</v>
      </c>
      <c r="DE337" s="99">
        <v>167397</v>
      </c>
      <c r="DF337" s="99">
        <v>3165097</v>
      </c>
      <c r="DG337" s="99">
        <v>3089083</v>
      </c>
      <c r="DH337" s="99">
        <v>76014</v>
      </c>
      <c r="DI337" s="99">
        <v>1713911</v>
      </c>
      <c r="DJ337" s="99">
        <v>64696</v>
      </c>
      <c r="DK337" s="99">
        <v>27246</v>
      </c>
      <c r="DL337" s="99">
        <v>1355</v>
      </c>
      <c r="DM337" s="99">
        <v>1018920</v>
      </c>
      <c r="DN337" s="99">
        <v>585224</v>
      </c>
      <c r="DO337" s="99">
        <v>16386</v>
      </c>
      <c r="DP337" s="99"/>
      <c r="DQ337" s="99">
        <v>0</v>
      </c>
      <c r="DR337" s="99">
        <v>84</v>
      </c>
      <c r="DS337" s="99">
        <v>-88359</v>
      </c>
      <c r="DT337" s="99">
        <v>-420</v>
      </c>
      <c r="DU337" s="99">
        <v>-2172</v>
      </c>
      <c r="DV337" s="99">
        <v>-18</v>
      </c>
      <c r="DW337" s="99">
        <v>-68975</v>
      </c>
      <c r="DX337" s="99">
        <v>-13567</v>
      </c>
      <c r="DY337" s="99">
        <v>-44369</v>
      </c>
      <c r="DZ337" s="99">
        <v>-11039</v>
      </c>
      <c r="EA337" s="99">
        <v>-11987</v>
      </c>
      <c r="EB337" s="99">
        <v>-4653</v>
      </c>
      <c r="EC337" s="99"/>
      <c r="ED337" s="99">
        <v>-3</v>
      </c>
      <c r="EE337" s="99">
        <v>-131</v>
      </c>
      <c r="EF337" s="99">
        <v>1625552</v>
      </c>
      <c r="EG337" s="99">
        <v>454473</v>
      </c>
      <c r="EH337" s="99">
        <v>1171079</v>
      </c>
      <c r="EI337" s="99">
        <v>1150274</v>
      </c>
      <c r="EJ337" s="99">
        <v>20805</v>
      </c>
      <c r="EK337" s="99">
        <v>64276</v>
      </c>
      <c r="EL337" s="99">
        <v>29389</v>
      </c>
      <c r="EM337" s="99">
        <v>34887</v>
      </c>
      <c r="EN337" s="99">
        <v>33961</v>
      </c>
      <c r="EO337" s="99">
        <v>926</v>
      </c>
      <c r="EP337" s="99">
        <v>25074</v>
      </c>
      <c r="EQ337" s="99">
        <v>8311</v>
      </c>
      <c r="ER337" s="99">
        <v>16763</v>
      </c>
      <c r="ES337" s="99">
        <v>16389</v>
      </c>
      <c r="ET337" s="99">
        <v>374</v>
      </c>
      <c r="EU337" s="99">
        <v>1337</v>
      </c>
      <c r="EV337" s="99">
        <v>222</v>
      </c>
      <c r="EW337" s="99">
        <v>1115</v>
      </c>
      <c r="EX337" s="99">
        <v>1090</v>
      </c>
      <c r="EY337" s="99">
        <v>25</v>
      </c>
      <c r="EZ337" s="99">
        <v>949945</v>
      </c>
      <c r="FA337" s="99">
        <v>281118</v>
      </c>
      <c r="FB337" s="99">
        <v>668827</v>
      </c>
      <c r="FC337" s="99">
        <v>655804</v>
      </c>
      <c r="FD337" s="99">
        <v>13023</v>
      </c>
      <c r="FE337" s="99">
        <v>573237</v>
      </c>
      <c r="FF337" s="99">
        <v>240897</v>
      </c>
      <c r="FG337" s="99">
        <v>332340</v>
      </c>
      <c r="FH337" s="99">
        <v>325883</v>
      </c>
      <c r="FI337" s="99">
        <v>6457</v>
      </c>
      <c r="FJ337" s="99">
        <v>11733</v>
      </c>
      <c r="FK337" s="99">
        <v>-105414</v>
      </c>
      <c r="FL337" s="99">
        <v>117147</v>
      </c>
      <c r="FM337" s="99">
        <v>117147</v>
      </c>
      <c r="FN337" s="99" t="s">
        <v>619</v>
      </c>
      <c r="FO337" s="99"/>
      <c r="FP337" s="99">
        <v>-3</v>
      </c>
      <c r="FQ337" s="99">
        <v>-47</v>
      </c>
      <c r="FR337" s="99">
        <v>768664</v>
      </c>
      <c r="FS337" s="99">
        <v>-92315</v>
      </c>
      <c r="FT337" s="99">
        <v>676349</v>
      </c>
      <c r="FU337" s="99">
        <v>133049</v>
      </c>
      <c r="FV337" s="99">
        <v>132584</v>
      </c>
      <c r="FW337" s="99">
        <v>465</v>
      </c>
      <c r="FX337" s="99">
        <v>212946</v>
      </c>
      <c r="FY337" s="99">
        <v>183916</v>
      </c>
      <c r="FZ337" s="99">
        <v>27891</v>
      </c>
      <c r="GA337" s="99">
        <v>144</v>
      </c>
      <c r="GB337" s="99">
        <v>47</v>
      </c>
      <c r="GC337" s="99">
        <v>-3660</v>
      </c>
      <c r="GD337" s="99">
        <v>-33209</v>
      </c>
      <c r="GE337" s="99">
        <v>14</v>
      </c>
      <c r="GF337" s="99">
        <v>29535</v>
      </c>
      <c r="GG337" s="99">
        <v>122016</v>
      </c>
      <c r="GH337" s="99">
        <v>12317</v>
      </c>
      <c r="GI337" s="99">
        <v>938</v>
      </c>
      <c r="GJ337" s="99">
        <v>108761</v>
      </c>
      <c r="GL337"/>
      <c r="GM337"/>
      <c r="GN337"/>
      <c r="GO337"/>
    </row>
    <row r="338" spans="1:197">
      <c r="A338" s="98">
        <v>2022</v>
      </c>
      <c r="B338" s="98">
        <v>7</v>
      </c>
      <c r="C338" s="98" t="s">
        <v>223</v>
      </c>
      <c r="D338" s="99">
        <v>44841601</v>
      </c>
      <c r="E338" s="99">
        <v>-5597504</v>
      </c>
      <c r="F338" s="99">
        <v>-17571</v>
      </c>
      <c r="G338" s="99">
        <v>39226526</v>
      </c>
      <c r="H338" s="99">
        <v>36024909</v>
      </c>
      <c r="I338" s="99">
        <v>3201617</v>
      </c>
      <c r="J338" s="99">
        <v>2930512</v>
      </c>
      <c r="K338" s="99">
        <v>271105</v>
      </c>
      <c r="L338" s="99">
        <v>25162307</v>
      </c>
      <c r="M338" s="99">
        <v>13165587</v>
      </c>
      <c r="N338" s="99">
        <v>9996004</v>
      </c>
      <c r="O338" s="99">
        <v>9675624</v>
      </c>
      <c r="P338" s="99">
        <v>320380</v>
      </c>
      <c r="Q338" s="99">
        <v>97852</v>
      </c>
      <c r="R338" s="99">
        <v>1902864</v>
      </c>
      <c r="S338" s="99">
        <v>-932985</v>
      </c>
      <c r="T338" s="99">
        <v>-910883</v>
      </c>
      <c r="U338" s="99">
        <v>-77099</v>
      </c>
      <c r="V338" s="99">
        <v>-15</v>
      </c>
      <c r="W338" s="99">
        <v>-791721</v>
      </c>
      <c r="X338" s="99">
        <v>0</v>
      </c>
      <c r="Y338" s="99">
        <v>-42048</v>
      </c>
      <c r="Z338" s="99">
        <v>-16612</v>
      </c>
      <c r="AA338" s="99">
        <v>-5490</v>
      </c>
      <c r="AB338" s="99">
        <v>0</v>
      </c>
      <c r="AC338" s="99">
        <v>-17571</v>
      </c>
      <c r="AD338" s="99">
        <v>24211751</v>
      </c>
      <c r="AE338" s="99">
        <v>19229171</v>
      </c>
      <c r="AF338" s="99">
        <v>4982580</v>
      </c>
      <c r="AG338" s="99">
        <v>4809560</v>
      </c>
      <c r="AH338" s="99">
        <v>173020</v>
      </c>
      <c r="AI338" s="99">
        <v>13160878</v>
      </c>
      <c r="AJ338" s="99">
        <v>3516756</v>
      </c>
      <c r="AK338" s="99">
        <v>4093043</v>
      </c>
      <c r="AL338" s="99">
        <v>5455773</v>
      </c>
      <c r="AM338" s="99">
        <v>459832</v>
      </c>
      <c r="AN338" s="99">
        <v>399707</v>
      </c>
      <c r="AO338" s="99">
        <v>77010</v>
      </c>
      <c r="AP338" s="99">
        <v>11725</v>
      </c>
      <c r="AQ338" s="99">
        <v>953809</v>
      </c>
      <c r="AR338" s="99">
        <v>9085121</v>
      </c>
      <c r="AS338" s="99">
        <v>81240</v>
      </c>
      <c r="AT338" s="99">
        <v>0</v>
      </c>
      <c r="AU338" s="99">
        <v>-17571</v>
      </c>
      <c r="AV338" s="99">
        <v>1093942</v>
      </c>
      <c r="AW338" s="99">
        <v>11693</v>
      </c>
      <c r="AX338" s="99">
        <v>444370</v>
      </c>
      <c r="AY338" s="99">
        <v>161092</v>
      </c>
      <c r="AZ338" s="99">
        <v>63282</v>
      </c>
      <c r="BA338" s="99">
        <v>198039</v>
      </c>
      <c r="BB338" s="99">
        <v>21957</v>
      </c>
      <c r="BC338" s="99">
        <v>242754</v>
      </c>
      <c r="BD338" s="99">
        <v>395125</v>
      </c>
      <c r="BE338" s="99">
        <v>-284034</v>
      </c>
      <c r="BF338" s="99">
        <v>-282925</v>
      </c>
      <c r="BG338" s="99">
        <v>-226917</v>
      </c>
      <c r="BH338" s="99">
        <v>-56008</v>
      </c>
      <c r="BI338" s="99">
        <v>0</v>
      </c>
      <c r="BJ338" s="99">
        <v>-17306</v>
      </c>
      <c r="BK338" s="99">
        <v>-265619</v>
      </c>
      <c r="BL338" s="99">
        <v>-1109</v>
      </c>
      <c r="BM338" s="99">
        <v>0</v>
      </c>
      <c r="BN338" s="99">
        <v>809908</v>
      </c>
      <c r="BO338" s="99">
        <v>195394</v>
      </c>
      <c r="BP338" s="99">
        <v>166733</v>
      </c>
      <c r="BQ338" s="99">
        <v>32708</v>
      </c>
      <c r="BR338" s="99">
        <v>0</v>
      </c>
      <c r="BS338" s="99">
        <v>10866</v>
      </c>
      <c r="BT338" s="99">
        <v>986</v>
      </c>
      <c r="BU338" s="99">
        <v>146</v>
      </c>
      <c r="BV338" s="99">
        <v>584</v>
      </c>
      <c r="BW338" s="99">
        <v>9150</v>
      </c>
      <c r="BX338" s="99">
        <v>217453</v>
      </c>
      <c r="BY338" s="99">
        <v>186746</v>
      </c>
      <c r="BZ338" s="99">
        <v>8</v>
      </c>
      <c r="CA338" s="99">
        <v>318621</v>
      </c>
      <c r="CB338" s="99">
        <v>-58652</v>
      </c>
      <c r="CC338" s="99">
        <v>-58652</v>
      </c>
      <c r="CD338" s="99">
        <v>0</v>
      </c>
      <c r="CE338" s="99">
        <v>259969</v>
      </c>
      <c r="CF338" s="99">
        <v>234919</v>
      </c>
      <c r="CG338" s="99">
        <v>2</v>
      </c>
      <c r="CH338" s="99">
        <v>25048</v>
      </c>
      <c r="CI338" s="99">
        <v>15713988</v>
      </c>
      <c r="CJ338" s="99">
        <v>2436473</v>
      </c>
      <c r="CK338" s="99">
        <v>13277515</v>
      </c>
      <c r="CL338" s="99">
        <v>4719376</v>
      </c>
      <c r="CM338" s="99">
        <v>8014394</v>
      </c>
      <c r="CN338" s="99">
        <v>543745</v>
      </c>
      <c r="CO338" s="99">
        <v>0</v>
      </c>
      <c r="CP338" s="99">
        <v>0</v>
      </c>
      <c r="CQ338" s="99">
        <v>543745</v>
      </c>
      <c r="CR338" s="99">
        <v>-4198621</v>
      </c>
      <c r="CS338" s="99">
        <v>-1612181</v>
      </c>
      <c r="CT338" s="99">
        <v>-1466070</v>
      </c>
      <c r="CU338" s="99">
        <v>-10624</v>
      </c>
      <c r="CV338" s="99">
        <v>-208</v>
      </c>
      <c r="CW338" s="99">
        <v>-135279</v>
      </c>
      <c r="CX338" s="99">
        <v>-1977872</v>
      </c>
      <c r="CY338" s="99">
        <v>-1869890</v>
      </c>
      <c r="CZ338" s="99">
        <v>-107023</v>
      </c>
      <c r="DA338" s="99">
        <v>-959</v>
      </c>
      <c r="DB338" s="99">
        <v>-608568</v>
      </c>
      <c r="DC338" s="99">
        <v>0</v>
      </c>
      <c r="DD338" s="99">
        <v>11515367</v>
      </c>
      <c r="DE338" s="99">
        <v>13037403</v>
      </c>
      <c r="DF338" s="99">
        <v>-1522036</v>
      </c>
      <c r="DG338" s="99">
        <v>-1598051</v>
      </c>
      <c r="DH338" s="99">
        <v>76015</v>
      </c>
      <c r="DI338" s="99">
        <v>1841743</v>
      </c>
      <c r="DJ338" s="99">
        <v>68212</v>
      </c>
      <c r="DK338" s="99">
        <v>29764</v>
      </c>
      <c r="DL338" s="99">
        <v>1451</v>
      </c>
      <c r="DM338" s="99">
        <v>1090085</v>
      </c>
      <c r="DN338" s="99">
        <v>622422</v>
      </c>
      <c r="DO338" s="99">
        <v>16905</v>
      </c>
      <c r="DP338" s="99"/>
      <c r="DQ338" s="99">
        <v>12778</v>
      </c>
      <c r="DR338" s="99">
        <v>126</v>
      </c>
      <c r="DS338" s="99">
        <v>-57944</v>
      </c>
      <c r="DT338" s="99">
        <v>-7016</v>
      </c>
      <c r="DU338" s="99">
        <v>-2272</v>
      </c>
      <c r="DV338" s="99">
        <v>-21</v>
      </c>
      <c r="DW338" s="99">
        <v>-35977</v>
      </c>
      <c r="DX338" s="99">
        <v>-10050</v>
      </c>
      <c r="DY338" s="99">
        <v>-24428</v>
      </c>
      <c r="DZ338" s="99">
        <v>-1499</v>
      </c>
      <c r="EA338" s="99">
        <v>-10634</v>
      </c>
      <c r="EB338" s="99">
        <v>-841</v>
      </c>
      <c r="EC338" s="99"/>
      <c r="ED338" s="99">
        <v>-1183</v>
      </c>
      <c r="EE338" s="99">
        <v>0</v>
      </c>
      <c r="EF338" s="99">
        <v>1783799</v>
      </c>
      <c r="EG338" s="99">
        <v>2042726</v>
      </c>
      <c r="EH338" s="99">
        <v>-258927</v>
      </c>
      <c r="EI338" s="99">
        <v>-280997</v>
      </c>
      <c r="EJ338" s="99">
        <v>22070</v>
      </c>
      <c r="EK338" s="99">
        <v>61196</v>
      </c>
      <c r="EL338" s="99">
        <v>112323</v>
      </c>
      <c r="EM338" s="99">
        <v>-51127</v>
      </c>
      <c r="EN338" s="99">
        <v>-52053</v>
      </c>
      <c r="EO338" s="99">
        <v>926</v>
      </c>
      <c r="EP338" s="99">
        <v>27492</v>
      </c>
      <c r="EQ338" s="99">
        <v>24500</v>
      </c>
      <c r="ER338" s="99">
        <v>2992</v>
      </c>
      <c r="ES338" s="99">
        <v>2620</v>
      </c>
      <c r="ET338" s="99">
        <v>372</v>
      </c>
      <c r="EU338" s="99">
        <v>1430</v>
      </c>
      <c r="EV338" s="99">
        <v>995</v>
      </c>
      <c r="EW338" s="99">
        <v>435</v>
      </c>
      <c r="EX338" s="99">
        <v>411</v>
      </c>
      <c r="EY338" s="99">
        <v>24</v>
      </c>
      <c r="EZ338" s="99">
        <v>1054108</v>
      </c>
      <c r="FA338" s="99">
        <v>1521766</v>
      </c>
      <c r="FB338" s="99">
        <v>-467658</v>
      </c>
      <c r="FC338" s="99">
        <v>-480680</v>
      </c>
      <c r="FD338" s="99">
        <v>13022</v>
      </c>
      <c r="FE338" s="99">
        <v>611788</v>
      </c>
      <c r="FF338" s="99">
        <v>356925</v>
      </c>
      <c r="FG338" s="99">
        <v>254863</v>
      </c>
      <c r="FH338" s="99">
        <v>247137</v>
      </c>
      <c r="FI338" s="99">
        <v>7726</v>
      </c>
      <c r="FJ338" s="99">
        <v>16064</v>
      </c>
      <c r="FK338" s="99">
        <v>14496</v>
      </c>
      <c r="FL338" s="99">
        <v>1568</v>
      </c>
      <c r="FM338" s="99">
        <v>1568</v>
      </c>
      <c r="FN338" s="99" t="s">
        <v>619</v>
      </c>
      <c r="FO338" s="99"/>
      <c r="FP338" s="99">
        <v>11595</v>
      </c>
      <c r="FQ338" s="99">
        <v>126</v>
      </c>
      <c r="FR338" s="99">
        <v>711000</v>
      </c>
      <c r="FS338" s="99">
        <v>-65268</v>
      </c>
      <c r="FT338" s="99">
        <v>645732</v>
      </c>
      <c r="FU338" s="99">
        <v>4695</v>
      </c>
      <c r="FV338" s="99">
        <v>4453</v>
      </c>
      <c r="FW338" s="99">
        <v>242</v>
      </c>
      <c r="FX338" s="99">
        <v>223814</v>
      </c>
      <c r="FY338" s="99">
        <v>181522</v>
      </c>
      <c r="FZ338" s="99">
        <v>28129</v>
      </c>
      <c r="GA338" s="99">
        <v>799</v>
      </c>
      <c r="GB338" s="99">
        <v>87</v>
      </c>
      <c r="GC338" s="99">
        <v>43604</v>
      </c>
      <c r="GD338" s="99">
        <v>-33446</v>
      </c>
      <c r="GE338" s="99">
        <v>0</v>
      </c>
      <c r="GF338" s="99">
        <v>77050</v>
      </c>
      <c r="GG338" s="99">
        <v>163082</v>
      </c>
      <c r="GH338" s="99">
        <v>77653</v>
      </c>
      <c r="GI338" s="99">
        <v>2102</v>
      </c>
      <c r="GJ338" s="99">
        <v>83327</v>
      </c>
      <c r="GL338"/>
      <c r="GM338"/>
      <c r="GN338"/>
      <c r="GO338"/>
    </row>
    <row r="339" spans="1:197">
      <c r="A339" s="98">
        <v>2022</v>
      </c>
      <c r="B339" s="98">
        <v>8</v>
      </c>
      <c r="C339" s="98" t="s">
        <v>224</v>
      </c>
      <c r="D339" s="99">
        <v>25957832</v>
      </c>
      <c r="E339" s="99">
        <v>-3378704</v>
      </c>
      <c r="F339" s="99">
        <v>-17570</v>
      </c>
      <c r="G339" s="99">
        <v>22561558</v>
      </c>
      <c r="H339" s="99">
        <v>14805982</v>
      </c>
      <c r="I339" s="99">
        <v>7755576</v>
      </c>
      <c r="J339" s="99">
        <v>7569487</v>
      </c>
      <c r="K339" s="99">
        <v>186089</v>
      </c>
      <c r="L339" s="99">
        <v>6480546</v>
      </c>
      <c r="M339" s="99">
        <v>5798792</v>
      </c>
      <c r="N339" s="99">
        <v>197048</v>
      </c>
      <c r="O339" s="99">
        <v>22193</v>
      </c>
      <c r="P339" s="99">
        <v>174855</v>
      </c>
      <c r="Q339" s="99">
        <v>105956</v>
      </c>
      <c r="R339" s="99">
        <v>378750</v>
      </c>
      <c r="S339" s="99">
        <v>-321254</v>
      </c>
      <c r="T339" s="99">
        <v>-299128</v>
      </c>
      <c r="U339" s="99">
        <v>-74446</v>
      </c>
      <c r="V339" s="99">
        <v>-13</v>
      </c>
      <c r="W339" s="99">
        <v>-188493</v>
      </c>
      <c r="X339" s="99">
        <v>0</v>
      </c>
      <c r="Y339" s="99">
        <v>-36176</v>
      </c>
      <c r="Z339" s="99">
        <v>-17891</v>
      </c>
      <c r="AA339" s="99">
        <v>-4235</v>
      </c>
      <c r="AB339" s="99">
        <v>0</v>
      </c>
      <c r="AC339" s="99">
        <v>-17570</v>
      </c>
      <c r="AD339" s="99">
        <v>6141722</v>
      </c>
      <c r="AE339" s="99">
        <v>1953057</v>
      </c>
      <c r="AF339" s="99">
        <v>4188665</v>
      </c>
      <c r="AG339" s="99">
        <v>4099396</v>
      </c>
      <c r="AH339" s="99">
        <v>89269</v>
      </c>
      <c r="AI339" s="99">
        <v>5795271</v>
      </c>
      <c r="AJ339" s="99">
        <v>2157976</v>
      </c>
      <c r="AK339" s="99">
        <v>3559536</v>
      </c>
      <c r="AL339" s="99">
        <v>40682</v>
      </c>
      <c r="AM339" s="99">
        <v>201920</v>
      </c>
      <c r="AN339" s="99">
        <v>50942</v>
      </c>
      <c r="AO339" s="99">
        <v>71253</v>
      </c>
      <c r="AP339" s="99">
        <v>19298</v>
      </c>
      <c r="AQ339" s="99">
        <v>34623</v>
      </c>
      <c r="AR339" s="99">
        <v>-102080</v>
      </c>
      <c r="AS339" s="99">
        <v>88065</v>
      </c>
      <c r="AT339" s="99">
        <v>0</v>
      </c>
      <c r="AU339" s="99">
        <v>-17570</v>
      </c>
      <c r="AV339" s="99">
        <v>8163017</v>
      </c>
      <c r="AW339" s="99">
        <v>4743</v>
      </c>
      <c r="AX339" s="99">
        <v>7830776</v>
      </c>
      <c r="AY339" s="99">
        <v>2237149</v>
      </c>
      <c r="AZ339" s="99">
        <v>1134605</v>
      </c>
      <c r="BA339" s="99">
        <v>4388717</v>
      </c>
      <c r="BB339" s="99">
        <v>70305</v>
      </c>
      <c r="BC339" s="99">
        <v>191996</v>
      </c>
      <c r="BD339" s="99">
        <v>135502</v>
      </c>
      <c r="BE339" s="99">
        <v>-110081</v>
      </c>
      <c r="BF339" s="99">
        <v>-109103</v>
      </c>
      <c r="BG339" s="99">
        <v>-60251</v>
      </c>
      <c r="BH339" s="99">
        <v>-48852</v>
      </c>
      <c r="BI339" s="99">
        <v>0</v>
      </c>
      <c r="BJ339" s="99">
        <v>-47790</v>
      </c>
      <c r="BK339" s="99">
        <v>-61313</v>
      </c>
      <c r="BL339" s="99">
        <v>-978</v>
      </c>
      <c r="BM339" s="99">
        <v>0</v>
      </c>
      <c r="BN339" s="99">
        <v>8052936</v>
      </c>
      <c r="BO339" s="99">
        <v>85698</v>
      </c>
      <c r="BP339" s="99">
        <v>19230</v>
      </c>
      <c r="BQ339" s="99">
        <v>30263</v>
      </c>
      <c r="BR339" s="99">
        <v>25</v>
      </c>
      <c r="BS339" s="99">
        <v>3986</v>
      </c>
      <c r="BT339" s="99">
        <v>383</v>
      </c>
      <c r="BU339" s="99">
        <v>150</v>
      </c>
      <c r="BV339" s="99">
        <v>346</v>
      </c>
      <c r="BW339" s="99">
        <v>3107</v>
      </c>
      <c r="BX339" s="99">
        <v>7770525</v>
      </c>
      <c r="BY339" s="99">
        <v>143144</v>
      </c>
      <c r="BZ339" s="99">
        <v>65</v>
      </c>
      <c r="CA339" s="99">
        <v>385459</v>
      </c>
      <c r="CB339" s="99">
        <v>-24700</v>
      </c>
      <c r="CC339" s="99">
        <v>-24700</v>
      </c>
      <c r="CD339" s="99">
        <v>0</v>
      </c>
      <c r="CE339" s="99">
        <v>360759</v>
      </c>
      <c r="CF339" s="99">
        <v>287854</v>
      </c>
      <c r="CG339" s="99">
        <v>-2</v>
      </c>
      <c r="CH339" s="99">
        <v>72907</v>
      </c>
      <c r="CI339" s="99">
        <v>8549675</v>
      </c>
      <c r="CJ339" s="99">
        <v>2338918</v>
      </c>
      <c r="CK339" s="99">
        <v>6210757</v>
      </c>
      <c r="CL339" s="99">
        <v>5390979</v>
      </c>
      <c r="CM339" s="99">
        <v>435993</v>
      </c>
      <c r="CN339" s="99">
        <v>383785</v>
      </c>
      <c r="CO339" s="99">
        <v>0</v>
      </c>
      <c r="CP339" s="99">
        <v>0</v>
      </c>
      <c r="CQ339" s="99">
        <v>383785</v>
      </c>
      <c r="CR339" s="99">
        <v>-2639344</v>
      </c>
      <c r="CS339" s="99">
        <v>-497575</v>
      </c>
      <c r="CT339" s="99">
        <v>-404657</v>
      </c>
      <c r="CU339" s="99">
        <v>-4141</v>
      </c>
      <c r="CV339" s="99">
        <v>-675</v>
      </c>
      <c r="CW339" s="99">
        <v>-88102</v>
      </c>
      <c r="CX339" s="99">
        <v>-2141769</v>
      </c>
      <c r="CY339" s="99">
        <v>-2089724</v>
      </c>
      <c r="CZ339" s="99">
        <v>-51879</v>
      </c>
      <c r="DA339" s="99">
        <v>-166</v>
      </c>
      <c r="DB339" s="99">
        <v>0</v>
      </c>
      <c r="DC339" s="99">
        <v>0</v>
      </c>
      <c r="DD339" s="99">
        <v>5910331</v>
      </c>
      <c r="DE339" s="99">
        <v>3135268</v>
      </c>
      <c r="DF339" s="99">
        <v>2775063</v>
      </c>
      <c r="DG339" s="99">
        <v>2699048</v>
      </c>
      <c r="DH339" s="99">
        <v>76015</v>
      </c>
      <c r="DI339" s="99">
        <v>1783573</v>
      </c>
      <c r="DJ339" s="99">
        <v>99749</v>
      </c>
      <c r="DK339" s="99">
        <v>36947</v>
      </c>
      <c r="DL339" s="99">
        <v>3778</v>
      </c>
      <c r="DM339" s="99">
        <v>1044669</v>
      </c>
      <c r="DN339" s="99">
        <v>582136</v>
      </c>
      <c r="DO339" s="99">
        <v>15871</v>
      </c>
      <c r="DP339" s="99"/>
      <c r="DQ339" s="99">
        <v>336</v>
      </c>
      <c r="DR339" s="99">
        <v>87</v>
      </c>
      <c r="DS339" s="99">
        <v>-42992</v>
      </c>
      <c r="DT339" s="99">
        <v>-8668</v>
      </c>
      <c r="DU339" s="99">
        <v>-144</v>
      </c>
      <c r="DV339" s="99">
        <v>-27</v>
      </c>
      <c r="DW339" s="99">
        <v>-34073</v>
      </c>
      <c r="DX339" s="99">
        <v>-6263</v>
      </c>
      <c r="DY339" s="99">
        <v>-24465</v>
      </c>
      <c r="DZ339" s="99">
        <v>-3345</v>
      </c>
      <c r="EA339" s="99">
        <v>-1</v>
      </c>
      <c r="EB339" s="99">
        <v>-79</v>
      </c>
      <c r="EC339" s="99"/>
      <c r="ED339" s="99">
        <v>0</v>
      </c>
      <c r="EE339" s="99">
        <v>0</v>
      </c>
      <c r="EF339" s="99">
        <v>1740581</v>
      </c>
      <c r="EG339" s="99">
        <v>948733</v>
      </c>
      <c r="EH339" s="99">
        <v>791848</v>
      </c>
      <c r="EI339" s="99">
        <v>771043</v>
      </c>
      <c r="EJ339" s="99">
        <v>20805</v>
      </c>
      <c r="EK339" s="99">
        <v>91081</v>
      </c>
      <c r="EL339" s="99">
        <v>77337</v>
      </c>
      <c r="EM339" s="99">
        <v>13744</v>
      </c>
      <c r="EN339" s="99">
        <v>12815</v>
      </c>
      <c r="EO339" s="99">
        <v>929</v>
      </c>
      <c r="EP339" s="99">
        <v>36803</v>
      </c>
      <c r="EQ339" s="99">
        <v>24003</v>
      </c>
      <c r="ER339" s="99">
        <v>12800</v>
      </c>
      <c r="ES339" s="99">
        <v>12426</v>
      </c>
      <c r="ET339" s="99">
        <v>374</v>
      </c>
      <c r="EU339" s="99">
        <v>3751</v>
      </c>
      <c r="EV339" s="99">
        <v>2864</v>
      </c>
      <c r="EW339" s="99">
        <v>887</v>
      </c>
      <c r="EX339" s="99">
        <v>863</v>
      </c>
      <c r="EY339" s="99">
        <v>24</v>
      </c>
      <c r="EZ339" s="99">
        <v>1010596</v>
      </c>
      <c r="FA339" s="99">
        <v>659631</v>
      </c>
      <c r="FB339" s="99">
        <v>350965</v>
      </c>
      <c r="FC339" s="99">
        <v>337943</v>
      </c>
      <c r="FD339" s="99">
        <v>13022</v>
      </c>
      <c r="FE339" s="99">
        <v>582135</v>
      </c>
      <c r="FF339" s="99">
        <v>260871</v>
      </c>
      <c r="FG339" s="99">
        <v>321264</v>
      </c>
      <c r="FH339" s="99">
        <v>314808</v>
      </c>
      <c r="FI339" s="99">
        <v>6456</v>
      </c>
      <c r="FJ339" s="99">
        <v>15792</v>
      </c>
      <c r="FK339" s="99">
        <v>-76396</v>
      </c>
      <c r="FL339" s="99">
        <v>92188</v>
      </c>
      <c r="FM339" s="99">
        <v>92188</v>
      </c>
      <c r="FN339" s="99" t="s">
        <v>619</v>
      </c>
      <c r="FO339" s="99"/>
      <c r="FP339" s="99">
        <v>336</v>
      </c>
      <c r="FQ339" s="99">
        <v>87</v>
      </c>
      <c r="FR339" s="99">
        <v>595562</v>
      </c>
      <c r="FS339" s="99">
        <v>-240333</v>
      </c>
      <c r="FT339" s="99">
        <v>355229</v>
      </c>
      <c r="FU339" s="99">
        <v>-159691</v>
      </c>
      <c r="FV339" s="99">
        <v>-160583</v>
      </c>
      <c r="FW339" s="99">
        <v>892</v>
      </c>
      <c r="FX339" s="99">
        <v>244899</v>
      </c>
      <c r="FY339" s="99">
        <v>41534</v>
      </c>
      <c r="FZ339" s="99">
        <v>20163</v>
      </c>
      <c r="GA339" s="99">
        <v>68049</v>
      </c>
      <c r="GB339" s="99">
        <v>7579</v>
      </c>
      <c r="GC339" s="99">
        <v>-708</v>
      </c>
      <c r="GD339" s="99">
        <v>-68232</v>
      </c>
      <c r="GE339" s="99">
        <v>0</v>
      </c>
      <c r="GF339" s="99">
        <v>67524</v>
      </c>
      <c r="GG339" s="99">
        <v>133404</v>
      </c>
      <c r="GH339" s="99">
        <v>20012</v>
      </c>
      <c r="GI339" s="99">
        <v>1085</v>
      </c>
      <c r="GJ339" s="99">
        <v>112307</v>
      </c>
      <c r="GL339"/>
      <c r="GM339"/>
      <c r="GN339"/>
      <c r="GO339"/>
    </row>
    <row r="340" spans="1:197">
      <c r="A340" s="98">
        <v>2022</v>
      </c>
      <c r="B340" s="98">
        <v>9</v>
      </c>
      <c r="C340" s="98" t="s">
        <v>225</v>
      </c>
      <c r="D340" s="99">
        <v>16457963</v>
      </c>
      <c r="E340" s="99">
        <v>-3407068</v>
      </c>
      <c r="F340" s="99">
        <v>-17571</v>
      </c>
      <c r="G340" s="99">
        <v>13033324</v>
      </c>
      <c r="H340" s="99">
        <v>4508488</v>
      </c>
      <c r="I340" s="99">
        <v>8524836</v>
      </c>
      <c r="J340" s="99">
        <v>8338751</v>
      </c>
      <c r="K340" s="99">
        <v>186085</v>
      </c>
      <c r="L340" s="99">
        <v>5785191</v>
      </c>
      <c r="M340" s="99">
        <v>5239764</v>
      </c>
      <c r="N340" s="99">
        <v>199539</v>
      </c>
      <c r="O340" s="99">
        <v>19091</v>
      </c>
      <c r="P340" s="99">
        <v>180448</v>
      </c>
      <c r="Q340" s="99">
        <v>99666</v>
      </c>
      <c r="R340" s="99">
        <v>246222</v>
      </c>
      <c r="S340" s="99">
        <v>-320596</v>
      </c>
      <c r="T340" s="99">
        <v>-295014</v>
      </c>
      <c r="U340" s="99">
        <v>-77615</v>
      </c>
      <c r="V340" s="99">
        <v>-9</v>
      </c>
      <c r="W340" s="99">
        <v>-175755</v>
      </c>
      <c r="X340" s="99">
        <v>0</v>
      </c>
      <c r="Y340" s="99">
        <v>-41635</v>
      </c>
      <c r="Z340" s="99">
        <v>-19152</v>
      </c>
      <c r="AA340" s="99">
        <v>-6430</v>
      </c>
      <c r="AB340" s="99">
        <v>0</v>
      </c>
      <c r="AC340" s="99">
        <v>-17571</v>
      </c>
      <c r="AD340" s="99">
        <v>5447024</v>
      </c>
      <c r="AE340" s="99">
        <v>1258359</v>
      </c>
      <c r="AF340" s="99">
        <v>4188665</v>
      </c>
      <c r="AG340" s="99">
        <v>4099396</v>
      </c>
      <c r="AH340" s="99">
        <v>89269</v>
      </c>
      <c r="AI340" s="99">
        <v>5234324</v>
      </c>
      <c r="AJ340" s="99">
        <v>2169468</v>
      </c>
      <c r="AK340" s="99">
        <v>2972968</v>
      </c>
      <c r="AL340" s="99">
        <v>18056</v>
      </c>
      <c r="AM340" s="99">
        <v>97038</v>
      </c>
      <c r="AN340" s="99">
        <v>45010</v>
      </c>
      <c r="AO340" s="99">
        <v>51731</v>
      </c>
      <c r="AP340" s="99">
        <v>14426</v>
      </c>
      <c r="AQ340" s="99">
        <v>37027</v>
      </c>
      <c r="AR340" s="99">
        <v>-95475</v>
      </c>
      <c r="AS340" s="99">
        <v>80514</v>
      </c>
      <c r="AT340" s="99">
        <v>0</v>
      </c>
      <c r="AU340" s="99">
        <v>-17571</v>
      </c>
      <c r="AV340" s="99">
        <v>270069</v>
      </c>
      <c r="AW340" s="99">
        <v>4631</v>
      </c>
      <c r="AX340" s="99">
        <v>102526</v>
      </c>
      <c r="AY340" s="99">
        <v>15437</v>
      </c>
      <c r="AZ340" s="99">
        <v>9648</v>
      </c>
      <c r="BA340" s="99">
        <v>11164</v>
      </c>
      <c r="BB340" s="99">
        <v>66277</v>
      </c>
      <c r="BC340" s="99">
        <v>85105</v>
      </c>
      <c r="BD340" s="99">
        <v>77807</v>
      </c>
      <c r="BE340" s="99">
        <v>-82235</v>
      </c>
      <c r="BF340" s="99">
        <v>-81724</v>
      </c>
      <c r="BG340" s="99">
        <v>-56466</v>
      </c>
      <c r="BH340" s="99">
        <v>-25258</v>
      </c>
      <c r="BI340" s="99">
        <v>0</v>
      </c>
      <c r="BJ340" s="99">
        <v>-10943</v>
      </c>
      <c r="BK340" s="99">
        <v>-70781</v>
      </c>
      <c r="BL340" s="99">
        <v>-511</v>
      </c>
      <c r="BM340" s="99">
        <v>0</v>
      </c>
      <c r="BN340" s="99">
        <v>187834</v>
      </c>
      <c r="BO340" s="99">
        <v>39044</v>
      </c>
      <c r="BP340" s="99">
        <v>16377</v>
      </c>
      <c r="BQ340" s="99">
        <v>22017</v>
      </c>
      <c r="BR340" s="99">
        <v>0</v>
      </c>
      <c r="BS340" s="99">
        <v>4428</v>
      </c>
      <c r="BT340" s="99">
        <v>580</v>
      </c>
      <c r="BU340" s="99">
        <v>0</v>
      </c>
      <c r="BV340" s="99">
        <v>1051</v>
      </c>
      <c r="BW340" s="99">
        <v>2797</v>
      </c>
      <c r="BX340" s="99">
        <v>46060</v>
      </c>
      <c r="BY340" s="99">
        <v>59847</v>
      </c>
      <c r="BZ340" s="99">
        <v>61</v>
      </c>
      <c r="CA340" s="99">
        <v>200384</v>
      </c>
      <c r="CB340" s="99">
        <v>-33014</v>
      </c>
      <c r="CC340" s="99">
        <v>-33014</v>
      </c>
      <c r="CD340" s="99">
        <v>0</v>
      </c>
      <c r="CE340" s="99">
        <v>167370</v>
      </c>
      <c r="CF340" s="99">
        <v>158659</v>
      </c>
      <c r="CG340" s="99">
        <v>-1</v>
      </c>
      <c r="CH340" s="99">
        <v>8712</v>
      </c>
      <c r="CI340" s="99">
        <v>7555816</v>
      </c>
      <c r="CJ340" s="99">
        <v>2266409</v>
      </c>
      <c r="CK340" s="99">
        <v>5289407</v>
      </c>
      <c r="CL340" s="99">
        <v>4686652</v>
      </c>
      <c r="CM340" s="99">
        <v>157530</v>
      </c>
      <c r="CN340" s="99">
        <v>445225</v>
      </c>
      <c r="CO340" s="99">
        <v>0</v>
      </c>
      <c r="CP340" s="99">
        <v>0</v>
      </c>
      <c r="CQ340" s="99">
        <v>445225</v>
      </c>
      <c r="CR340" s="99">
        <v>-2897487</v>
      </c>
      <c r="CS340" s="99">
        <v>-420335</v>
      </c>
      <c r="CT340" s="99">
        <v>-317997</v>
      </c>
      <c r="CU340" s="99">
        <v>-4817</v>
      </c>
      <c r="CV340" s="99">
        <v>-1144</v>
      </c>
      <c r="CW340" s="99">
        <v>-96377</v>
      </c>
      <c r="CX340" s="99">
        <v>-2221419</v>
      </c>
      <c r="CY340" s="99">
        <v>-2206064</v>
      </c>
      <c r="CZ340" s="99">
        <v>-14714</v>
      </c>
      <c r="DA340" s="99">
        <v>-641</v>
      </c>
      <c r="DB340" s="99">
        <v>0</v>
      </c>
      <c r="DC340" s="99">
        <v>-255733</v>
      </c>
      <c r="DD340" s="99">
        <v>4658329</v>
      </c>
      <c r="DE340" s="99">
        <v>1493234</v>
      </c>
      <c r="DF340" s="99">
        <v>3165095</v>
      </c>
      <c r="DG340" s="99">
        <v>3089082</v>
      </c>
      <c r="DH340" s="99">
        <v>76013</v>
      </c>
      <c r="DI340" s="99">
        <v>1849270</v>
      </c>
      <c r="DJ340" s="99">
        <v>90400</v>
      </c>
      <c r="DK340" s="99">
        <v>39790</v>
      </c>
      <c r="DL340" s="99">
        <v>1355</v>
      </c>
      <c r="DM340" s="99">
        <v>1047591</v>
      </c>
      <c r="DN340" s="99">
        <v>640382</v>
      </c>
      <c r="DO340" s="99">
        <v>24768</v>
      </c>
      <c r="DP340" s="99"/>
      <c r="DQ340" s="99">
        <v>4870</v>
      </c>
      <c r="DR340" s="99">
        <v>114</v>
      </c>
      <c r="DS340" s="99">
        <v>-53840</v>
      </c>
      <c r="DT340" s="99">
        <v>-269</v>
      </c>
      <c r="DU340" s="99">
        <v>-1454</v>
      </c>
      <c r="DV340" s="99">
        <v>-7</v>
      </c>
      <c r="DW340" s="99">
        <v>-45903</v>
      </c>
      <c r="DX340" s="99">
        <v>-6676</v>
      </c>
      <c r="DY340" s="99">
        <v>-26423</v>
      </c>
      <c r="DZ340" s="99">
        <v>-12804</v>
      </c>
      <c r="EA340" s="99">
        <v>-5739</v>
      </c>
      <c r="EB340" s="99">
        <v>-460</v>
      </c>
      <c r="EC340" s="99"/>
      <c r="ED340" s="99">
        <v>0</v>
      </c>
      <c r="EE340" s="99">
        <v>-8</v>
      </c>
      <c r="EF340" s="99">
        <v>1795430</v>
      </c>
      <c r="EG340" s="99">
        <v>624354</v>
      </c>
      <c r="EH340" s="99">
        <v>1171076</v>
      </c>
      <c r="EI340" s="99">
        <v>1150273</v>
      </c>
      <c r="EJ340" s="99">
        <v>20803</v>
      </c>
      <c r="EK340" s="99">
        <v>90131</v>
      </c>
      <c r="EL340" s="99">
        <v>55243</v>
      </c>
      <c r="EM340" s="99">
        <v>34888</v>
      </c>
      <c r="EN340" s="99">
        <v>33962</v>
      </c>
      <c r="EO340" s="99">
        <v>926</v>
      </c>
      <c r="EP340" s="99">
        <v>38336</v>
      </c>
      <c r="EQ340" s="99">
        <v>21575</v>
      </c>
      <c r="ER340" s="99">
        <v>16761</v>
      </c>
      <c r="ES340" s="99">
        <v>16389</v>
      </c>
      <c r="ET340" s="99">
        <v>372</v>
      </c>
      <c r="EU340" s="99">
        <v>1348</v>
      </c>
      <c r="EV340" s="99">
        <v>234</v>
      </c>
      <c r="EW340" s="99">
        <v>1114</v>
      </c>
      <c r="EX340" s="99">
        <v>1089</v>
      </c>
      <c r="EY340" s="99">
        <v>25</v>
      </c>
      <c r="EZ340" s="99">
        <v>1001688</v>
      </c>
      <c r="FA340" s="99">
        <v>332860</v>
      </c>
      <c r="FB340" s="99">
        <v>668828</v>
      </c>
      <c r="FC340" s="99">
        <v>655805</v>
      </c>
      <c r="FD340" s="99">
        <v>13023</v>
      </c>
      <c r="FE340" s="99">
        <v>634643</v>
      </c>
      <c r="FF340" s="99">
        <v>302304</v>
      </c>
      <c r="FG340" s="99">
        <v>332339</v>
      </c>
      <c r="FH340" s="99">
        <v>325882</v>
      </c>
      <c r="FI340" s="99">
        <v>6457</v>
      </c>
      <c r="FJ340" s="99">
        <v>24308</v>
      </c>
      <c r="FK340" s="99">
        <v>-92838</v>
      </c>
      <c r="FL340" s="99">
        <v>117146</v>
      </c>
      <c r="FM340" s="99">
        <v>117146</v>
      </c>
      <c r="FN340" s="99" t="s">
        <v>619</v>
      </c>
      <c r="FO340" s="99"/>
      <c r="FP340" s="99">
        <v>4870</v>
      </c>
      <c r="FQ340" s="99">
        <v>106</v>
      </c>
      <c r="FR340" s="99">
        <v>797233</v>
      </c>
      <c r="FS340" s="99">
        <v>-19896</v>
      </c>
      <c r="FT340" s="99">
        <v>777337</v>
      </c>
      <c r="FU340" s="99">
        <v>31047</v>
      </c>
      <c r="FV340" s="99">
        <v>-1415</v>
      </c>
      <c r="FW340" s="99">
        <v>32462</v>
      </c>
      <c r="FX340" s="99">
        <v>250988</v>
      </c>
      <c r="FY340" s="99">
        <v>329458</v>
      </c>
      <c r="FZ340" s="99">
        <v>18876</v>
      </c>
      <c r="GA340" s="99">
        <v>3607</v>
      </c>
      <c r="GB340" s="99">
        <v>126</v>
      </c>
      <c r="GC340" s="99">
        <v>47729</v>
      </c>
      <c r="GD340" s="99">
        <v>153</v>
      </c>
      <c r="GE340" s="99">
        <v>0</v>
      </c>
      <c r="GF340" s="99">
        <v>47576</v>
      </c>
      <c r="GG340" s="99">
        <v>95506</v>
      </c>
      <c r="GH340" s="99">
        <v>11930</v>
      </c>
      <c r="GI340" s="99">
        <v>633</v>
      </c>
      <c r="GJ340" s="99">
        <v>82943</v>
      </c>
      <c r="GL340"/>
      <c r="GM340"/>
      <c r="GN340"/>
      <c r="GO340"/>
    </row>
    <row r="341" spans="1:197">
      <c r="A341" s="98">
        <v>2022</v>
      </c>
      <c r="B341" s="98">
        <v>10</v>
      </c>
      <c r="C341" s="98" t="s">
        <v>226</v>
      </c>
      <c r="D341" s="99">
        <v>47976728</v>
      </c>
      <c r="E341" s="99">
        <v>-6094878</v>
      </c>
      <c r="F341" s="99">
        <v>-17570</v>
      </c>
      <c r="G341" s="99">
        <v>41864280</v>
      </c>
      <c r="H341" s="99">
        <v>33520336</v>
      </c>
      <c r="I341" s="99">
        <v>8343944</v>
      </c>
      <c r="J341" s="99">
        <v>8338754</v>
      </c>
      <c r="K341" s="99">
        <v>5190</v>
      </c>
      <c r="L341" s="99">
        <v>12686451</v>
      </c>
      <c r="M341" s="99">
        <v>10610751</v>
      </c>
      <c r="N341" s="99">
        <v>196546</v>
      </c>
      <c r="O341" s="99">
        <v>27603</v>
      </c>
      <c r="P341" s="99">
        <v>168943</v>
      </c>
      <c r="Q341" s="99">
        <v>62111</v>
      </c>
      <c r="R341" s="99">
        <v>1817043</v>
      </c>
      <c r="S341" s="99">
        <v>-700727</v>
      </c>
      <c r="T341" s="99">
        <v>-648673</v>
      </c>
      <c r="U341" s="99">
        <v>-78955</v>
      </c>
      <c r="V341" s="99">
        <v>-13</v>
      </c>
      <c r="W341" s="99">
        <v>-531898</v>
      </c>
      <c r="X341" s="99">
        <v>0</v>
      </c>
      <c r="Y341" s="99">
        <v>-37807</v>
      </c>
      <c r="Z341" s="99">
        <v>-44018</v>
      </c>
      <c r="AA341" s="99">
        <v>-8036</v>
      </c>
      <c r="AB341" s="99">
        <v>0</v>
      </c>
      <c r="AC341" s="99">
        <v>-17570</v>
      </c>
      <c r="AD341" s="99">
        <v>11968154</v>
      </c>
      <c r="AE341" s="99">
        <v>7779637</v>
      </c>
      <c r="AF341" s="99">
        <v>4188517</v>
      </c>
      <c r="AG341" s="99">
        <v>4099397</v>
      </c>
      <c r="AH341" s="99">
        <v>89120</v>
      </c>
      <c r="AI341" s="99">
        <v>10605871</v>
      </c>
      <c r="AJ341" s="99">
        <v>2197954</v>
      </c>
      <c r="AK341" s="99">
        <v>3093978</v>
      </c>
      <c r="AL341" s="99">
        <v>5243654</v>
      </c>
      <c r="AM341" s="99">
        <v>362567</v>
      </c>
      <c r="AN341" s="99">
        <v>415155</v>
      </c>
      <c r="AO341" s="99">
        <v>44295</v>
      </c>
      <c r="AP341" s="99">
        <v>17479</v>
      </c>
      <c r="AQ341" s="99">
        <v>974391</v>
      </c>
      <c r="AR341" s="99">
        <v>-452127</v>
      </c>
      <c r="AS341" s="99">
        <v>18093</v>
      </c>
      <c r="AT341" s="99">
        <v>0</v>
      </c>
      <c r="AU341" s="99">
        <v>-17570</v>
      </c>
      <c r="AV341" s="99">
        <v>16957548</v>
      </c>
      <c r="AW341" s="99">
        <v>16315324</v>
      </c>
      <c r="AX341" s="99">
        <v>183212</v>
      </c>
      <c r="AY341" s="99">
        <v>11672</v>
      </c>
      <c r="AZ341" s="99">
        <v>25893</v>
      </c>
      <c r="BA341" s="99">
        <v>15782</v>
      </c>
      <c r="BB341" s="99">
        <v>129865</v>
      </c>
      <c r="BC341" s="99">
        <v>111021</v>
      </c>
      <c r="BD341" s="99">
        <v>347991</v>
      </c>
      <c r="BE341" s="99">
        <v>-2036799</v>
      </c>
      <c r="BF341" s="99">
        <v>-2035189</v>
      </c>
      <c r="BG341" s="99">
        <v>-2013369</v>
      </c>
      <c r="BH341" s="99">
        <v>-21820</v>
      </c>
      <c r="BI341" s="99">
        <v>-589</v>
      </c>
      <c r="BJ341" s="99">
        <v>-237329</v>
      </c>
      <c r="BK341" s="99">
        <v>-1797271</v>
      </c>
      <c r="BL341" s="99">
        <v>-1610</v>
      </c>
      <c r="BM341" s="99">
        <v>0</v>
      </c>
      <c r="BN341" s="99">
        <v>14920749</v>
      </c>
      <c r="BO341" s="99">
        <v>153749</v>
      </c>
      <c r="BP341" s="99">
        <v>174011</v>
      </c>
      <c r="BQ341" s="99">
        <v>18859</v>
      </c>
      <c r="BR341" s="99">
        <v>195</v>
      </c>
      <c r="BS341" s="99">
        <v>16314891</v>
      </c>
      <c r="BT341" s="99">
        <v>4813513</v>
      </c>
      <c r="BU341" s="99">
        <v>9450316</v>
      </c>
      <c r="BV341" s="99">
        <v>1646617</v>
      </c>
      <c r="BW341" s="99">
        <v>404445</v>
      </c>
      <c r="BX341" s="99">
        <v>-1830157</v>
      </c>
      <c r="BY341" s="99">
        <v>89201</v>
      </c>
      <c r="BZ341" s="99">
        <v>0</v>
      </c>
      <c r="CA341" s="99">
        <v>373378</v>
      </c>
      <c r="CB341" s="99">
        <v>-87833</v>
      </c>
      <c r="CC341" s="99">
        <v>-87833</v>
      </c>
      <c r="CD341" s="99">
        <v>0</v>
      </c>
      <c r="CE341" s="99">
        <v>285545</v>
      </c>
      <c r="CF341" s="99">
        <v>222441</v>
      </c>
      <c r="CG341" s="99">
        <v>38990</v>
      </c>
      <c r="CH341" s="99">
        <v>24114</v>
      </c>
      <c r="CI341" s="99">
        <v>15432800</v>
      </c>
      <c r="CJ341" s="99">
        <v>2336219</v>
      </c>
      <c r="CK341" s="99">
        <v>13096581</v>
      </c>
      <c r="CL341" s="99">
        <v>4484962</v>
      </c>
      <c r="CM341" s="99">
        <v>8126634</v>
      </c>
      <c r="CN341" s="99">
        <v>484985</v>
      </c>
      <c r="CO341" s="99">
        <v>0</v>
      </c>
      <c r="CP341" s="99">
        <v>0</v>
      </c>
      <c r="CQ341" s="99">
        <v>484985</v>
      </c>
      <c r="CR341" s="99">
        <v>-3160013</v>
      </c>
      <c r="CS341" s="99">
        <v>-432582</v>
      </c>
      <c r="CT341" s="99">
        <v>-273252</v>
      </c>
      <c r="CU341" s="99">
        <v>-6369</v>
      </c>
      <c r="CV341" s="99">
        <v>-61</v>
      </c>
      <c r="CW341" s="99">
        <v>-152900</v>
      </c>
      <c r="CX341" s="99">
        <v>-2018163</v>
      </c>
      <c r="CY341" s="99">
        <v>-2004626</v>
      </c>
      <c r="CZ341" s="99">
        <v>-12871</v>
      </c>
      <c r="DA341" s="99">
        <v>-666</v>
      </c>
      <c r="DB341" s="99">
        <v>-709268</v>
      </c>
      <c r="DC341" s="99">
        <v>0</v>
      </c>
      <c r="DD341" s="99">
        <v>12272787</v>
      </c>
      <c r="DE341" s="99">
        <v>9283830</v>
      </c>
      <c r="DF341" s="99">
        <v>2988957</v>
      </c>
      <c r="DG341" s="99">
        <v>3089083</v>
      </c>
      <c r="DH341" s="99">
        <v>-100126</v>
      </c>
      <c r="DI341" s="99">
        <v>1796500</v>
      </c>
      <c r="DJ341" s="99">
        <v>77592</v>
      </c>
      <c r="DK341" s="99">
        <v>35651</v>
      </c>
      <c r="DL341" s="99">
        <v>1354</v>
      </c>
      <c r="DM341" s="99">
        <v>1054706</v>
      </c>
      <c r="DN341" s="99">
        <v>584253</v>
      </c>
      <c r="DO341" s="99">
        <v>27475</v>
      </c>
      <c r="DP341" s="99"/>
      <c r="DQ341" s="99">
        <v>15376</v>
      </c>
      <c r="DR341" s="99">
        <v>93</v>
      </c>
      <c r="DS341" s="99">
        <v>-54473</v>
      </c>
      <c r="DT341" s="99">
        <v>-6048</v>
      </c>
      <c r="DU341" s="99">
        <v>-3088</v>
      </c>
      <c r="DV341" s="99">
        <v>-54</v>
      </c>
      <c r="DW341" s="99">
        <v>-33303</v>
      </c>
      <c r="DX341" s="99">
        <v>-6387</v>
      </c>
      <c r="DY341" s="99">
        <v>-26173</v>
      </c>
      <c r="DZ341" s="99">
        <v>-743</v>
      </c>
      <c r="EA341" s="99">
        <v>-11113</v>
      </c>
      <c r="EB341" s="99">
        <v>-846</v>
      </c>
      <c r="EC341" s="99"/>
      <c r="ED341" s="99">
        <v>0</v>
      </c>
      <c r="EE341" s="99">
        <v>-21</v>
      </c>
      <c r="EF341" s="99">
        <v>1742027</v>
      </c>
      <c r="EG341" s="99">
        <v>575557</v>
      </c>
      <c r="EH341" s="99">
        <v>1166470</v>
      </c>
      <c r="EI341" s="99">
        <v>1150274</v>
      </c>
      <c r="EJ341" s="99">
        <v>16196</v>
      </c>
      <c r="EK341" s="99">
        <v>71544</v>
      </c>
      <c r="EL341" s="99">
        <v>37431</v>
      </c>
      <c r="EM341" s="99">
        <v>34113</v>
      </c>
      <c r="EN341" s="99">
        <v>33962</v>
      </c>
      <c r="EO341" s="99">
        <v>151</v>
      </c>
      <c r="EP341" s="99">
        <v>32563</v>
      </c>
      <c r="EQ341" s="99">
        <v>15899</v>
      </c>
      <c r="ER341" s="99">
        <v>16664</v>
      </c>
      <c r="ES341" s="99">
        <v>16389</v>
      </c>
      <c r="ET341" s="99">
        <v>275</v>
      </c>
      <c r="EU341" s="99">
        <v>1300</v>
      </c>
      <c r="EV341" s="99">
        <v>190</v>
      </c>
      <c r="EW341" s="99">
        <v>1110</v>
      </c>
      <c r="EX341" s="99">
        <v>1090</v>
      </c>
      <c r="EY341" s="99">
        <v>20</v>
      </c>
      <c r="EZ341" s="99">
        <v>1021403</v>
      </c>
      <c r="FA341" s="99">
        <v>356262</v>
      </c>
      <c r="FB341" s="99">
        <v>665141</v>
      </c>
      <c r="FC341" s="99">
        <v>655804</v>
      </c>
      <c r="FD341" s="99">
        <v>9337</v>
      </c>
      <c r="FE341" s="99">
        <v>573140</v>
      </c>
      <c r="FF341" s="99">
        <v>240844</v>
      </c>
      <c r="FG341" s="99">
        <v>332296</v>
      </c>
      <c r="FH341" s="99">
        <v>325883</v>
      </c>
      <c r="FI341" s="99">
        <v>6413</v>
      </c>
      <c r="FJ341" s="99">
        <v>26629</v>
      </c>
      <c r="FK341" s="99">
        <v>-90517</v>
      </c>
      <c r="FL341" s="99">
        <v>117146</v>
      </c>
      <c r="FM341" s="99">
        <v>117146</v>
      </c>
      <c r="FN341" s="99" t="s">
        <v>619</v>
      </c>
      <c r="FO341" s="99"/>
      <c r="FP341" s="99">
        <v>15376</v>
      </c>
      <c r="FQ341" s="99">
        <v>72</v>
      </c>
      <c r="FR341" s="99">
        <v>730051</v>
      </c>
      <c r="FS341" s="99">
        <v>-55033</v>
      </c>
      <c r="FT341" s="99">
        <v>675018</v>
      </c>
      <c r="FU341" s="99">
        <v>8859</v>
      </c>
      <c r="FV341" s="99">
        <v>756</v>
      </c>
      <c r="FW341" s="99">
        <v>8103</v>
      </c>
      <c r="FX341" s="99">
        <v>272025</v>
      </c>
      <c r="FY341" s="99">
        <v>186591</v>
      </c>
      <c r="FZ341" s="99">
        <v>21382</v>
      </c>
      <c r="GA341" s="99">
        <v>1262</v>
      </c>
      <c r="GB341" s="99">
        <v>169</v>
      </c>
      <c r="GC341" s="99">
        <v>87148</v>
      </c>
      <c r="GD341" s="99">
        <v>6386</v>
      </c>
      <c r="GE341" s="99">
        <v>0</v>
      </c>
      <c r="GF341" s="99">
        <v>80762</v>
      </c>
      <c r="GG341" s="99">
        <v>97582</v>
      </c>
      <c r="GH341" s="99">
        <v>11538</v>
      </c>
      <c r="GI341" s="99">
        <v>1039</v>
      </c>
      <c r="GJ341" s="99">
        <v>85005</v>
      </c>
      <c r="GL341"/>
      <c r="GM341"/>
      <c r="GN341"/>
      <c r="GO341"/>
    </row>
    <row r="342" spans="1:197">
      <c r="A342" s="98">
        <v>2022</v>
      </c>
      <c r="B342" s="98">
        <v>11</v>
      </c>
      <c r="C342" s="98" t="s">
        <v>227</v>
      </c>
      <c r="D342" s="99">
        <v>21757311</v>
      </c>
      <c r="E342" s="99">
        <v>-5644926</v>
      </c>
      <c r="F342" s="99">
        <v>-17571</v>
      </c>
      <c r="G342" s="99">
        <v>16094814</v>
      </c>
      <c r="H342" s="99">
        <v>7686970</v>
      </c>
      <c r="I342" s="99">
        <v>8407844</v>
      </c>
      <c r="J342" s="99">
        <v>8338752</v>
      </c>
      <c r="K342" s="99">
        <v>69092</v>
      </c>
      <c r="L342" s="99">
        <v>10549916</v>
      </c>
      <c r="M342" s="99">
        <v>5458582</v>
      </c>
      <c r="N342" s="99">
        <v>4752272</v>
      </c>
      <c r="O342" s="99">
        <v>4577975</v>
      </c>
      <c r="P342" s="99">
        <v>174297</v>
      </c>
      <c r="Q342" s="99">
        <v>62781</v>
      </c>
      <c r="R342" s="99">
        <v>276281</v>
      </c>
      <c r="S342" s="99">
        <v>-658527</v>
      </c>
      <c r="T342" s="99">
        <v>-618888</v>
      </c>
      <c r="U342" s="99">
        <v>-78931</v>
      </c>
      <c r="V342" s="99">
        <v>-11</v>
      </c>
      <c r="W342" s="99">
        <v>-492538</v>
      </c>
      <c r="X342" s="99">
        <v>0</v>
      </c>
      <c r="Y342" s="99">
        <v>-47408</v>
      </c>
      <c r="Z342" s="99">
        <v>-30064</v>
      </c>
      <c r="AA342" s="99">
        <v>-9575</v>
      </c>
      <c r="AB342" s="99">
        <v>0</v>
      </c>
      <c r="AC342" s="99">
        <v>-17571</v>
      </c>
      <c r="AD342" s="99">
        <v>9873818</v>
      </c>
      <c r="AE342" s="99">
        <v>5685693</v>
      </c>
      <c r="AF342" s="99">
        <v>4188125</v>
      </c>
      <c r="AG342" s="99">
        <v>4099396</v>
      </c>
      <c r="AH342" s="99">
        <v>88729</v>
      </c>
      <c r="AI342" s="99">
        <v>5450895</v>
      </c>
      <c r="AJ342" s="99">
        <v>2295567</v>
      </c>
      <c r="AK342" s="99">
        <v>3052491</v>
      </c>
      <c r="AL342" s="99">
        <v>37253</v>
      </c>
      <c r="AM342" s="99">
        <v>133327</v>
      </c>
      <c r="AN342" s="99">
        <v>50691</v>
      </c>
      <c r="AO342" s="99">
        <v>37362</v>
      </c>
      <c r="AP342" s="99">
        <v>11713</v>
      </c>
      <c r="AQ342" s="99">
        <v>41300</v>
      </c>
      <c r="AR342" s="99">
        <v>4133384</v>
      </c>
      <c r="AS342" s="99">
        <v>32717</v>
      </c>
      <c r="AT342" s="99">
        <v>0</v>
      </c>
      <c r="AU342" s="99">
        <v>-17571</v>
      </c>
      <c r="AV342" s="99">
        <v>409494</v>
      </c>
      <c r="AW342" s="99">
        <v>55706</v>
      </c>
      <c r="AX342" s="99">
        <v>148447</v>
      </c>
      <c r="AY342" s="99">
        <v>10876</v>
      </c>
      <c r="AZ342" s="99">
        <v>9871</v>
      </c>
      <c r="BA342" s="99">
        <v>17800</v>
      </c>
      <c r="BB342" s="99">
        <v>109900</v>
      </c>
      <c r="BC342" s="99">
        <v>118353</v>
      </c>
      <c r="BD342" s="99">
        <v>86988</v>
      </c>
      <c r="BE342" s="99">
        <v>-1164699</v>
      </c>
      <c r="BF342" s="99">
        <v>-1161035</v>
      </c>
      <c r="BG342" s="99">
        <v>-1135283</v>
      </c>
      <c r="BH342" s="99">
        <v>-25752</v>
      </c>
      <c r="BI342" s="99">
        <v>-1075159</v>
      </c>
      <c r="BJ342" s="99">
        <v>-3014</v>
      </c>
      <c r="BK342" s="99">
        <v>-82862</v>
      </c>
      <c r="BL342" s="99">
        <v>-3664</v>
      </c>
      <c r="BM342" s="99">
        <v>0</v>
      </c>
      <c r="BN342" s="99">
        <v>-755205</v>
      </c>
      <c r="BO342" s="99">
        <v>51608</v>
      </c>
      <c r="BP342" s="99">
        <v>18841</v>
      </c>
      <c r="BQ342" s="99">
        <v>15904</v>
      </c>
      <c r="BR342" s="99">
        <v>0</v>
      </c>
      <c r="BS342" s="99">
        <v>52675</v>
      </c>
      <c r="BT342" s="99">
        <v>18242</v>
      </c>
      <c r="BU342" s="99">
        <v>7479</v>
      </c>
      <c r="BV342" s="99">
        <v>8896</v>
      </c>
      <c r="BW342" s="99">
        <v>18058</v>
      </c>
      <c r="BX342" s="99">
        <v>-986836</v>
      </c>
      <c r="BY342" s="99">
        <v>92601</v>
      </c>
      <c r="BZ342" s="99">
        <v>2</v>
      </c>
      <c r="CA342" s="99">
        <v>264989</v>
      </c>
      <c r="CB342" s="99">
        <v>-57733</v>
      </c>
      <c r="CC342" s="99">
        <v>-57733</v>
      </c>
      <c r="CD342" s="99">
        <v>0</v>
      </c>
      <c r="CE342" s="99">
        <v>207256</v>
      </c>
      <c r="CF342" s="99">
        <v>176616</v>
      </c>
      <c r="CG342" s="99">
        <v>128</v>
      </c>
      <c r="CH342" s="99">
        <v>30512</v>
      </c>
      <c r="CI342" s="99">
        <v>8043011</v>
      </c>
      <c r="CJ342" s="99">
        <v>2492001</v>
      </c>
      <c r="CK342" s="99">
        <v>5551010</v>
      </c>
      <c r="CL342" s="99">
        <v>4658191</v>
      </c>
      <c r="CM342" s="99">
        <v>422487</v>
      </c>
      <c r="CN342" s="99">
        <v>470332</v>
      </c>
      <c r="CO342" s="99">
        <v>0</v>
      </c>
      <c r="CP342" s="99">
        <v>0</v>
      </c>
      <c r="CQ342" s="99">
        <v>470332</v>
      </c>
      <c r="CR342" s="99">
        <v>-3662357</v>
      </c>
      <c r="CS342" s="99">
        <v>-312748</v>
      </c>
      <c r="CT342" s="99">
        <v>-197872</v>
      </c>
      <c r="CU342" s="99">
        <v>-3896</v>
      </c>
      <c r="CV342" s="99">
        <v>-192</v>
      </c>
      <c r="CW342" s="99">
        <v>-110788</v>
      </c>
      <c r="CX342" s="99">
        <v>-3349609</v>
      </c>
      <c r="CY342" s="99">
        <v>-3341856</v>
      </c>
      <c r="CZ342" s="99">
        <v>-6743</v>
      </c>
      <c r="DA342" s="99">
        <v>-1010</v>
      </c>
      <c r="DB342" s="99">
        <v>0</v>
      </c>
      <c r="DC342" s="99">
        <v>0</v>
      </c>
      <c r="DD342" s="99">
        <v>4380654</v>
      </c>
      <c r="DE342" s="99">
        <v>1268586</v>
      </c>
      <c r="DF342" s="99">
        <v>3112068</v>
      </c>
      <c r="DG342" s="99">
        <v>3089082</v>
      </c>
      <c r="DH342" s="99">
        <v>22986</v>
      </c>
      <c r="DI342" s="99">
        <v>1645958</v>
      </c>
      <c r="DJ342" s="99">
        <v>104037</v>
      </c>
      <c r="DK342" s="99">
        <v>39360</v>
      </c>
      <c r="DL342" s="99">
        <v>3458</v>
      </c>
      <c r="DM342" s="99">
        <v>974701</v>
      </c>
      <c r="DN342" s="99">
        <v>501673</v>
      </c>
      <c r="DO342" s="99">
        <v>22648</v>
      </c>
      <c r="DP342" s="99"/>
      <c r="DQ342" s="99">
        <v>0</v>
      </c>
      <c r="DR342" s="99">
        <v>81</v>
      </c>
      <c r="DS342" s="99">
        <v>-48576</v>
      </c>
      <c r="DT342" s="99">
        <v>-7966</v>
      </c>
      <c r="DU342" s="99">
        <v>-325</v>
      </c>
      <c r="DV342" s="99">
        <v>-36</v>
      </c>
      <c r="DW342" s="99">
        <v>-39876</v>
      </c>
      <c r="DX342" s="99">
        <v>-4615</v>
      </c>
      <c r="DY342" s="99">
        <v>-30437</v>
      </c>
      <c r="DZ342" s="99">
        <v>-4824</v>
      </c>
      <c r="EA342" s="99">
        <v>-24</v>
      </c>
      <c r="EB342" s="99">
        <v>-219</v>
      </c>
      <c r="EC342" s="99"/>
      <c r="ED342" s="99">
        <v>0</v>
      </c>
      <c r="EE342" s="99">
        <v>-130</v>
      </c>
      <c r="EF342" s="99">
        <v>1597382</v>
      </c>
      <c r="EG342" s="99">
        <v>489731</v>
      </c>
      <c r="EH342" s="99">
        <v>1107651</v>
      </c>
      <c r="EI342" s="99">
        <v>1150274</v>
      </c>
      <c r="EJ342" s="99">
        <v>-42623</v>
      </c>
      <c r="EK342" s="99">
        <v>96071</v>
      </c>
      <c r="EL342" s="99">
        <v>65679</v>
      </c>
      <c r="EM342" s="99">
        <v>30392</v>
      </c>
      <c r="EN342" s="99">
        <v>33962</v>
      </c>
      <c r="EO342" s="99">
        <v>-3570</v>
      </c>
      <c r="EP342" s="99">
        <v>39035</v>
      </c>
      <c r="EQ342" s="99">
        <v>22826</v>
      </c>
      <c r="ER342" s="99">
        <v>16209</v>
      </c>
      <c r="ES342" s="99">
        <v>16389</v>
      </c>
      <c r="ET342" s="99">
        <v>-180</v>
      </c>
      <c r="EU342" s="99">
        <v>3422</v>
      </c>
      <c r="EV342" s="99">
        <v>2334</v>
      </c>
      <c r="EW342" s="99">
        <v>1088</v>
      </c>
      <c r="EX342" s="99">
        <v>1089</v>
      </c>
      <c r="EY342" s="99">
        <v>-1</v>
      </c>
      <c r="EZ342" s="99">
        <v>934825</v>
      </c>
      <c r="FA342" s="99">
        <v>319596</v>
      </c>
      <c r="FB342" s="99">
        <v>615229</v>
      </c>
      <c r="FC342" s="99">
        <v>655805</v>
      </c>
      <c r="FD342" s="99">
        <v>-40576</v>
      </c>
      <c r="FE342" s="99">
        <v>501649</v>
      </c>
      <c r="FF342" s="99">
        <v>174062</v>
      </c>
      <c r="FG342" s="99">
        <v>327587</v>
      </c>
      <c r="FH342" s="99">
        <v>325883</v>
      </c>
      <c r="FI342" s="99">
        <v>1704</v>
      </c>
      <c r="FJ342" s="99">
        <v>22429</v>
      </c>
      <c r="FK342" s="99">
        <v>-94717</v>
      </c>
      <c r="FL342" s="99">
        <v>117146</v>
      </c>
      <c r="FM342" s="99">
        <v>117146</v>
      </c>
      <c r="FN342" s="99" t="s">
        <v>619</v>
      </c>
      <c r="FO342" s="99"/>
      <c r="FP342" s="99">
        <v>0</v>
      </c>
      <c r="FQ342" s="99">
        <v>-49</v>
      </c>
      <c r="FR342" s="99">
        <v>843943</v>
      </c>
      <c r="FS342" s="99">
        <v>-53034</v>
      </c>
      <c r="FT342" s="99">
        <v>790909</v>
      </c>
      <c r="FU342" s="99">
        <v>11187</v>
      </c>
      <c r="FV342" s="99">
        <v>6587</v>
      </c>
      <c r="FW342" s="99">
        <v>4600</v>
      </c>
      <c r="FX342" s="99">
        <v>291184</v>
      </c>
      <c r="FY342" s="99">
        <v>184883</v>
      </c>
      <c r="FZ342" s="99">
        <v>21630</v>
      </c>
      <c r="GA342" s="99">
        <v>76271</v>
      </c>
      <c r="GB342" s="99">
        <v>7707</v>
      </c>
      <c r="GC342" s="99">
        <v>42453</v>
      </c>
      <c r="GD342" s="99">
        <v>-33866</v>
      </c>
      <c r="GE342" s="99">
        <v>0</v>
      </c>
      <c r="GF342" s="99">
        <v>76319</v>
      </c>
      <c r="GG342" s="99">
        <v>155594</v>
      </c>
      <c r="GH342" s="99">
        <v>52580</v>
      </c>
      <c r="GI342" s="99">
        <v>464</v>
      </c>
      <c r="GJ342" s="99">
        <v>102550</v>
      </c>
      <c r="GL342"/>
      <c r="GM342"/>
      <c r="GN342"/>
      <c r="GO342"/>
    </row>
    <row r="343" spans="1:197">
      <c r="A343" s="98">
        <v>2022</v>
      </c>
      <c r="B343" s="98">
        <v>12</v>
      </c>
      <c r="C343" s="98" t="s">
        <v>228</v>
      </c>
      <c r="D343" s="99">
        <v>24388683</v>
      </c>
      <c r="E343" s="99">
        <v>-8573739</v>
      </c>
      <c r="F343" s="99">
        <v>-140894</v>
      </c>
      <c r="G343" s="99">
        <v>15674050</v>
      </c>
      <c r="H343" s="99">
        <v>7154493</v>
      </c>
      <c r="I343" s="99">
        <v>8519557</v>
      </c>
      <c r="J343" s="99">
        <v>8338752</v>
      </c>
      <c r="K343" s="99">
        <v>180805</v>
      </c>
      <c r="L343" s="99">
        <v>7694155</v>
      </c>
      <c r="M343" s="99">
        <v>7026577</v>
      </c>
      <c r="N343" s="99">
        <v>259871</v>
      </c>
      <c r="O343" s="99">
        <v>46456</v>
      </c>
      <c r="P343" s="99">
        <v>213415</v>
      </c>
      <c r="Q343" s="99">
        <v>64390</v>
      </c>
      <c r="R343" s="99">
        <v>343317</v>
      </c>
      <c r="S343" s="99">
        <v>-658201</v>
      </c>
      <c r="T343" s="99">
        <v>-631133</v>
      </c>
      <c r="U343" s="99">
        <v>-78687</v>
      </c>
      <c r="V343" s="99">
        <v>-9</v>
      </c>
      <c r="W343" s="99">
        <v>-497912</v>
      </c>
      <c r="X343" s="99">
        <v>0</v>
      </c>
      <c r="Y343" s="99">
        <v>-54525</v>
      </c>
      <c r="Z343" s="99">
        <v>-12775</v>
      </c>
      <c r="AA343" s="99">
        <v>-14293</v>
      </c>
      <c r="AB343" s="99">
        <v>0</v>
      </c>
      <c r="AC343" s="99">
        <v>-140894</v>
      </c>
      <c r="AD343" s="99">
        <v>6895060</v>
      </c>
      <c r="AE343" s="99">
        <v>2706416</v>
      </c>
      <c r="AF343" s="99">
        <v>4188644</v>
      </c>
      <c r="AG343" s="99">
        <v>4099396</v>
      </c>
      <c r="AH343" s="99">
        <v>89248</v>
      </c>
      <c r="AI343" s="99">
        <v>7018474</v>
      </c>
      <c r="AJ343" s="99">
        <v>3599353</v>
      </c>
      <c r="AK343" s="99">
        <v>3320269</v>
      </c>
      <c r="AL343" s="99">
        <v>21995</v>
      </c>
      <c r="AM343" s="99">
        <v>179597</v>
      </c>
      <c r="AN343" s="99">
        <v>47081</v>
      </c>
      <c r="AO343" s="99">
        <v>44648</v>
      </c>
      <c r="AP343" s="99">
        <v>22184</v>
      </c>
      <c r="AQ343" s="99">
        <v>43617</v>
      </c>
      <c r="AR343" s="99">
        <v>-371262</v>
      </c>
      <c r="AS343" s="99">
        <v>51615</v>
      </c>
      <c r="AT343" s="99">
        <v>0</v>
      </c>
      <c r="AU343" s="99">
        <v>-140894</v>
      </c>
      <c r="AV343" s="99">
        <v>6364525</v>
      </c>
      <c r="AW343" s="99">
        <v>5990223</v>
      </c>
      <c r="AX343" s="99">
        <v>126924</v>
      </c>
      <c r="AY343" s="99">
        <v>9543</v>
      </c>
      <c r="AZ343" s="99">
        <v>15747</v>
      </c>
      <c r="BA343" s="99">
        <v>12272</v>
      </c>
      <c r="BB343" s="99">
        <v>89362</v>
      </c>
      <c r="BC343" s="99">
        <v>141669</v>
      </c>
      <c r="BD343" s="99">
        <v>105709</v>
      </c>
      <c r="BE343" s="99">
        <v>-2821285</v>
      </c>
      <c r="BF343" s="99">
        <v>-2817923</v>
      </c>
      <c r="BG343" s="99">
        <v>-2771002</v>
      </c>
      <c r="BH343" s="99">
        <v>-46921</v>
      </c>
      <c r="BI343" s="99">
        <v>-2724374</v>
      </c>
      <c r="BJ343" s="99">
        <v>-1115</v>
      </c>
      <c r="BK343" s="99">
        <v>-92434</v>
      </c>
      <c r="BL343" s="99">
        <v>-3362</v>
      </c>
      <c r="BM343" s="99">
        <v>0</v>
      </c>
      <c r="BN343" s="99">
        <v>3543240</v>
      </c>
      <c r="BO343" s="99">
        <v>67523</v>
      </c>
      <c r="BP343" s="99">
        <v>17194</v>
      </c>
      <c r="BQ343" s="99">
        <v>19006</v>
      </c>
      <c r="BR343" s="99">
        <v>2</v>
      </c>
      <c r="BS343" s="99">
        <v>5988868</v>
      </c>
      <c r="BT343" s="99">
        <v>1921437</v>
      </c>
      <c r="BU343" s="99">
        <v>2772946</v>
      </c>
      <c r="BV343" s="99">
        <v>1279324</v>
      </c>
      <c r="BW343" s="99">
        <v>15161</v>
      </c>
      <c r="BX343" s="99">
        <v>-2644078</v>
      </c>
      <c r="BY343" s="99">
        <v>94748</v>
      </c>
      <c r="BZ343" s="99">
        <v>-23</v>
      </c>
      <c r="CA343" s="99">
        <v>336789</v>
      </c>
      <c r="CB343" s="99">
        <v>-53926</v>
      </c>
      <c r="CC343" s="99">
        <v>-53926</v>
      </c>
      <c r="CD343" s="99">
        <v>0</v>
      </c>
      <c r="CE343" s="99">
        <v>282863</v>
      </c>
      <c r="CF343" s="99">
        <v>259491</v>
      </c>
      <c r="CG343" s="99">
        <v>19315</v>
      </c>
      <c r="CH343" s="99">
        <v>4057</v>
      </c>
      <c r="CI343" s="99">
        <v>7434233</v>
      </c>
      <c r="CJ343" s="99">
        <v>2302048</v>
      </c>
      <c r="CK343" s="99">
        <v>5132185</v>
      </c>
      <c r="CL343" s="99">
        <v>4494743</v>
      </c>
      <c r="CM343" s="99">
        <v>167905</v>
      </c>
      <c r="CN343" s="99">
        <v>469537</v>
      </c>
      <c r="CO343" s="99">
        <v>0</v>
      </c>
      <c r="CP343" s="99">
        <v>0</v>
      </c>
      <c r="CQ343" s="99">
        <v>469537</v>
      </c>
      <c r="CR343" s="99">
        <v>-4565191</v>
      </c>
      <c r="CS343" s="99">
        <v>-221821</v>
      </c>
      <c r="CT343" s="99">
        <v>-103911</v>
      </c>
      <c r="CU343" s="99">
        <v>-1707</v>
      </c>
      <c r="CV343" s="99">
        <v>-155</v>
      </c>
      <c r="CW343" s="99">
        <v>-116048</v>
      </c>
      <c r="CX343" s="99">
        <v>-3082497</v>
      </c>
      <c r="CY343" s="99">
        <v>-3079435</v>
      </c>
      <c r="CZ343" s="99">
        <v>-2083</v>
      </c>
      <c r="DA343" s="99">
        <v>-979</v>
      </c>
      <c r="DB343" s="99">
        <v>-718891</v>
      </c>
      <c r="DC343" s="99">
        <v>-541982</v>
      </c>
      <c r="DD343" s="99">
        <v>2869042</v>
      </c>
      <c r="DE343" s="99">
        <v>-296056</v>
      </c>
      <c r="DF343" s="99">
        <v>3165098</v>
      </c>
      <c r="DG343" s="99">
        <v>3089083</v>
      </c>
      <c r="DH343" s="99">
        <v>76015</v>
      </c>
      <c r="DI343" s="99">
        <v>1785647</v>
      </c>
      <c r="DJ343" s="99">
        <v>101069</v>
      </c>
      <c r="DK343" s="99">
        <v>31415</v>
      </c>
      <c r="DL343" s="99">
        <v>1424</v>
      </c>
      <c r="DM343" s="99">
        <v>1024067</v>
      </c>
      <c r="DN343" s="99">
        <v>610342</v>
      </c>
      <c r="DO343" s="99">
        <v>17143</v>
      </c>
      <c r="DP343" s="99" t="s">
        <v>619</v>
      </c>
      <c r="DQ343" s="99">
        <v>112</v>
      </c>
      <c r="DR343" s="99">
        <v>75</v>
      </c>
      <c r="DS343" s="99">
        <v>-187404</v>
      </c>
      <c r="DT343" s="99">
        <v>-9046</v>
      </c>
      <c r="DU343" s="99">
        <v>-5216</v>
      </c>
      <c r="DV343" s="99">
        <v>-7</v>
      </c>
      <c r="DW343" s="99">
        <v>-166113</v>
      </c>
      <c r="DX343" s="99">
        <v>-3552</v>
      </c>
      <c r="DY343" s="99">
        <v>-29517</v>
      </c>
      <c r="DZ343" s="99">
        <v>-133044</v>
      </c>
      <c r="EA343" s="99">
        <v>-6497</v>
      </c>
      <c r="EB343" s="99">
        <v>-514</v>
      </c>
      <c r="EC343" s="99" t="s">
        <v>619</v>
      </c>
      <c r="ED343" s="99">
        <v>0</v>
      </c>
      <c r="EE343" s="99">
        <v>-11</v>
      </c>
      <c r="EF343" s="99">
        <v>1598243</v>
      </c>
      <c r="EG343" s="99">
        <v>432428</v>
      </c>
      <c r="EH343" s="99">
        <v>1165815</v>
      </c>
      <c r="EI343" s="99">
        <v>1150273</v>
      </c>
      <c r="EJ343" s="99">
        <v>15542</v>
      </c>
      <c r="EK343" s="99">
        <v>92023</v>
      </c>
      <c r="EL343" s="99">
        <v>57134</v>
      </c>
      <c r="EM343" s="99">
        <v>34889</v>
      </c>
      <c r="EN343" s="99">
        <v>33962</v>
      </c>
      <c r="EO343" s="99">
        <v>927</v>
      </c>
      <c r="EP343" s="99">
        <v>26199</v>
      </c>
      <c r="EQ343" s="99">
        <v>9436</v>
      </c>
      <c r="ER343" s="99">
        <v>16763</v>
      </c>
      <c r="ES343" s="99">
        <v>16389</v>
      </c>
      <c r="ET343" s="99">
        <v>374</v>
      </c>
      <c r="EU343" s="99">
        <v>1417</v>
      </c>
      <c r="EV343" s="99">
        <v>305</v>
      </c>
      <c r="EW343" s="99">
        <v>1112</v>
      </c>
      <c r="EX343" s="99">
        <v>1089</v>
      </c>
      <c r="EY343" s="99">
        <v>23</v>
      </c>
      <c r="EZ343" s="99">
        <v>857954</v>
      </c>
      <c r="FA343" s="99">
        <v>193480</v>
      </c>
      <c r="FB343" s="99">
        <v>664474</v>
      </c>
      <c r="FC343" s="99">
        <v>655804</v>
      </c>
      <c r="FD343" s="99">
        <v>8670</v>
      </c>
      <c r="FE343" s="99">
        <v>603845</v>
      </c>
      <c r="FF343" s="99">
        <v>272415</v>
      </c>
      <c r="FG343" s="99">
        <v>331430</v>
      </c>
      <c r="FH343" s="99">
        <v>325882</v>
      </c>
      <c r="FI343" s="99">
        <v>5548</v>
      </c>
      <c r="FJ343" s="99">
        <v>16629</v>
      </c>
      <c r="FK343" s="99">
        <v>-100518</v>
      </c>
      <c r="FL343" s="99">
        <v>117147</v>
      </c>
      <c r="FM343" s="99">
        <v>117147</v>
      </c>
      <c r="FN343" s="99" t="s">
        <v>619</v>
      </c>
      <c r="FO343" s="99" t="s">
        <v>619</v>
      </c>
      <c r="FP343" s="99">
        <v>112</v>
      </c>
      <c r="FQ343" s="99">
        <v>64</v>
      </c>
      <c r="FR343" s="99">
        <v>773334</v>
      </c>
      <c r="FS343" s="99">
        <v>-287732</v>
      </c>
      <c r="FT343" s="99">
        <v>485602</v>
      </c>
      <c r="FU343" s="99">
        <v>156524</v>
      </c>
      <c r="FV343" s="99">
        <v>144039</v>
      </c>
      <c r="FW343" s="99">
        <v>12485</v>
      </c>
      <c r="FX343" s="99">
        <v>249429</v>
      </c>
      <c r="FY343" s="99">
        <v>183831</v>
      </c>
      <c r="FZ343" s="99">
        <v>-88803</v>
      </c>
      <c r="GA343" s="99">
        <v>-11454</v>
      </c>
      <c r="GB343" s="99">
        <v>109</v>
      </c>
      <c r="GC343" s="99">
        <v>-100742</v>
      </c>
      <c r="GD343" s="99">
        <v>-33811</v>
      </c>
      <c r="GE343" s="99">
        <v>-30148</v>
      </c>
      <c r="GF343" s="99">
        <v>-36783</v>
      </c>
      <c r="GG343" s="99">
        <v>96708</v>
      </c>
      <c r="GH343" s="99">
        <v>14618</v>
      </c>
      <c r="GI343" s="99">
        <v>973</v>
      </c>
      <c r="GJ343" s="99">
        <v>81117</v>
      </c>
      <c r="GL343"/>
      <c r="GM343"/>
      <c r="GN343"/>
      <c r="GO343"/>
    </row>
    <row r="344" spans="1:197">
      <c r="A344" s="96">
        <v>2023</v>
      </c>
      <c r="B344" s="96">
        <v>1</v>
      </c>
      <c r="C344" s="97" t="s">
        <v>217</v>
      </c>
      <c r="D344" s="314">
        <v>27150884</v>
      </c>
      <c r="E344" s="314">
        <v>-9561009</v>
      </c>
      <c r="F344" s="314">
        <v>-17571</v>
      </c>
      <c r="G344" s="314">
        <v>17572304</v>
      </c>
      <c r="H344" s="314">
        <v>8064231</v>
      </c>
      <c r="I344" s="314">
        <v>9508073</v>
      </c>
      <c r="J344" s="314">
        <v>9310233</v>
      </c>
      <c r="K344" s="314">
        <v>197840</v>
      </c>
      <c r="L344" s="314">
        <v>16085279</v>
      </c>
      <c r="M344" s="314">
        <v>14353222</v>
      </c>
      <c r="N344" s="314">
        <v>158412</v>
      </c>
      <c r="O344" s="314">
        <v>0</v>
      </c>
      <c r="P344" s="314">
        <v>158412</v>
      </c>
      <c r="Q344" s="314">
        <v>140038</v>
      </c>
      <c r="R344" s="314">
        <v>1433607</v>
      </c>
      <c r="S344" s="314">
        <v>-384966</v>
      </c>
      <c r="T344" s="314">
        <v>-305242</v>
      </c>
      <c r="U344" s="314">
        <v>0</v>
      </c>
      <c r="V344" s="314">
        <v>-78640</v>
      </c>
      <c r="W344" s="314">
        <v>0</v>
      </c>
      <c r="X344" s="314">
        <v>-186150</v>
      </c>
      <c r="Y344" s="314">
        <v>-40452</v>
      </c>
      <c r="Z344" s="314">
        <v>-30197</v>
      </c>
      <c r="AA344" s="314">
        <v>-27019</v>
      </c>
      <c r="AB344" s="314">
        <v>-22508</v>
      </c>
      <c r="AC344" s="314">
        <v>-17571</v>
      </c>
      <c r="AD344" s="314">
        <v>15682742</v>
      </c>
      <c r="AE344" s="314">
        <v>10954540</v>
      </c>
      <c r="AF344" s="314">
        <v>4728202</v>
      </c>
      <c r="AG344" s="314">
        <v>4625791</v>
      </c>
      <c r="AH344" s="314">
        <v>102411</v>
      </c>
      <c r="AI344" s="314">
        <v>14326876</v>
      </c>
      <c r="AJ344" s="314">
        <v>2996561</v>
      </c>
      <c r="AK344" s="314">
        <v>4929794</v>
      </c>
      <c r="AL344" s="314">
        <v>6337944</v>
      </c>
      <c r="AM344" s="314">
        <v>772127</v>
      </c>
      <c r="AN344" s="314">
        <v>415625</v>
      </c>
      <c r="AO344" s="314">
        <v>71340</v>
      </c>
      <c r="AP344" s="314">
        <v>82989</v>
      </c>
      <c r="AQ344" s="314">
        <v>68345</v>
      </c>
      <c r="AR344" s="314">
        <v>-146830</v>
      </c>
      <c r="AS344" s="314">
        <v>109841</v>
      </c>
      <c r="AT344" s="314">
        <v>0</v>
      </c>
      <c r="AU344" s="314">
        <v>-17571</v>
      </c>
      <c r="AV344" s="314">
        <v>863776</v>
      </c>
      <c r="AW344" s="314">
        <v>51010</v>
      </c>
      <c r="AX344" s="314">
        <v>166692</v>
      </c>
      <c r="AY344" s="314">
        <v>46444</v>
      </c>
      <c r="AZ344" s="314">
        <v>27935</v>
      </c>
      <c r="BA344" s="314">
        <v>20822</v>
      </c>
      <c r="BB344" s="314">
        <v>71491</v>
      </c>
      <c r="BC344" s="314">
        <v>78608</v>
      </c>
      <c r="BD344" s="314">
        <v>567466</v>
      </c>
      <c r="BE344" s="314">
        <v>-6790342</v>
      </c>
      <c r="BF344" s="314">
        <v>-6788727</v>
      </c>
      <c r="BG344" s="314">
        <v>-6747396</v>
      </c>
      <c r="BH344" s="314">
        <v>-41331</v>
      </c>
      <c r="BI344" s="314">
        <v>0</v>
      </c>
      <c r="BJ344" s="314">
        <v>-6658629</v>
      </c>
      <c r="BK344" s="314">
        <v>-130098</v>
      </c>
      <c r="BL344" s="314">
        <v>-1615</v>
      </c>
      <c r="BM344" s="314">
        <v>0</v>
      </c>
      <c r="BN344" s="314">
        <v>-5926566</v>
      </c>
      <c r="BO344" s="314">
        <v>337683</v>
      </c>
      <c r="BP344" s="314">
        <v>174161</v>
      </c>
      <c r="BQ344" s="314">
        <v>30370</v>
      </c>
      <c r="BR344" s="314">
        <v>25028</v>
      </c>
      <c r="BS344" s="314">
        <v>49614</v>
      </c>
      <c r="BT344" s="314">
        <v>14500</v>
      </c>
      <c r="BU344" s="314">
        <v>2537</v>
      </c>
      <c r="BV344" s="314">
        <v>17498</v>
      </c>
      <c r="BW344" s="314">
        <v>15079</v>
      </c>
      <c r="BX344" s="314">
        <v>-6580704</v>
      </c>
      <c r="BY344" s="314">
        <v>37277</v>
      </c>
      <c r="BZ344" s="314">
        <v>5</v>
      </c>
      <c r="CA344" s="314">
        <v>528658</v>
      </c>
      <c r="CB344" s="314">
        <v>-57018</v>
      </c>
      <c r="CC344" s="314">
        <v>-57018</v>
      </c>
      <c r="CD344" s="314">
        <v>0</v>
      </c>
      <c r="CE344" s="314">
        <v>471640</v>
      </c>
      <c r="CF344" s="314">
        <v>384176</v>
      </c>
      <c r="CG344" s="314">
        <v>190</v>
      </c>
      <c r="CH344" s="314">
        <v>87274</v>
      </c>
      <c r="CI344" s="314">
        <v>7340002</v>
      </c>
      <c r="CJ344" s="314">
        <v>2132818</v>
      </c>
      <c r="CK344" s="314">
        <v>5207184</v>
      </c>
      <c r="CL344" s="314">
        <v>4251168</v>
      </c>
      <c r="CM344" s="314">
        <v>445608</v>
      </c>
      <c r="CN344" s="314">
        <v>510408</v>
      </c>
      <c r="CO344" s="314">
        <v>0</v>
      </c>
      <c r="CP344" s="314">
        <v>0</v>
      </c>
      <c r="CQ344" s="314">
        <v>510408</v>
      </c>
      <c r="CR344" s="314">
        <v>-2236434</v>
      </c>
      <c r="CS344" s="314">
        <v>-134099</v>
      </c>
      <c r="CT344" s="314">
        <v>-2820</v>
      </c>
      <c r="CU344" s="314">
        <v>-44908</v>
      </c>
      <c r="CV344" s="314">
        <v>-59</v>
      </c>
      <c r="CW344" s="314">
        <v>-86312</v>
      </c>
      <c r="CX344" s="314">
        <v>-2102335</v>
      </c>
      <c r="CY344" s="314">
        <v>0</v>
      </c>
      <c r="CZ344" s="314">
        <v>-2100227</v>
      </c>
      <c r="DA344" s="314">
        <v>-2108</v>
      </c>
      <c r="DB344" s="314">
        <v>0</v>
      </c>
      <c r="DC344" s="314">
        <v>0</v>
      </c>
      <c r="DD344" s="314">
        <v>5103568</v>
      </c>
      <c r="DE344" s="314">
        <v>1512699</v>
      </c>
      <c r="DF344" s="314">
        <v>3590869</v>
      </c>
      <c r="DG344" s="314">
        <v>3515464</v>
      </c>
      <c r="DH344" s="314">
        <v>75405</v>
      </c>
      <c r="DI344" s="314">
        <v>1678774</v>
      </c>
      <c r="DJ344" s="314">
        <v>64341</v>
      </c>
      <c r="DK344" s="314">
        <v>27673</v>
      </c>
      <c r="DL344" s="314">
        <v>1044</v>
      </c>
      <c r="DM344" s="314">
        <v>1070242</v>
      </c>
      <c r="DN344" s="314">
        <v>485821</v>
      </c>
      <c r="DO344" s="314">
        <v>18043</v>
      </c>
      <c r="DP344" s="314">
        <v>989</v>
      </c>
      <c r="DQ344" s="314">
        <v>10528</v>
      </c>
      <c r="DR344" s="314">
        <v>93</v>
      </c>
      <c r="DS344" s="314">
        <v>-26672</v>
      </c>
      <c r="DT344" s="314">
        <v>-377</v>
      </c>
      <c r="DU344" s="314">
        <v>-79</v>
      </c>
      <c r="DV344" s="314">
        <v>-24</v>
      </c>
      <c r="DW344" s="314">
        <v>-26111</v>
      </c>
      <c r="DX344" s="314">
        <v>-4728</v>
      </c>
      <c r="DY344" s="314">
        <v>-20411</v>
      </c>
      <c r="DZ344" s="314">
        <v>-972</v>
      </c>
      <c r="EA344" s="314">
        <v>-3</v>
      </c>
      <c r="EB344" s="314">
        <v>-19</v>
      </c>
      <c r="EC344" s="314">
        <v>0</v>
      </c>
      <c r="ED344" s="314">
        <v>0</v>
      </c>
      <c r="EE344" s="314">
        <v>-59</v>
      </c>
      <c r="EF344" s="314">
        <v>1652102</v>
      </c>
      <c r="EG344" s="314">
        <v>463100</v>
      </c>
      <c r="EH344" s="314">
        <v>1189002</v>
      </c>
      <c r="EI344" s="314">
        <v>1168978</v>
      </c>
      <c r="EJ344" s="314">
        <v>20024</v>
      </c>
      <c r="EK344" s="314">
        <v>63964</v>
      </c>
      <c r="EL344" s="314">
        <v>15526</v>
      </c>
      <c r="EM344" s="314">
        <v>48438</v>
      </c>
      <c r="EN344" s="314">
        <v>47367</v>
      </c>
      <c r="EO344" s="314">
        <v>1071</v>
      </c>
      <c r="EP344" s="314">
        <v>27594</v>
      </c>
      <c r="EQ344" s="314">
        <v>10481</v>
      </c>
      <c r="ER344" s="314">
        <v>17113</v>
      </c>
      <c r="ES344" s="314">
        <v>16768</v>
      </c>
      <c r="ET344" s="314">
        <v>345</v>
      </c>
      <c r="EU344" s="314">
        <v>1020</v>
      </c>
      <c r="EV344" s="314">
        <v>-526</v>
      </c>
      <c r="EW344" s="314">
        <v>1546</v>
      </c>
      <c r="EX344" s="314">
        <v>1516</v>
      </c>
      <c r="EY344" s="314">
        <v>30</v>
      </c>
      <c r="EZ344" s="314">
        <v>1044131</v>
      </c>
      <c r="FA344" s="314">
        <v>342155</v>
      </c>
      <c r="FB344" s="314">
        <v>701976</v>
      </c>
      <c r="FC344" s="314">
        <v>689797</v>
      </c>
      <c r="FD344" s="314">
        <v>12179</v>
      </c>
      <c r="FE344" s="314">
        <v>485818</v>
      </c>
      <c r="FF344" s="314">
        <v>177078</v>
      </c>
      <c r="FG344" s="314">
        <v>308740</v>
      </c>
      <c r="FH344" s="314">
        <v>302341</v>
      </c>
      <c r="FI344" s="314">
        <v>6399</v>
      </c>
      <c r="FJ344" s="314">
        <v>18024</v>
      </c>
      <c r="FK344" s="314">
        <v>-93165</v>
      </c>
      <c r="FL344" s="314">
        <v>111189</v>
      </c>
      <c r="FM344" s="314">
        <v>111189</v>
      </c>
      <c r="FN344" s="314" t="s">
        <v>619</v>
      </c>
      <c r="FO344" s="314">
        <v>989</v>
      </c>
      <c r="FP344" s="314">
        <v>10528</v>
      </c>
      <c r="FQ344" s="314">
        <v>34</v>
      </c>
      <c r="FR344" s="314">
        <v>654395</v>
      </c>
      <c r="FS344" s="314">
        <v>-65577</v>
      </c>
      <c r="FT344" s="314">
        <v>588818</v>
      </c>
      <c r="FU344" s="314">
        <v>19809</v>
      </c>
      <c r="FV344" s="314">
        <v>1096</v>
      </c>
      <c r="FW344" s="314">
        <v>18713</v>
      </c>
      <c r="FX344" s="314">
        <v>212354</v>
      </c>
      <c r="FY344" s="314">
        <v>181266</v>
      </c>
      <c r="FZ344" s="314">
        <v>29337</v>
      </c>
      <c r="GA344" s="314">
        <v>1206</v>
      </c>
      <c r="GB344" s="314">
        <v>260</v>
      </c>
      <c r="GC344" s="314">
        <v>21215</v>
      </c>
      <c r="GD344" s="314">
        <v>-38770</v>
      </c>
      <c r="GE344" s="314">
        <v>0</v>
      </c>
      <c r="GF344" s="314">
        <v>59985</v>
      </c>
      <c r="GG344" s="314">
        <v>123371</v>
      </c>
      <c r="GH344" s="314">
        <v>31880</v>
      </c>
      <c r="GI344" s="314">
        <v>1089</v>
      </c>
      <c r="GJ344" s="314">
        <v>90402</v>
      </c>
      <c r="GL344"/>
      <c r="GM344"/>
      <c r="GN344"/>
      <c r="GO344"/>
    </row>
    <row r="345" spans="1:197">
      <c r="A345" s="98">
        <v>2023</v>
      </c>
      <c r="B345" s="98">
        <v>2</v>
      </c>
      <c r="C345" s="98" t="s">
        <v>218</v>
      </c>
      <c r="D345" s="315">
        <v>27904527</v>
      </c>
      <c r="E345" s="315">
        <v>-2411698</v>
      </c>
      <c r="F345" s="315">
        <v>-17364</v>
      </c>
      <c r="G345" s="315">
        <v>25475465</v>
      </c>
      <c r="H345" s="315">
        <v>15967396</v>
      </c>
      <c r="I345" s="315">
        <v>9508069</v>
      </c>
      <c r="J345" s="315">
        <v>9310231</v>
      </c>
      <c r="K345" s="315">
        <v>197838</v>
      </c>
      <c r="L345" s="315">
        <v>7666945</v>
      </c>
      <c r="M345" s="315">
        <v>6164221</v>
      </c>
      <c r="N345" s="315">
        <v>137128</v>
      </c>
      <c r="O345" s="315">
        <v>0</v>
      </c>
      <c r="P345" s="315">
        <v>137128</v>
      </c>
      <c r="Q345" s="315">
        <v>62433</v>
      </c>
      <c r="R345" s="315">
        <v>1303163</v>
      </c>
      <c r="S345" s="315">
        <v>-205412</v>
      </c>
      <c r="T345" s="315">
        <v>-145912</v>
      </c>
      <c r="U345" s="315">
        <v>-38970</v>
      </c>
      <c r="V345" s="315">
        <v>-4445</v>
      </c>
      <c r="W345" s="315">
        <v>0</v>
      </c>
      <c r="X345" s="315">
        <v>-61948</v>
      </c>
      <c r="Y345" s="315">
        <v>-40549</v>
      </c>
      <c r="Z345" s="315">
        <v>-21528</v>
      </c>
      <c r="AA345" s="315">
        <v>-37972</v>
      </c>
      <c r="AB345" s="315">
        <v>0</v>
      </c>
      <c r="AC345" s="315">
        <v>-17364</v>
      </c>
      <c r="AD345" s="315">
        <v>7444169</v>
      </c>
      <c r="AE345" s="315">
        <v>2715969</v>
      </c>
      <c r="AF345" s="315">
        <v>4728200</v>
      </c>
      <c r="AG345" s="315">
        <v>4625790</v>
      </c>
      <c r="AH345" s="315">
        <v>102410</v>
      </c>
      <c r="AI345" s="315">
        <v>6128795</v>
      </c>
      <c r="AJ345" s="315">
        <v>2411803</v>
      </c>
      <c r="AK345" s="315">
        <v>3462475</v>
      </c>
      <c r="AL345" s="315">
        <v>192333</v>
      </c>
      <c r="AM345" s="315">
        <v>170893</v>
      </c>
      <c r="AN345" s="315">
        <v>64912</v>
      </c>
      <c r="AO345" s="315">
        <v>40712</v>
      </c>
      <c r="AP345" s="315">
        <v>62594</v>
      </c>
      <c r="AQ345" s="315">
        <v>961506</v>
      </c>
      <c r="AR345" s="315">
        <v>-8784</v>
      </c>
      <c r="AS345" s="315">
        <v>40905</v>
      </c>
      <c r="AT345" s="315">
        <v>0</v>
      </c>
      <c r="AU345" s="315">
        <v>-17364</v>
      </c>
      <c r="AV345" s="315">
        <v>405246</v>
      </c>
      <c r="AW345" s="315">
        <v>21144</v>
      </c>
      <c r="AX345" s="315">
        <v>193023</v>
      </c>
      <c r="AY345" s="315">
        <v>79978</v>
      </c>
      <c r="AZ345" s="315">
        <v>20277</v>
      </c>
      <c r="BA345" s="315">
        <v>20766</v>
      </c>
      <c r="BB345" s="315">
        <v>72002</v>
      </c>
      <c r="BC345" s="315">
        <v>79050</v>
      </c>
      <c r="BD345" s="315">
        <v>112029</v>
      </c>
      <c r="BE345" s="315">
        <v>-507263</v>
      </c>
      <c r="BF345" s="315">
        <v>-504290</v>
      </c>
      <c r="BG345" s="315">
        <v>-461429</v>
      </c>
      <c r="BH345" s="315">
        <v>-42861</v>
      </c>
      <c r="BI345" s="315">
        <v>0</v>
      </c>
      <c r="BJ345" s="315">
        <v>-409111</v>
      </c>
      <c r="BK345" s="315">
        <v>-95179</v>
      </c>
      <c r="BL345" s="315">
        <v>-2973</v>
      </c>
      <c r="BM345" s="315">
        <v>0</v>
      </c>
      <c r="BN345" s="315">
        <v>-102017</v>
      </c>
      <c r="BO345" s="315">
        <v>68649</v>
      </c>
      <c r="BP345" s="315">
        <v>25521</v>
      </c>
      <c r="BQ345" s="315">
        <v>17067</v>
      </c>
      <c r="BR345" s="315">
        <v>0</v>
      </c>
      <c r="BS345" s="315">
        <v>18962</v>
      </c>
      <c r="BT345" s="315">
        <v>2041</v>
      </c>
      <c r="BU345" s="315">
        <v>90</v>
      </c>
      <c r="BV345" s="315">
        <v>5192</v>
      </c>
      <c r="BW345" s="315">
        <v>11639</v>
      </c>
      <c r="BX345" s="315">
        <v>-268406</v>
      </c>
      <c r="BY345" s="315">
        <v>36189</v>
      </c>
      <c r="BZ345" s="315">
        <v>1</v>
      </c>
      <c r="CA345" s="315">
        <v>230659</v>
      </c>
      <c r="CB345" s="315">
        <v>-38305</v>
      </c>
      <c r="CC345" s="315">
        <v>-38305</v>
      </c>
      <c r="CD345" s="315">
        <v>0</v>
      </c>
      <c r="CE345" s="315">
        <v>192354</v>
      </c>
      <c r="CF345" s="315">
        <v>187226</v>
      </c>
      <c r="CG345" s="315">
        <v>27</v>
      </c>
      <c r="CH345" s="315">
        <v>5101</v>
      </c>
      <c r="CI345" s="315">
        <v>17350027</v>
      </c>
      <c r="CJ345" s="315">
        <v>1804604</v>
      </c>
      <c r="CK345" s="315">
        <v>15545423</v>
      </c>
      <c r="CL345" s="315">
        <v>6652974</v>
      </c>
      <c r="CM345" s="315">
        <v>8409740</v>
      </c>
      <c r="CN345" s="315">
        <v>482709</v>
      </c>
      <c r="CO345" s="315">
        <v>0</v>
      </c>
      <c r="CP345" s="315">
        <v>5888</v>
      </c>
      <c r="CQ345" s="315">
        <v>476821</v>
      </c>
      <c r="CR345" s="315">
        <v>-1567284</v>
      </c>
      <c r="CS345" s="315">
        <v>-218741</v>
      </c>
      <c r="CT345" s="315">
        <v>-32551</v>
      </c>
      <c r="CU345" s="315">
        <v>-35322</v>
      </c>
      <c r="CV345" s="315">
        <v>-64</v>
      </c>
      <c r="CW345" s="315">
        <v>-150804</v>
      </c>
      <c r="CX345" s="315">
        <v>-1291904</v>
      </c>
      <c r="CY345" s="315">
        <v>-186</v>
      </c>
      <c r="CZ345" s="315">
        <v>-1287637</v>
      </c>
      <c r="DA345" s="315">
        <v>-4081</v>
      </c>
      <c r="DB345" s="315">
        <v>0</v>
      </c>
      <c r="DC345" s="315">
        <v>-56639</v>
      </c>
      <c r="DD345" s="315">
        <v>15782743</v>
      </c>
      <c r="DE345" s="315">
        <v>12191873</v>
      </c>
      <c r="DF345" s="315">
        <v>3590870</v>
      </c>
      <c r="DG345" s="315">
        <v>3515464</v>
      </c>
      <c r="DH345" s="315">
        <v>75406</v>
      </c>
      <c r="DI345" s="315">
        <v>1461401</v>
      </c>
      <c r="DJ345" s="315">
        <v>100601</v>
      </c>
      <c r="DK345" s="315">
        <v>29627</v>
      </c>
      <c r="DL345" s="315">
        <v>3795</v>
      </c>
      <c r="DM345" s="315">
        <v>853855</v>
      </c>
      <c r="DN345" s="315">
        <v>415442</v>
      </c>
      <c r="DO345" s="315">
        <v>16539</v>
      </c>
      <c r="DP345" s="315">
        <v>41482</v>
      </c>
      <c r="DQ345" s="315">
        <v>0</v>
      </c>
      <c r="DR345" s="315">
        <v>60</v>
      </c>
      <c r="DS345" s="315">
        <v>-35049</v>
      </c>
      <c r="DT345" s="315">
        <v>-8806</v>
      </c>
      <c r="DU345" s="315">
        <v>-220</v>
      </c>
      <c r="DV345" s="315">
        <v>-23</v>
      </c>
      <c r="DW345" s="315">
        <v>-25600</v>
      </c>
      <c r="DX345" s="315">
        <v>-2155</v>
      </c>
      <c r="DY345" s="315">
        <v>-21344</v>
      </c>
      <c r="DZ345" s="315">
        <v>-2101</v>
      </c>
      <c r="EA345" s="315">
        <v>-3</v>
      </c>
      <c r="EB345" s="315">
        <v>-379</v>
      </c>
      <c r="EC345" s="315">
        <v>-15</v>
      </c>
      <c r="ED345" s="315">
        <v>0</v>
      </c>
      <c r="EE345" s="315">
        <v>-3</v>
      </c>
      <c r="EF345" s="315">
        <v>1426352</v>
      </c>
      <c r="EG345" s="315">
        <v>237353</v>
      </c>
      <c r="EH345" s="315">
        <v>1188999</v>
      </c>
      <c r="EI345" s="315">
        <v>1168977</v>
      </c>
      <c r="EJ345" s="315">
        <v>20022</v>
      </c>
      <c r="EK345" s="315">
        <v>91795</v>
      </c>
      <c r="EL345" s="315">
        <v>43357</v>
      </c>
      <c r="EM345" s="315">
        <v>48438</v>
      </c>
      <c r="EN345" s="315">
        <v>47366</v>
      </c>
      <c r="EO345" s="315">
        <v>1072</v>
      </c>
      <c r="EP345" s="315">
        <v>29407</v>
      </c>
      <c r="EQ345" s="315">
        <v>12295</v>
      </c>
      <c r="ER345" s="315">
        <v>17112</v>
      </c>
      <c r="ES345" s="315">
        <v>16768</v>
      </c>
      <c r="ET345" s="315">
        <v>344</v>
      </c>
      <c r="EU345" s="315">
        <v>3772</v>
      </c>
      <c r="EV345" s="315">
        <v>2227</v>
      </c>
      <c r="EW345" s="315">
        <v>1545</v>
      </c>
      <c r="EX345" s="315">
        <v>1515</v>
      </c>
      <c r="EY345" s="315">
        <v>30</v>
      </c>
      <c r="EZ345" s="315">
        <v>828255</v>
      </c>
      <c r="FA345" s="315">
        <v>126280</v>
      </c>
      <c r="FB345" s="315">
        <v>701975</v>
      </c>
      <c r="FC345" s="315">
        <v>689797</v>
      </c>
      <c r="FD345" s="315">
        <v>12178</v>
      </c>
      <c r="FE345" s="315">
        <v>415439</v>
      </c>
      <c r="FF345" s="315">
        <v>106699</v>
      </c>
      <c r="FG345" s="315">
        <v>308740</v>
      </c>
      <c r="FH345" s="315">
        <v>302342</v>
      </c>
      <c r="FI345" s="315">
        <v>6398</v>
      </c>
      <c r="FJ345" s="315">
        <v>16160</v>
      </c>
      <c r="FK345" s="315">
        <v>-95029</v>
      </c>
      <c r="FL345" s="315">
        <v>111189</v>
      </c>
      <c r="FM345" s="315">
        <v>111189</v>
      </c>
      <c r="FN345" s="315" t="s">
        <v>619</v>
      </c>
      <c r="FO345" s="315">
        <v>41467</v>
      </c>
      <c r="FP345" s="315">
        <v>0</v>
      </c>
      <c r="FQ345" s="315">
        <v>57</v>
      </c>
      <c r="FR345" s="315">
        <v>790249</v>
      </c>
      <c r="FS345" s="315">
        <v>-58385</v>
      </c>
      <c r="FT345" s="315">
        <v>731864</v>
      </c>
      <c r="FU345" s="315">
        <v>1709</v>
      </c>
      <c r="FV345" s="315">
        <v>-495</v>
      </c>
      <c r="FW345" s="315">
        <v>2204</v>
      </c>
      <c r="FX345" s="315">
        <v>240899</v>
      </c>
      <c r="FY345" s="315">
        <v>221327</v>
      </c>
      <c r="FZ345" s="315">
        <v>29083</v>
      </c>
      <c r="GA345" s="315">
        <v>72449</v>
      </c>
      <c r="GB345" s="315">
        <v>9834</v>
      </c>
      <c r="GC345" s="315">
        <v>55974</v>
      </c>
      <c r="GD345" s="315">
        <v>-38576</v>
      </c>
      <c r="GE345" s="315">
        <v>0</v>
      </c>
      <c r="GF345" s="315">
        <v>94550</v>
      </c>
      <c r="GG345" s="315">
        <v>100589</v>
      </c>
      <c r="GH345" s="315">
        <v>16913</v>
      </c>
      <c r="GI345" s="315">
        <v>899</v>
      </c>
      <c r="GJ345" s="315">
        <v>82777</v>
      </c>
      <c r="GL345"/>
      <c r="GM345"/>
      <c r="GN345"/>
      <c r="GO345"/>
    </row>
    <row r="346" spans="1:197">
      <c r="A346" s="98">
        <v>2023</v>
      </c>
      <c r="B346" s="98">
        <v>3</v>
      </c>
      <c r="C346" s="98" t="s">
        <v>219</v>
      </c>
      <c r="D346" s="315">
        <v>16183970</v>
      </c>
      <c r="E346" s="315">
        <v>-3064282</v>
      </c>
      <c r="F346" s="315">
        <v>-17365</v>
      </c>
      <c r="G346" s="315">
        <v>13102323</v>
      </c>
      <c r="H346" s="315">
        <v>3594251</v>
      </c>
      <c r="I346" s="315">
        <v>9508072</v>
      </c>
      <c r="J346" s="315">
        <v>9310232</v>
      </c>
      <c r="K346" s="315">
        <v>197840</v>
      </c>
      <c r="L346" s="315">
        <v>6875179</v>
      </c>
      <c r="M346" s="315">
        <v>6390908</v>
      </c>
      <c r="N346" s="315">
        <v>148078</v>
      </c>
      <c r="O346" s="315">
        <v>0</v>
      </c>
      <c r="P346" s="315">
        <v>148078</v>
      </c>
      <c r="Q346" s="315">
        <v>72248</v>
      </c>
      <c r="R346" s="315">
        <v>263945</v>
      </c>
      <c r="S346" s="315">
        <v>-247266</v>
      </c>
      <c r="T346" s="315">
        <v>-211744</v>
      </c>
      <c r="U346" s="315">
        <v>-121925</v>
      </c>
      <c r="V346" s="315">
        <v>-602</v>
      </c>
      <c r="W346" s="315">
        <v>0</v>
      </c>
      <c r="X346" s="315">
        <v>-35612</v>
      </c>
      <c r="Y346" s="315">
        <v>-53605</v>
      </c>
      <c r="Z346" s="315">
        <v>-21124</v>
      </c>
      <c r="AA346" s="315">
        <v>-14361</v>
      </c>
      <c r="AB346" s="315">
        <v>-37</v>
      </c>
      <c r="AC346" s="315">
        <v>-17365</v>
      </c>
      <c r="AD346" s="315">
        <v>6610548</v>
      </c>
      <c r="AE346" s="315">
        <v>1882345</v>
      </c>
      <c r="AF346" s="315">
        <v>4728203</v>
      </c>
      <c r="AG346" s="315">
        <v>4625791</v>
      </c>
      <c r="AH346" s="315">
        <v>102412</v>
      </c>
      <c r="AI346" s="315">
        <v>6380001</v>
      </c>
      <c r="AJ346" s="315">
        <v>2386257</v>
      </c>
      <c r="AK346" s="315">
        <v>3781035</v>
      </c>
      <c r="AL346" s="315">
        <v>28095</v>
      </c>
      <c r="AM346" s="315">
        <v>107677</v>
      </c>
      <c r="AN346" s="315">
        <v>50269</v>
      </c>
      <c r="AO346" s="315">
        <v>47191</v>
      </c>
      <c r="AP346" s="315">
        <v>28136</v>
      </c>
      <c r="AQ346" s="315">
        <v>27181</v>
      </c>
      <c r="AR346" s="315">
        <v>-63666</v>
      </c>
      <c r="AS346" s="315">
        <v>51124</v>
      </c>
      <c r="AT346" s="315">
        <v>0</v>
      </c>
      <c r="AU346" s="315">
        <v>-17365</v>
      </c>
      <c r="AV346" s="315">
        <v>290285</v>
      </c>
      <c r="AW346" s="315">
        <v>10076</v>
      </c>
      <c r="AX346" s="315">
        <v>127092</v>
      </c>
      <c r="AY346" s="315">
        <v>45777</v>
      </c>
      <c r="AZ346" s="315">
        <v>12293</v>
      </c>
      <c r="BA346" s="315">
        <v>15244</v>
      </c>
      <c r="BB346" s="315">
        <v>53778</v>
      </c>
      <c r="BC346" s="315">
        <v>68232</v>
      </c>
      <c r="BD346" s="315">
        <v>84885</v>
      </c>
      <c r="BE346" s="315">
        <v>-381391</v>
      </c>
      <c r="BF346" s="315">
        <v>-378502</v>
      </c>
      <c r="BG346" s="315">
        <v>-289574</v>
      </c>
      <c r="BH346" s="315">
        <v>-88928</v>
      </c>
      <c r="BI346" s="315">
        <v>0</v>
      </c>
      <c r="BJ346" s="315">
        <v>-183928</v>
      </c>
      <c r="BK346" s="315">
        <v>-194574</v>
      </c>
      <c r="BL346" s="315">
        <v>-2889</v>
      </c>
      <c r="BM346" s="315">
        <v>0</v>
      </c>
      <c r="BN346" s="315">
        <v>-91106</v>
      </c>
      <c r="BO346" s="315">
        <v>45224</v>
      </c>
      <c r="BP346" s="315">
        <v>18232</v>
      </c>
      <c r="BQ346" s="315">
        <v>20088</v>
      </c>
      <c r="BR346" s="315">
        <v>0</v>
      </c>
      <c r="BS346" s="315">
        <v>8524</v>
      </c>
      <c r="BT346" s="315">
        <v>401</v>
      </c>
      <c r="BU346" s="315">
        <v>49</v>
      </c>
      <c r="BV346" s="315">
        <v>1759</v>
      </c>
      <c r="BW346" s="315">
        <v>6315</v>
      </c>
      <c r="BX346" s="315">
        <v>-162482</v>
      </c>
      <c r="BY346" s="315">
        <v>-20696</v>
      </c>
      <c r="BZ346" s="315">
        <v>4</v>
      </c>
      <c r="CA346" s="315">
        <v>180494</v>
      </c>
      <c r="CB346" s="315">
        <v>-66540</v>
      </c>
      <c r="CC346" s="315">
        <v>-66540</v>
      </c>
      <c r="CD346" s="315">
        <v>0</v>
      </c>
      <c r="CE346" s="315">
        <v>113954</v>
      </c>
      <c r="CF346" s="315">
        <v>111486</v>
      </c>
      <c r="CG346" s="315">
        <v>4</v>
      </c>
      <c r="CH346" s="315">
        <v>2464</v>
      </c>
      <c r="CI346" s="315">
        <v>6608715</v>
      </c>
      <c r="CJ346" s="315">
        <v>1998704</v>
      </c>
      <c r="CK346" s="315">
        <v>4610011</v>
      </c>
      <c r="CL346" s="315">
        <v>4053344</v>
      </c>
      <c r="CM346" s="315">
        <v>157282</v>
      </c>
      <c r="CN346" s="315">
        <v>399385</v>
      </c>
      <c r="CO346" s="315">
        <v>0</v>
      </c>
      <c r="CP346" s="315">
        <v>11747</v>
      </c>
      <c r="CQ346" s="315">
        <v>387638</v>
      </c>
      <c r="CR346" s="315">
        <v>-2220863</v>
      </c>
      <c r="CS346" s="315">
        <v>-184355</v>
      </c>
      <c r="CT346" s="315">
        <v>-39556</v>
      </c>
      <c r="CU346" s="315">
        <v>-22317</v>
      </c>
      <c r="CV346" s="315">
        <v>-45</v>
      </c>
      <c r="CW346" s="315">
        <v>-122437</v>
      </c>
      <c r="CX346" s="315">
        <v>-1501153</v>
      </c>
      <c r="CY346" s="315">
        <v>-72903</v>
      </c>
      <c r="CZ346" s="315">
        <v>-1421278</v>
      </c>
      <c r="DA346" s="315">
        <v>-6972</v>
      </c>
      <c r="DB346" s="315">
        <v>-121707</v>
      </c>
      <c r="DC346" s="315">
        <v>-413648</v>
      </c>
      <c r="DD346" s="315">
        <v>4387852</v>
      </c>
      <c r="DE346" s="315">
        <v>796982</v>
      </c>
      <c r="DF346" s="315">
        <v>3590870</v>
      </c>
      <c r="DG346" s="315">
        <v>3515464</v>
      </c>
      <c r="DH346" s="315">
        <v>75406</v>
      </c>
      <c r="DI346" s="315">
        <v>1565262</v>
      </c>
      <c r="DJ346" s="315">
        <v>88212</v>
      </c>
      <c r="DK346" s="315">
        <v>27517</v>
      </c>
      <c r="DL346" s="315">
        <v>1397</v>
      </c>
      <c r="DM346" s="315">
        <v>937232</v>
      </c>
      <c r="DN346" s="315">
        <v>440901</v>
      </c>
      <c r="DO346" s="315">
        <v>15833</v>
      </c>
      <c r="DP346" s="315">
        <v>54072</v>
      </c>
      <c r="DQ346" s="315">
        <v>0</v>
      </c>
      <c r="DR346" s="315">
        <v>98</v>
      </c>
      <c r="DS346" s="315">
        <v>-65912</v>
      </c>
      <c r="DT346" s="315">
        <v>-1512</v>
      </c>
      <c r="DU346" s="315">
        <v>-1420</v>
      </c>
      <c r="DV346" s="315">
        <v>-49</v>
      </c>
      <c r="DW346" s="315">
        <v>-59709</v>
      </c>
      <c r="DX346" s="315">
        <v>-2058</v>
      </c>
      <c r="DY346" s="315">
        <v>-43283</v>
      </c>
      <c r="DZ346" s="315">
        <v>-14368</v>
      </c>
      <c r="EA346" s="315">
        <v>-2637</v>
      </c>
      <c r="EB346" s="315">
        <v>-154</v>
      </c>
      <c r="EC346" s="315">
        <v>-340</v>
      </c>
      <c r="ED346" s="315">
        <v>0</v>
      </c>
      <c r="EE346" s="315">
        <v>-91</v>
      </c>
      <c r="EF346" s="315">
        <v>1499350</v>
      </c>
      <c r="EG346" s="315">
        <v>310351</v>
      </c>
      <c r="EH346" s="315">
        <v>1188999</v>
      </c>
      <c r="EI346" s="315">
        <v>1168977</v>
      </c>
      <c r="EJ346" s="315">
        <v>20022</v>
      </c>
      <c r="EK346" s="315">
        <v>86700</v>
      </c>
      <c r="EL346" s="315">
        <v>38260</v>
      </c>
      <c r="EM346" s="315">
        <v>48440</v>
      </c>
      <c r="EN346" s="315">
        <v>47367</v>
      </c>
      <c r="EO346" s="315">
        <v>1073</v>
      </c>
      <c r="EP346" s="315">
        <v>26097</v>
      </c>
      <c r="EQ346" s="315">
        <v>8986</v>
      </c>
      <c r="ER346" s="315">
        <v>17111</v>
      </c>
      <c r="ES346" s="315">
        <v>16767</v>
      </c>
      <c r="ET346" s="315">
        <v>344</v>
      </c>
      <c r="EU346" s="315">
        <v>1348</v>
      </c>
      <c r="EV346" s="315">
        <v>-196</v>
      </c>
      <c r="EW346" s="315">
        <v>1544</v>
      </c>
      <c r="EX346" s="315">
        <v>1516</v>
      </c>
      <c r="EY346" s="315">
        <v>28</v>
      </c>
      <c r="EZ346" s="315">
        <v>877523</v>
      </c>
      <c r="FA346" s="315">
        <v>175547</v>
      </c>
      <c r="FB346" s="315">
        <v>701976</v>
      </c>
      <c r="FC346" s="315">
        <v>689797</v>
      </c>
      <c r="FD346" s="315">
        <v>12179</v>
      </c>
      <c r="FE346" s="315">
        <v>438264</v>
      </c>
      <c r="FF346" s="315">
        <v>129525</v>
      </c>
      <c r="FG346" s="315">
        <v>308739</v>
      </c>
      <c r="FH346" s="315">
        <v>302341</v>
      </c>
      <c r="FI346" s="315">
        <v>6398</v>
      </c>
      <c r="FJ346" s="315">
        <v>15679</v>
      </c>
      <c r="FK346" s="315">
        <v>-95510</v>
      </c>
      <c r="FL346" s="315">
        <v>111189</v>
      </c>
      <c r="FM346" s="315">
        <v>111189</v>
      </c>
      <c r="FN346" s="315" t="s">
        <v>619</v>
      </c>
      <c r="FO346" s="315">
        <v>53732</v>
      </c>
      <c r="FP346" s="315">
        <v>0</v>
      </c>
      <c r="FQ346" s="315">
        <v>7</v>
      </c>
      <c r="FR346" s="315">
        <v>664035</v>
      </c>
      <c r="FS346" s="315">
        <v>-82310</v>
      </c>
      <c r="FT346" s="315">
        <v>581725</v>
      </c>
      <c r="FU346" s="315">
        <v>-373</v>
      </c>
      <c r="FV346" s="315">
        <v>-1546</v>
      </c>
      <c r="FW346" s="315">
        <v>1173</v>
      </c>
      <c r="FX346" s="315">
        <v>229964</v>
      </c>
      <c r="FY346" s="315">
        <v>187378</v>
      </c>
      <c r="FZ346" s="315">
        <v>23268</v>
      </c>
      <c r="GA346" s="315">
        <v>9</v>
      </c>
      <c r="GB346" s="315">
        <v>193</v>
      </c>
      <c r="GC346" s="315">
        <v>59028</v>
      </c>
      <c r="GD346" s="315">
        <v>-29938</v>
      </c>
      <c r="GE346" s="315">
        <v>0</v>
      </c>
      <c r="GF346" s="315">
        <v>88966</v>
      </c>
      <c r="GG346" s="315">
        <v>82258</v>
      </c>
      <c r="GH346" s="315">
        <v>15466</v>
      </c>
      <c r="GI346" s="315">
        <v>704</v>
      </c>
      <c r="GJ346" s="315">
        <v>66088</v>
      </c>
      <c r="GL346"/>
      <c r="GM346"/>
      <c r="GN346"/>
      <c r="GO346"/>
    </row>
    <row r="347" spans="1:197">
      <c r="A347" s="98">
        <v>2023</v>
      </c>
      <c r="B347" s="98">
        <v>4</v>
      </c>
      <c r="C347" s="98" t="s">
        <v>220</v>
      </c>
      <c r="D347" s="99">
        <v>41554446</v>
      </c>
      <c r="E347" s="99">
        <v>-7008585</v>
      </c>
      <c r="F347" s="99">
        <v>-17365</v>
      </c>
      <c r="G347" s="99">
        <v>34528496</v>
      </c>
      <c r="H347" s="99">
        <v>25020424</v>
      </c>
      <c r="I347" s="99">
        <v>9508072</v>
      </c>
      <c r="J347" s="99">
        <v>9310234</v>
      </c>
      <c r="K347" s="99">
        <v>197838</v>
      </c>
      <c r="L347" s="99">
        <v>14271663</v>
      </c>
      <c r="M347" s="99">
        <v>12285073</v>
      </c>
      <c r="N347" s="99">
        <v>141665</v>
      </c>
      <c r="O347" s="99">
        <v>0</v>
      </c>
      <c r="P347" s="99">
        <v>141665</v>
      </c>
      <c r="Q347" s="99">
        <v>56976</v>
      </c>
      <c r="R347" s="99">
        <v>1787949</v>
      </c>
      <c r="S347" s="99">
        <v>-2380464</v>
      </c>
      <c r="T347" s="99">
        <v>-2355487</v>
      </c>
      <c r="U347" s="99">
        <v>-85402</v>
      </c>
      <c r="V347" s="99">
        <v>-162</v>
      </c>
      <c r="W347" s="99">
        <v>-2200647</v>
      </c>
      <c r="X347" s="99">
        <v>0</v>
      </c>
      <c r="Y347" s="99">
        <v>-69276</v>
      </c>
      <c r="Z347" s="99">
        <v>-7912</v>
      </c>
      <c r="AA347" s="99">
        <v>-16799</v>
      </c>
      <c r="AB347" s="99">
        <v>-266</v>
      </c>
      <c r="AC347" s="99">
        <v>-17365</v>
      </c>
      <c r="AD347" s="99">
        <v>11873834</v>
      </c>
      <c r="AE347" s="99">
        <v>7145634</v>
      </c>
      <c r="AF347" s="99">
        <v>4728200</v>
      </c>
      <c r="AG347" s="99">
        <v>4625790</v>
      </c>
      <c r="AH347" s="99">
        <v>102410</v>
      </c>
      <c r="AI347" s="99">
        <v>12273317</v>
      </c>
      <c r="AJ347" s="99">
        <v>2429149</v>
      </c>
      <c r="AK347" s="99">
        <v>4435247</v>
      </c>
      <c r="AL347" s="99">
        <v>5357609</v>
      </c>
      <c r="AM347" s="99">
        <v>380013</v>
      </c>
      <c r="AN347" s="99">
        <v>404512</v>
      </c>
      <c r="AO347" s="99">
        <v>44114</v>
      </c>
      <c r="AP347" s="99">
        <v>15918</v>
      </c>
      <c r="AQ347" s="99">
        <v>938083</v>
      </c>
      <c r="AR347" s="99">
        <v>-2213822</v>
      </c>
      <c r="AS347" s="99">
        <v>49064</v>
      </c>
      <c r="AT347" s="99">
        <v>0</v>
      </c>
      <c r="AU347" s="99">
        <v>-17365</v>
      </c>
      <c r="AV347" s="99">
        <v>9451204</v>
      </c>
      <c r="AW347" s="99">
        <v>8823369</v>
      </c>
      <c r="AX347" s="99">
        <v>123863</v>
      </c>
      <c r="AY347" s="99">
        <v>34777</v>
      </c>
      <c r="AZ347" s="99">
        <v>46172</v>
      </c>
      <c r="BA347" s="99">
        <v>22630</v>
      </c>
      <c r="BB347" s="99">
        <v>20284</v>
      </c>
      <c r="BC347" s="99">
        <v>151987</v>
      </c>
      <c r="BD347" s="99">
        <v>351985</v>
      </c>
      <c r="BE347" s="99">
        <v>-188200</v>
      </c>
      <c r="BF347" s="99">
        <v>-185337</v>
      </c>
      <c r="BG347" s="99">
        <v>-81645</v>
      </c>
      <c r="BH347" s="99">
        <v>-103692</v>
      </c>
      <c r="BI347" s="99">
        <v>0</v>
      </c>
      <c r="BJ347" s="99">
        <v>-51828</v>
      </c>
      <c r="BK347" s="99">
        <v>-133509</v>
      </c>
      <c r="BL347" s="99">
        <v>-2863</v>
      </c>
      <c r="BM347" s="99">
        <v>0</v>
      </c>
      <c r="BN347" s="99">
        <v>9263004</v>
      </c>
      <c r="BO347" s="99">
        <v>161429</v>
      </c>
      <c r="BP347" s="99">
        <v>169686</v>
      </c>
      <c r="BQ347" s="99">
        <v>18775</v>
      </c>
      <c r="BR347" s="99">
        <v>0</v>
      </c>
      <c r="BS347" s="99">
        <v>8822600</v>
      </c>
      <c r="BT347" s="99">
        <v>2772692</v>
      </c>
      <c r="BU347" s="99">
        <v>4774098</v>
      </c>
      <c r="BV347" s="99">
        <v>1263733</v>
      </c>
      <c r="BW347" s="99">
        <v>12077</v>
      </c>
      <c r="BX347" s="99">
        <v>42218</v>
      </c>
      <c r="BY347" s="99">
        <v>48295</v>
      </c>
      <c r="BZ347" s="99">
        <v>1</v>
      </c>
      <c r="CA347" s="99">
        <v>351558</v>
      </c>
      <c r="CB347" s="99">
        <v>-94079</v>
      </c>
      <c r="CC347" s="99">
        <v>-94079</v>
      </c>
      <c r="CD347" s="99">
        <v>0</v>
      </c>
      <c r="CE347" s="99">
        <v>257479</v>
      </c>
      <c r="CF347" s="99">
        <v>237428</v>
      </c>
      <c r="CG347" s="99">
        <v>24327</v>
      </c>
      <c r="CH347" s="99">
        <v>-4276</v>
      </c>
      <c r="CI347" s="99">
        <v>14237936</v>
      </c>
      <c r="CJ347" s="99">
        <v>1966736</v>
      </c>
      <c r="CK347" s="99">
        <v>12271200</v>
      </c>
      <c r="CL347" s="99">
        <v>4141279</v>
      </c>
      <c r="CM347" s="99">
        <v>7505003</v>
      </c>
      <c r="CN347" s="99">
        <v>624918</v>
      </c>
      <c r="CO347" s="99">
        <v>43429</v>
      </c>
      <c r="CP347" s="99">
        <v>0</v>
      </c>
      <c r="CQ347" s="99">
        <v>581489</v>
      </c>
      <c r="CR347" s="99">
        <v>-4126925</v>
      </c>
      <c r="CS347" s="99">
        <v>-801603</v>
      </c>
      <c r="CT347" s="99">
        <v>-656235</v>
      </c>
      <c r="CU347" s="99">
        <v>-19057</v>
      </c>
      <c r="CV347" s="99">
        <v>-213</v>
      </c>
      <c r="CW347" s="99">
        <v>-126098</v>
      </c>
      <c r="CX347" s="99">
        <v>-2522547</v>
      </c>
      <c r="CY347" s="99">
        <v>-851097</v>
      </c>
      <c r="CZ347" s="99">
        <v>-1668981</v>
      </c>
      <c r="DA347" s="99">
        <v>-2469</v>
      </c>
      <c r="DB347" s="99">
        <v>-802775</v>
      </c>
      <c r="DC347" s="99">
        <v>0</v>
      </c>
      <c r="DD347" s="99">
        <v>10111011</v>
      </c>
      <c r="DE347" s="99">
        <v>6520141</v>
      </c>
      <c r="DF347" s="99">
        <v>3590870</v>
      </c>
      <c r="DG347" s="99">
        <v>3515465</v>
      </c>
      <c r="DH347" s="99">
        <v>75405</v>
      </c>
      <c r="DI347" s="99">
        <v>2158208</v>
      </c>
      <c r="DJ347" s="99">
        <v>47218</v>
      </c>
      <c r="DK347" s="99">
        <v>23923</v>
      </c>
      <c r="DL347" s="99">
        <v>806</v>
      </c>
      <c r="DM347" s="99">
        <v>1396855</v>
      </c>
      <c r="DN347" s="99">
        <v>593132</v>
      </c>
      <c r="DO347" s="99">
        <v>17845</v>
      </c>
      <c r="DP347" s="99">
        <v>71121</v>
      </c>
      <c r="DQ347" s="99">
        <v>7155</v>
      </c>
      <c r="DR347" s="99">
        <v>153</v>
      </c>
      <c r="DS347" s="99">
        <v>-125627</v>
      </c>
      <c r="DT347" s="99">
        <v>-58493</v>
      </c>
      <c r="DU347" s="99">
        <v>-15801</v>
      </c>
      <c r="DV347" s="99">
        <v>-21</v>
      </c>
      <c r="DW347" s="99">
        <v>-35206</v>
      </c>
      <c r="DX347" s="99">
        <v>-6288</v>
      </c>
      <c r="DY347" s="99">
        <v>-27843</v>
      </c>
      <c r="DZ347" s="99">
        <v>-1075</v>
      </c>
      <c r="EA347" s="99">
        <v>-15178</v>
      </c>
      <c r="EB347" s="99">
        <v>-211</v>
      </c>
      <c r="EC347" s="99">
        <v>-671</v>
      </c>
      <c r="ED347" s="99">
        <v>-34</v>
      </c>
      <c r="EE347" s="99">
        <v>-12</v>
      </c>
      <c r="EF347" s="99">
        <v>2032581</v>
      </c>
      <c r="EG347" s="99">
        <v>843579</v>
      </c>
      <c r="EH347" s="99">
        <v>1189002</v>
      </c>
      <c r="EI347" s="99">
        <v>1168979</v>
      </c>
      <c r="EJ347" s="99">
        <v>20023</v>
      </c>
      <c r="EK347" s="99">
        <v>-11275</v>
      </c>
      <c r="EL347" s="99">
        <v>-59713</v>
      </c>
      <c r="EM347" s="99">
        <v>48438</v>
      </c>
      <c r="EN347" s="99">
        <v>47367</v>
      </c>
      <c r="EO347" s="99">
        <v>1071</v>
      </c>
      <c r="EP347" s="99">
        <v>8122</v>
      </c>
      <c r="EQ347" s="99">
        <v>-8990</v>
      </c>
      <c r="ER347" s="99">
        <v>17112</v>
      </c>
      <c r="ES347" s="99">
        <v>16768</v>
      </c>
      <c r="ET347" s="99">
        <v>344</v>
      </c>
      <c r="EU347" s="99">
        <v>785</v>
      </c>
      <c r="EV347" s="99">
        <v>-761</v>
      </c>
      <c r="EW347" s="99">
        <v>1546</v>
      </c>
      <c r="EX347" s="99">
        <v>1516</v>
      </c>
      <c r="EY347" s="99">
        <v>30</v>
      </c>
      <c r="EZ347" s="99">
        <v>1361649</v>
      </c>
      <c r="FA347" s="99">
        <v>659672</v>
      </c>
      <c r="FB347" s="99">
        <v>701977</v>
      </c>
      <c r="FC347" s="99">
        <v>689797</v>
      </c>
      <c r="FD347" s="99">
        <v>12180</v>
      </c>
      <c r="FE347" s="99">
        <v>577954</v>
      </c>
      <c r="FF347" s="99">
        <v>269214</v>
      </c>
      <c r="FG347" s="99">
        <v>308740</v>
      </c>
      <c r="FH347" s="99">
        <v>302342</v>
      </c>
      <c r="FI347" s="99">
        <v>6398</v>
      </c>
      <c r="FJ347" s="99">
        <v>17634</v>
      </c>
      <c r="FK347" s="99">
        <v>-93555</v>
      </c>
      <c r="FL347" s="99">
        <v>111189</v>
      </c>
      <c r="FM347" s="99">
        <v>111189</v>
      </c>
      <c r="FN347" s="99" t="s">
        <v>619</v>
      </c>
      <c r="FO347" s="99">
        <v>70450</v>
      </c>
      <c r="FP347" s="99">
        <v>7121</v>
      </c>
      <c r="FQ347" s="99">
        <v>141</v>
      </c>
      <c r="FR347" s="99">
        <v>1083877</v>
      </c>
      <c r="FS347" s="99">
        <v>-93290</v>
      </c>
      <c r="FT347" s="99">
        <v>990587</v>
      </c>
      <c r="FU347" s="99">
        <v>23440</v>
      </c>
      <c r="FV347" s="99">
        <v>-784</v>
      </c>
      <c r="FW347" s="99">
        <v>24224</v>
      </c>
      <c r="FX347" s="99">
        <v>205562</v>
      </c>
      <c r="FY347" s="99">
        <v>208319</v>
      </c>
      <c r="FZ347" s="99">
        <v>29474</v>
      </c>
      <c r="GA347" s="99">
        <v>6098</v>
      </c>
      <c r="GB347" s="99">
        <v>85</v>
      </c>
      <c r="GC347" s="99">
        <v>418524</v>
      </c>
      <c r="GD347" s="99">
        <v>360181</v>
      </c>
      <c r="GE347" s="99">
        <v>0</v>
      </c>
      <c r="GF347" s="99">
        <v>58343</v>
      </c>
      <c r="GG347" s="99">
        <v>99085</v>
      </c>
      <c r="GH347" s="99">
        <v>12246</v>
      </c>
      <c r="GI347" s="99">
        <v>837</v>
      </c>
      <c r="GJ347" s="99">
        <v>86002</v>
      </c>
      <c r="GL347"/>
      <c r="GM347"/>
      <c r="GN347"/>
      <c r="GO347"/>
    </row>
    <row r="348" spans="1:197">
      <c r="A348" s="98">
        <v>2023</v>
      </c>
      <c r="B348" s="98">
        <v>5</v>
      </c>
      <c r="C348" s="98" t="s">
        <v>221</v>
      </c>
      <c r="D348" s="99">
        <v>18173389</v>
      </c>
      <c r="E348" s="99">
        <v>-7636035</v>
      </c>
      <c r="F348" s="99">
        <v>-17364</v>
      </c>
      <c r="G348" s="99">
        <v>10519990</v>
      </c>
      <c r="H348" s="99">
        <v>1011918</v>
      </c>
      <c r="I348" s="99">
        <v>9508072</v>
      </c>
      <c r="J348" s="99">
        <v>9310233</v>
      </c>
      <c r="K348" s="99">
        <v>197839</v>
      </c>
      <c r="L348" s="99">
        <v>7033423</v>
      </c>
      <c r="M348" s="99">
        <v>6310714</v>
      </c>
      <c r="N348" s="99">
        <v>182245</v>
      </c>
      <c r="O348" s="99">
        <v>40768</v>
      </c>
      <c r="P348" s="99">
        <v>141477</v>
      </c>
      <c r="Q348" s="99">
        <v>82074</v>
      </c>
      <c r="R348" s="99">
        <v>458390</v>
      </c>
      <c r="S348" s="99">
        <v>-2521505</v>
      </c>
      <c r="T348" s="99">
        <v>-2483039</v>
      </c>
      <c r="U348" s="99">
        <v>-86107</v>
      </c>
      <c r="V348" s="99">
        <v>-82</v>
      </c>
      <c r="W348" s="99">
        <v>-2349384</v>
      </c>
      <c r="X348" s="99">
        <v>0</v>
      </c>
      <c r="Y348" s="99">
        <v>-47466</v>
      </c>
      <c r="Z348" s="99">
        <v>-26690</v>
      </c>
      <c r="AA348" s="99">
        <v>-11776</v>
      </c>
      <c r="AB348" s="99">
        <v>0</v>
      </c>
      <c r="AC348" s="99">
        <v>-17364</v>
      </c>
      <c r="AD348" s="99">
        <v>4494554</v>
      </c>
      <c r="AE348" s="99">
        <v>-233648</v>
      </c>
      <c r="AF348" s="99">
        <v>4728202</v>
      </c>
      <c r="AG348" s="99">
        <v>4625791</v>
      </c>
      <c r="AH348" s="99">
        <v>102411</v>
      </c>
      <c r="AI348" s="99">
        <v>6300557</v>
      </c>
      <c r="AJ348" s="99">
        <v>2438788</v>
      </c>
      <c r="AK348" s="99">
        <v>3752255</v>
      </c>
      <c r="AL348" s="99">
        <v>63712</v>
      </c>
      <c r="AM348" s="99">
        <v>301440</v>
      </c>
      <c r="AN348" s="99">
        <v>60062</v>
      </c>
      <c r="AO348" s="99">
        <v>30905</v>
      </c>
      <c r="AP348" s="99">
        <v>11030</v>
      </c>
      <c r="AQ348" s="99">
        <v>53334</v>
      </c>
      <c r="AR348" s="99">
        <v>-2300794</v>
      </c>
      <c r="AS348" s="99">
        <v>55384</v>
      </c>
      <c r="AT348" s="99">
        <v>0</v>
      </c>
      <c r="AU348" s="99">
        <v>-17364</v>
      </c>
      <c r="AV348" s="99">
        <v>498219</v>
      </c>
      <c r="AW348" s="99">
        <v>44057</v>
      </c>
      <c r="AX348" s="99">
        <v>73036</v>
      </c>
      <c r="AY348" s="99">
        <v>14362</v>
      </c>
      <c r="AZ348" s="99">
        <v>7748</v>
      </c>
      <c r="BA348" s="99">
        <v>31266</v>
      </c>
      <c r="BB348" s="99">
        <v>19660</v>
      </c>
      <c r="BC348" s="99">
        <v>217668</v>
      </c>
      <c r="BD348" s="99">
        <v>163458</v>
      </c>
      <c r="BE348" s="99">
        <v>-1149813</v>
      </c>
      <c r="BF348" s="99">
        <v>-1146736</v>
      </c>
      <c r="BG348" s="99">
        <v>-82194</v>
      </c>
      <c r="BH348" s="99">
        <v>-1064542</v>
      </c>
      <c r="BI348" s="99">
        <v>0</v>
      </c>
      <c r="BJ348" s="99">
        <v>-46454</v>
      </c>
      <c r="BK348" s="99">
        <v>-1100282</v>
      </c>
      <c r="BL348" s="99">
        <v>-3077</v>
      </c>
      <c r="BM348" s="99">
        <v>0</v>
      </c>
      <c r="BN348" s="99">
        <v>-651594</v>
      </c>
      <c r="BO348" s="99">
        <v>127930</v>
      </c>
      <c r="BP348" s="99">
        <v>21549</v>
      </c>
      <c r="BQ348" s="99">
        <v>13078</v>
      </c>
      <c r="BR348" s="99">
        <v>284</v>
      </c>
      <c r="BS348" s="99">
        <v>41530</v>
      </c>
      <c r="BT348" s="99">
        <v>11496</v>
      </c>
      <c r="BU348" s="99">
        <v>2559</v>
      </c>
      <c r="BV348" s="99">
        <v>11603</v>
      </c>
      <c r="BW348" s="99">
        <v>15872</v>
      </c>
      <c r="BX348" s="99">
        <v>-9158</v>
      </c>
      <c r="BY348" s="99">
        <v>-846874</v>
      </c>
      <c r="BZ348" s="99">
        <v>67</v>
      </c>
      <c r="CA348" s="99">
        <v>416839</v>
      </c>
      <c r="CB348" s="99">
        <v>-52181</v>
      </c>
      <c r="CC348" s="99">
        <v>-52181</v>
      </c>
      <c r="CD348" s="99">
        <v>0</v>
      </c>
      <c r="CE348" s="99">
        <v>364658</v>
      </c>
      <c r="CF348" s="99">
        <v>319382</v>
      </c>
      <c r="CG348" s="99">
        <v>116</v>
      </c>
      <c r="CH348" s="99">
        <v>45160</v>
      </c>
      <c r="CI348" s="99">
        <v>7859719</v>
      </c>
      <c r="CJ348" s="99">
        <v>2129956</v>
      </c>
      <c r="CK348" s="99">
        <v>5729763</v>
      </c>
      <c r="CL348" s="99">
        <v>4722235</v>
      </c>
      <c r="CM348" s="99">
        <v>474681</v>
      </c>
      <c r="CN348" s="99">
        <v>532847</v>
      </c>
      <c r="CO348" s="99">
        <v>0</v>
      </c>
      <c r="CP348" s="99">
        <v>0</v>
      </c>
      <c r="CQ348" s="99">
        <v>532847</v>
      </c>
      <c r="CR348" s="99">
        <v>-3766498</v>
      </c>
      <c r="CS348" s="99">
        <v>-1617037</v>
      </c>
      <c r="CT348" s="99">
        <v>-1432419</v>
      </c>
      <c r="CU348" s="99">
        <v>-8126</v>
      </c>
      <c r="CV348" s="99">
        <v>-421</v>
      </c>
      <c r="CW348" s="99">
        <v>-176071</v>
      </c>
      <c r="CX348" s="99">
        <v>-2149461</v>
      </c>
      <c r="CY348" s="99">
        <v>-1496088</v>
      </c>
      <c r="CZ348" s="99">
        <v>-649479</v>
      </c>
      <c r="DA348" s="99">
        <v>-3894</v>
      </c>
      <c r="DB348" s="99">
        <v>0</v>
      </c>
      <c r="DC348" s="99">
        <v>0</v>
      </c>
      <c r="DD348" s="99">
        <v>4093221</v>
      </c>
      <c r="DE348" s="99">
        <v>502352</v>
      </c>
      <c r="DF348" s="99">
        <v>3590869</v>
      </c>
      <c r="DG348" s="99">
        <v>3515464</v>
      </c>
      <c r="DH348" s="99">
        <v>75405</v>
      </c>
      <c r="DI348" s="99">
        <v>1659534</v>
      </c>
      <c r="DJ348" s="99">
        <v>81976</v>
      </c>
      <c r="DK348" s="99">
        <v>25051</v>
      </c>
      <c r="DL348" s="99">
        <v>2841</v>
      </c>
      <c r="DM348" s="99">
        <v>958693</v>
      </c>
      <c r="DN348" s="99">
        <v>520343</v>
      </c>
      <c r="DO348" s="99">
        <v>13983</v>
      </c>
      <c r="DP348" s="99">
        <v>55507</v>
      </c>
      <c r="DQ348" s="99">
        <v>1019</v>
      </c>
      <c r="DR348" s="99">
        <v>121</v>
      </c>
      <c r="DS348" s="99">
        <v>-55692</v>
      </c>
      <c r="DT348" s="99">
        <v>-7454</v>
      </c>
      <c r="DU348" s="99">
        <v>-279</v>
      </c>
      <c r="DV348" s="99">
        <v>-30</v>
      </c>
      <c r="DW348" s="99">
        <v>-46350</v>
      </c>
      <c r="DX348" s="99">
        <v>-16857</v>
      </c>
      <c r="DY348" s="99">
        <v>-27257</v>
      </c>
      <c r="DZ348" s="99">
        <v>-2236</v>
      </c>
      <c r="EA348" s="99">
        <v>-6</v>
      </c>
      <c r="EB348" s="99">
        <v>-742</v>
      </c>
      <c r="EC348" s="99">
        <v>-811</v>
      </c>
      <c r="ED348" s="99">
        <v>0</v>
      </c>
      <c r="EE348" s="99">
        <v>-20</v>
      </c>
      <c r="EF348" s="99">
        <v>1603842</v>
      </c>
      <c r="EG348" s="99">
        <v>414841</v>
      </c>
      <c r="EH348" s="99">
        <v>1189001</v>
      </c>
      <c r="EI348" s="99">
        <v>1168978</v>
      </c>
      <c r="EJ348" s="99">
        <v>20023</v>
      </c>
      <c r="EK348" s="99">
        <v>74522</v>
      </c>
      <c r="EL348" s="99">
        <v>26084</v>
      </c>
      <c r="EM348" s="99">
        <v>48438</v>
      </c>
      <c r="EN348" s="99">
        <v>47366</v>
      </c>
      <c r="EO348" s="99">
        <v>1072</v>
      </c>
      <c r="EP348" s="99">
        <v>24772</v>
      </c>
      <c r="EQ348" s="99">
        <v>7659</v>
      </c>
      <c r="ER348" s="99">
        <v>17113</v>
      </c>
      <c r="ES348" s="99">
        <v>16768</v>
      </c>
      <c r="ET348" s="99">
        <v>345</v>
      </c>
      <c r="EU348" s="99">
        <v>2811</v>
      </c>
      <c r="EV348" s="99">
        <v>1265</v>
      </c>
      <c r="EW348" s="99">
        <v>1546</v>
      </c>
      <c r="EX348" s="99">
        <v>1516</v>
      </c>
      <c r="EY348" s="99">
        <v>30</v>
      </c>
      <c r="EZ348" s="99">
        <v>912343</v>
      </c>
      <c r="FA348" s="99">
        <v>210369</v>
      </c>
      <c r="FB348" s="99">
        <v>701974</v>
      </c>
      <c r="FC348" s="99">
        <v>689797</v>
      </c>
      <c r="FD348" s="99">
        <v>12177</v>
      </c>
      <c r="FE348" s="99">
        <v>520337</v>
      </c>
      <c r="FF348" s="99">
        <v>211597</v>
      </c>
      <c r="FG348" s="99">
        <v>308740</v>
      </c>
      <c r="FH348" s="99">
        <v>302341</v>
      </c>
      <c r="FI348" s="99">
        <v>6399</v>
      </c>
      <c r="FJ348" s="99">
        <v>13241</v>
      </c>
      <c r="FK348" s="99">
        <v>-97949</v>
      </c>
      <c r="FL348" s="99">
        <v>111190</v>
      </c>
      <c r="FM348" s="99">
        <v>111190</v>
      </c>
      <c r="FN348" s="99" t="s">
        <v>619</v>
      </c>
      <c r="FO348" s="99">
        <v>54696</v>
      </c>
      <c r="FP348" s="99">
        <v>1019</v>
      </c>
      <c r="FQ348" s="99">
        <v>101</v>
      </c>
      <c r="FR348" s="99">
        <v>705655</v>
      </c>
      <c r="FS348" s="99">
        <v>-90346</v>
      </c>
      <c r="FT348" s="99">
        <v>615309</v>
      </c>
      <c r="FU348" s="99">
        <v>-6077</v>
      </c>
      <c r="FV348" s="99">
        <v>-8383</v>
      </c>
      <c r="FW348" s="99">
        <v>2306</v>
      </c>
      <c r="FX348" s="99">
        <v>192480</v>
      </c>
      <c r="FY348" s="99">
        <v>186745</v>
      </c>
      <c r="FZ348" s="99">
        <v>23678</v>
      </c>
      <c r="GA348" s="99">
        <v>63422</v>
      </c>
      <c r="GB348" s="99">
        <v>12407</v>
      </c>
      <c r="GC348" s="99">
        <v>31996</v>
      </c>
      <c r="GD348" s="99">
        <v>-26887</v>
      </c>
      <c r="GE348" s="99">
        <v>4702</v>
      </c>
      <c r="GF348" s="99">
        <v>54181</v>
      </c>
      <c r="GG348" s="99">
        <v>110658</v>
      </c>
      <c r="GH348" s="99">
        <v>20755</v>
      </c>
      <c r="GI348" s="99">
        <v>3580</v>
      </c>
      <c r="GJ348" s="99">
        <v>86323</v>
      </c>
      <c r="GL348"/>
      <c r="GM348"/>
      <c r="GN348"/>
      <c r="GO348"/>
    </row>
    <row r="349" spans="1:197">
      <c r="A349" s="98">
        <v>2023</v>
      </c>
      <c r="B349" s="98">
        <v>6</v>
      </c>
      <c r="C349" s="98" t="s">
        <v>222</v>
      </c>
      <c r="D349" s="99">
        <v>17579987</v>
      </c>
      <c r="E349" s="99">
        <v>-7718346</v>
      </c>
      <c r="F349" s="99">
        <v>-17658</v>
      </c>
      <c r="G349" s="99">
        <v>9843983</v>
      </c>
      <c r="H349" s="99">
        <v>335911</v>
      </c>
      <c r="I349" s="99">
        <v>9508072</v>
      </c>
      <c r="J349" s="99">
        <v>9310232</v>
      </c>
      <c r="K349" s="99">
        <v>197840</v>
      </c>
      <c r="L349" s="99">
        <v>7234110</v>
      </c>
      <c r="M349" s="99">
        <v>6462022</v>
      </c>
      <c r="N349" s="99">
        <v>240285</v>
      </c>
      <c r="O349" s="99">
        <v>80453</v>
      </c>
      <c r="P349" s="99">
        <v>159832</v>
      </c>
      <c r="Q349" s="99">
        <v>73999</v>
      </c>
      <c r="R349" s="99">
        <v>457804</v>
      </c>
      <c r="S349" s="99">
        <v>-3390999</v>
      </c>
      <c r="T349" s="99">
        <v>-3352825</v>
      </c>
      <c r="U349" s="99">
        <v>-86201</v>
      </c>
      <c r="V349" s="99">
        <v>-54</v>
      </c>
      <c r="W349" s="99">
        <v>-3205138</v>
      </c>
      <c r="X349" s="99">
        <v>0</v>
      </c>
      <c r="Y349" s="99">
        <v>-61432</v>
      </c>
      <c r="Z349" s="99">
        <v>-12849</v>
      </c>
      <c r="AA349" s="99">
        <v>-25325</v>
      </c>
      <c r="AB349" s="99">
        <v>0</v>
      </c>
      <c r="AC349" s="99">
        <v>-17658</v>
      </c>
      <c r="AD349" s="99">
        <v>3825453</v>
      </c>
      <c r="AE349" s="99">
        <v>-902747</v>
      </c>
      <c r="AF349" s="99">
        <v>4728200</v>
      </c>
      <c r="AG349" s="99">
        <v>4625790</v>
      </c>
      <c r="AH349" s="99">
        <v>102410</v>
      </c>
      <c r="AI349" s="99">
        <v>6443001</v>
      </c>
      <c r="AJ349" s="99">
        <v>2842642</v>
      </c>
      <c r="AK349" s="99">
        <v>3508943</v>
      </c>
      <c r="AL349" s="99">
        <v>57501</v>
      </c>
      <c r="AM349" s="99">
        <v>293910</v>
      </c>
      <c r="AN349" s="99">
        <v>52998</v>
      </c>
      <c r="AO349" s="99">
        <v>34715</v>
      </c>
      <c r="AP349" s="99">
        <v>15051</v>
      </c>
      <c r="AQ349" s="99">
        <v>54826</v>
      </c>
      <c r="AR349" s="99">
        <v>-3112540</v>
      </c>
      <c r="AS349" s="99">
        <v>61150</v>
      </c>
      <c r="AT349" s="99">
        <v>0</v>
      </c>
      <c r="AU349" s="99">
        <v>-17658</v>
      </c>
      <c r="AV349" s="99">
        <v>406931</v>
      </c>
      <c r="AW349" s="99">
        <v>67334</v>
      </c>
      <c r="AX349" s="99">
        <v>57976</v>
      </c>
      <c r="AY349" s="99">
        <v>16280</v>
      </c>
      <c r="AZ349" s="99">
        <v>9567</v>
      </c>
      <c r="BA349" s="99">
        <v>13512</v>
      </c>
      <c r="BB349" s="99">
        <v>18617</v>
      </c>
      <c r="BC349" s="99">
        <v>124071</v>
      </c>
      <c r="BD349" s="99">
        <v>157550</v>
      </c>
      <c r="BE349" s="99">
        <v>-110647</v>
      </c>
      <c r="BF349" s="99">
        <v>-105955</v>
      </c>
      <c r="BG349" s="99">
        <v>-77655</v>
      </c>
      <c r="BH349" s="99">
        <v>-28300</v>
      </c>
      <c r="BI349" s="99">
        <v>0</v>
      </c>
      <c r="BJ349" s="99">
        <v>-50825</v>
      </c>
      <c r="BK349" s="99">
        <v>-55130</v>
      </c>
      <c r="BL349" s="99">
        <v>-4692</v>
      </c>
      <c r="BM349" s="99">
        <v>0</v>
      </c>
      <c r="BN349" s="99">
        <v>296284</v>
      </c>
      <c r="BO349" s="99">
        <v>121598</v>
      </c>
      <c r="BP349" s="99">
        <v>18605</v>
      </c>
      <c r="BQ349" s="99">
        <v>14781</v>
      </c>
      <c r="BR349" s="99">
        <v>0</v>
      </c>
      <c r="BS349" s="99">
        <v>65208</v>
      </c>
      <c r="BT349" s="99">
        <v>11873</v>
      </c>
      <c r="BU349" s="99">
        <v>41267</v>
      </c>
      <c r="BV349" s="99">
        <v>1745</v>
      </c>
      <c r="BW349" s="99">
        <v>10323</v>
      </c>
      <c r="BX349" s="99">
        <v>-19679</v>
      </c>
      <c r="BY349" s="99">
        <v>95771</v>
      </c>
      <c r="BZ349" s="99">
        <v>0</v>
      </c>
      <c r="CA349" s="99">
        <v>379477</v>
      </c>
      <c r="CB349" s="99">
        <v>-114173</v>
      </c>
      <c r="CC349" s="99">
        <v>-114173</v>
      </c>
      <c r="CD349" s="99">
        <v>0</v>
      </c>
      <c r="CE349" s="99">
        <v>265304</v>
      </c>
      <c r="CF349" s="99">
        <v>290955</v>
      </c>
      <c r="CG349" s="99">
        <v>68</v>
      </c>
      <c r="CH349" s="99">
        <v>-25719</v>
      </c>
      <c r="CI349" s="99">
        <v>6933809</v>
      </c>
      <c r="CJ349" s="99">
        <v>1907882</v>
      </c>
      <c r="CK349" s="99">
        <v>5025927</v>
      </c>
      <c r="CL349" s="99">
        <v>4288543</v>
      </c>
      <c r="CM349" s="99">
        <v>151915</v>
      </c>
      <c r="CN349" s="99">
        <v>585469</v>
      </c>
      <c r="CO349" s="99">
        <v>0</v>
      </c>
      <c r="CP349" s="99">
        <v>0</v>
      </c>
      <c r="CQ349" s="99">
        <v>585469</v>
      </c>
      <c r="CR349" s="99">
        <v>-3954406</v>
      </c>
      <c r="CS349" s="99">
        <v>-1085295</v>
      </c>
      <c r="CT349" s="99">
        <v>-927169</v>
      </c>
      <c r="CU349" s="99">
        <v>-7714</v>
      </c>
      <c r="CV349" s="99">
        <v>-105</v>
      </c>
      <c r="CW349" s="99">
        <v>-150307</v>
      </c>
      <c r="CX349" s="99">
        <v>-2622676</v>
      </c>
      <c r="CY349" s="99">
        <v>-2038229</v>
      </c>
      <c r="CZ349" s="99">
        <v>-580611</v>
      </c>
      <c r="DA349" s="99">
        <v>-3836</v>
      </c>
      <c r="DB349" s="99">
        <v>0</v>
      </c>
      <c r="DC349" s="99">
        <v>-246435</v>
      </c>
      <c r="DD349" s="99">
        <v>2979403</v>
      </c>
      <c r="DE349" s="99">
        <v>-611467</v>
      </c>
      <c r="DF349" s="99">
        <v>3590870</v>
      </c>
      <c r="DG349" s="99">
        <v>3515464</v>
      </c>
      <c r="DH349" s="99">
        <v>75406</v>
      </c>
      <c r="DI349" s="99">
        <v>1827875</v>
      </c>
      <c r="DJ349" s="99">
        <v>68659</v>
      </c>
      <c r="DK349" s="99">
        <v>30226</v>
      </c>
      <c r="DL349" s="99">
        <v>1334</v>
      </c>
      <c r="DM349" s="99">
        <v>1024100</v>
      </c>
      <c r="DN349" s="99">
        <v>627649</v>
      </c>
      <c r="DO349" s="99">
        <v>14022</v>
      </c>
      <c r="DP349" s="99">
        <v>61272</v>
      </c>
      <c r="DQ349" s="99">
        <v>525</v>
      </c>
      <c r="DR349" s="99">
        <v>88</v>
      </c>
      <c r="DS349" s="99">
        <v>-81580</v>
      </c>
      <c r="DT349" s="99">
        <v>-672</v>
      </c>
      <c r="DU349" s="99">
        <v>-1553</v>
      </c>
      <c r="DV349" s="99">
        <v>-44</v>
      </c>
      <c r="DW349" s="99">
        <v>-70235</v>
      </c>
      <c r="DX349" s="99">
        <v>-14482</v>
      </c>
      <c r="DY349" s="99">
        <v>-31686</v>
      </c>
      <c r="DZ349" s="99">
        <v>-24067</v>
      </c>
      <c r="EA349" s="99">
        <v>-4702</v>
      </c>
      <c r="EB349" s="99">
        <v>-1040</v>
      </c>
      <c r="EC349" s="99">
        <v>-3173</v>
      </c>
      <c r="ED349" s="99">
        <v>0</v>
      </c>
      <c r="EE349" s="99">
        <v>-161</v>
      </c>
      <c r="EF349" s="99">
        <v>1746295</v>
      </c>
      <c r="EG349" s="99">
        <v>557293</v>
      </c>
      <c r="EH349" s="99">
        <v>1189002</v>
      </c>
      <c r="EI349" s="99">
        <v>1168978</v>
      </c>
      <c r="EJ349" s="99">
        <v>20024</v>
      </c>
      <c r="EK349" s="99">
        <v>67987</v>
      </c>
      <c r="EL349" s="99">
        <v>19549</v>
      </c>
      <c r="EM349" s="99">
        <v>48438</v>
      </c>
      <c r="EN349" s="99">
        <v>47367</v>
      </c>
      <c r="EO349" s="99">
        <v>1071</v>
      </c>
      <c r="EP349" s="99">
        <v>28673</v>
      </c>
      <c r="EQ349" s="99">
        <v>11561</v>
      </c>
      <c r="ER349" s="99">
        <v>17112</v>
      </c>
      <c r="ES349" s="99">
        <v>16768</v>
      </c>
      <c r="ET349" s="99">
        <v>344</v>
      </c>
      <c r="EU349" s="99">
        <v>1290</v>
      </c>
      <c r="EV349" s="99">
        <v>-255</v>
      </c>
      <c r="EW349" s="99">
        <v>1545</v>
      </c>
      <c r="EX349" s="99">
        <v>1515</v>
      </c>
      <c r="EY349" s="99">
        <v>30</v>
      </c>
      <c r="EZ349" s="99">
        <v>953865</v>
      </c>
      <c r="FA349" s="99">
        <v>251888</v>
      </c>
      <c r="FB349" s="99">
        <v>701977</v>
      </c>
      <c r="FC349" s="99">
        <v>689797</v>
      </c>
      <c r="FD349" s="99">
        <v>12180</v>
      </c>
      <c r="FE349" s="99">
        <v>622947</v>
      </c>
      <c r="FF349" s="99">
        <v>314206</v>
      </c>
      <c r="FG349" s="99">
        <v>308741</v>
      </c>
      <c r="FH349" s="99">
        <v>302342</v>
      </c>
      <c r="FI349" s="99">
        <v>6399</v>
      </c>
      <c r="FJ349" s="99">
        <v>12982</v>
      </c>
      <c r="FK349" s="99">
        <v>-98207</v>
      </c>
      <c r="FL349" s="99">
        <v>111189</v>
      </c>
      <c r="FM349" s="99">
        <v>111189</v>
      </c>
      <c r="FN349" s="99" t="s">
        <v>619</v>
      </c>
      <c r="FO349" s="99">
        <v>58099</v>
      </c>
      <c r="FP349" s="99">
        <v>525</v>
      </c>
      <c r="FQ349" s="99">
        <v>-73</v>
      </c>
      <c r="FR349" s="99">
        <v>797785</v>
      </c>
      <c r="FS349" s="99">
        <v>-66541</v>
      </c>
      <c r="FT349" s="99">
        <v>731244</v>
      </c>
      <c r="FU349" s="99">
        <v>138199</v>
      </c>
      <c r="FV349" s="99">
        <v>137136</v>
      </c>
      <c r="FW349" s="99">
        <v>1063</v>
      </c>
      <c r="FX349" s="99">
        <v>228806</v>
      </c>
      <c r="FY349" s="99">
        <v>198359</v>
      </c>
      <c r="FZ349" s="99">
        <v>16022</v>
      </c>
      <c r="GA349" s="99">
        <v>-5181</v>
      </c>
      <c r="GB349" s="99">
        <v>125</v>
      </c>
      <c r="GC349" s="99">
        <v>36387</v>
      </c>
      <c r="GD349" s="99">
        <v>-36432</v>
      </c>
      <c r="GE349" s="99">
        <v>13061</v>
      </c>
      <c r="GF349" s="99">
        <v>59758</v>
      </c>
      <c r="GG349" s="99">
        <v>118527</v>
      </c>
      <c r="GH349" s="99">
        <v>26265</v>
      </c>
      <c r="GI349" s="99">
        <v>1261</v>
      </c>
      <c r="GJ349" s="99">
        <v>91001</v>
      </c>
      <c r="GL349"/>
      <c r="GM349"/>
      <c r="GN349"/>
      <c r="GO349"/>
    </row>
    <row r="350" spans="1:197">
      <c r="A350" s="98">
        <v>2023</v>
      </c>
      <c r="B350" s="98">
        <v>7</v>
      </c>
      <c r="C350" s="98" t="s">
        <v>223</v>
      </c>
      <c r="D350" s="99">
        <v>47242815</v>
      </c>
      <c r="E350" s="99">
        <v>-6315253</v>
      </c>
      <c r="F350" s="99">
        <v>-17365</v>
      </c>
      <c r="G350" s="99">
        <v>40910197</v>
      </c>
      <c r="H350" s="99">
        <v>26788551</v>
      </c>
      <c r="I350" s="99">
        <v>14121646</v>
      </c>
      <c r="J350" s="99">
        <v>13812530</v>
      </c>
      <c r="K350" s="99">
        <v>309116</v>
      </c>
      <c r="L350" s="99">
        <v>27351967</v>
      </c>
      <c r="M350" s="99">
        <v>14538580</v>
      </c>
      <c r="N350" s="99">
        <v>10648454</v>
      </c>
      <c r="O350" s="99">
        <v>10335779</v>
      </c>
      <c r="P350" s="99">
        <v>312675</v>
      </c>
      <c r="Q350" s="99">
        <v>80715</v>
      </c>
      <c r="R350" s="99">
        <v>2084218</v>
      </c>
      <c r="S350" s="99">
        <v>-1403993</v>
      </c>
      <c r="T350" s="99">
        <v>-1371573</v>
      </c>
      <c r="U350" s="99">
        <v>-85948</v>
      </c>
      <c r="V350" s="99">
        <v>-32</v>
      </c>
      <c r="W350" s="99">
        <v>-1235213</v>
      </c>
      <c r="X350" s="99">
        <v>0</v>
      </c>
      <c r="Y350" s="99">
        <v>-50380</v>
      </c>
      <c r="Z350" s="99">
        <v>-22430</v>
      </c>
      <c r="AA350" s="99">
        <v>-9990</v>
      </c>
      <c r="AB350" s="99">
        <v>0</v>
      </c>
      <c r="AC350" s="99">
        <v>-17365</v>
      </c>
      <c r="AD350" s="99">
        <v>25930609</v>
      </c>
      <c r="AE350" s="99">
        <v>16143502</v>
      </c>
      <c r="AF350" s="99">
        <v>9787107</v>
      </c>
      <c r="AG350" s="99">
        <v>9563530</v>
      </c>
      <c r="AH350" s="99">
        <v>223577</v>
      </c>
      <c r="AI350" s="99">
        <v>14531821</v>
      </c>
      <c r="AJ350" s="99">
        <v>4020669</v>
      </c>
      <c r="AK350" s="99">
        <v>4647488</v>
      </c>
      <c r="AL350" s="99">
        <v>5822456</v>
      </c>
      <c r="AM350" s="99">
        <v>568011</v>
      </c>
      <c r="AN350" s="99">
        <v>422460</v>
      </c>
      <c r="AO350" s="99">
        <v>54815</v>
      </c>
      <c r="AP350" s="99">
        <v>12036</v>
      </c>
      <c r="AQ350" s="99">
        <v>1023665</v>
      </c>
      <c r="AR350" s="99">
        <v>9276881</v>
      </c>
      <c r="AS350" s="99">
        <v>58285</v>
      </c>
      <c r="AT350" s="99">
        <v>0</v>
      </c>
      <c r="AU350" s="99">
        <v>-17365</v>
      </c>
      <c r="AV350" s="99">
        <v>1050792</v>
      </c>
      <c r="AW350" s="99">
        <v>10948</v>
      </c>
      <c r="AX350" s="99">
        <v>517112</v>
      </c>
      <c r="AY350" s="99">
        <v>175026</v>
      </c>
      <c r="AZ350" s="99">
        <v>78639</v>
      </c>
      <c r="BA350" s="99">
        <v>235655</v>
      </c>
      <c r="BB350" s="99">
        <v>27792</v>
      </c>
      <c r="BC350" s="99">
        <v>81349</v>
      </c>
      <c r="BD350" s="99">
        <v>441383</v>
      </c>
      <c r="BE350" s="99">
        <v>-46526</v>
      </c>
      <c r="BF350" s="99">
        <v>-44417</v>
      </c>
      <c r="BG350" s="99">
        <v>-29017</v>
      </c>
      <c r="BH350" s="99">
        <v>-15400</v>
      </c>
      <c r="BI350" s="99">
        <v>0</v>
      </c>
      <c r="BJ350" s="99">
        <v>-21384</v>
      </c>
      <c r="BK350" s="99">
        <v>-23033</v>
      </c>
      <c r="BL350" s="99">
        <v>-2109</v>
      </c>
      <c r="BM350" s="99">
        <v>0</v>
      </c>
      <c r="BN350" s="99">
        <v>1004266</v>
      </c>
      <c r="BO350" s="99">
        <v>240644</v>
      </c>
      <c r="BP350" s="99">
        <v>176169</v>
      </c>
      <c r="BQ350" s="99">
        <v>23136</v>
      </c>
      <c r="BR350" s="99">
        <v>0</v>
      </c>
      <c r="BS350" s="99">
        <v>10186</v>
      </c>
      <c r="BT350" s="99">
        <v>1739</v>
      </c>
      <c r="BU350" s="99">
        <v>3</v>
      </c>
      <c r="BV350" s="99">
        <v>2170</v>
      </c>
      <c r="BW350" s="99">
        <v>6274</v>
      </c>
      <c r="BX350" s="99">
        <v>488095</v>
      </c>
      <c r="BY350" s="99">
        <v>65949</v>
      </c>
      <c r="BZ350" s="99">
        <v>87</v>
      </c>
      <c r="CA350" s="99">
        <v>413697</v>
      </c>
      <c r="CB350" s="99">
        <v>-125265</v>
      </c>
      <c r="CC350" s="99">
        <v>-125265</v>
      </c>
      <c r="CD350" s="99">
        <v>0</v>
      </c>
      <c r="CE350" s="99">
        <v>288432</v>
      </c>
      <c r="CF350" s="99">
        <v>323829</v>
      </c>
      <c r="CG350" s="99">
        <v>18</v>
      </c>
      <c r="CH350" s="99">
        <v>-35415</v>
      </c>
      <c r="CI350" s="99">
        <v>15744887</v>
      </c>
      <c r="CJ350" s="99">
        <v>2172305</v>
      </c>
      <c r="CK350" s="99">
        <v>13572582</v>
      </c>
      <c r="CL350" s="99">
        <v>4578392</v>
      </c>
      <c r="CM350" s="99">
        <v>8323298</v>
      </c>
      <c r="CN350" s="99">
        <v>670892</v>
      </c>
      <c r="CO350" s="99">
        <v>0</v>
      </c>
      <c r="CP350" s="99">
        <v>0</v>
      </c>
      <c r="CQ350" s="99">
        <v>670892</v>
      </c>
      <c r="CR350" s="99">
        <v>-4573473</v>
      </c>
      <c r="CS350" s="99">
        <v>-1637830</v>
      </c>
      <c r="CT350" s="99">
        <v>-1395979</v>
      </c>
      <c r="CU350" s="99">
        <v>-31084</v>
      </c>
      <c r="CV350" s="99">
        <v>-63</v>
      </c>
      <c r="CW350" s="99">
        <v>-210704</v>
      </c>
      <c r="CX350" s="99">
        <v>-2357185</v>
      </c>
      <c r="CY350" s="99">
        <v>-2223307</v>
      </c>
      <c r="CZ350" s="99">
        <v>-132450</v>
      </c>
      <c r="DA350" s="99">
        <v>-1428</v>
      </c>
      <c r="DB350" s="99">
        <v>-578458</v>
      </c>
      <c r="DC350" s="99">
        <v>0</v>
      </c>
      <c r="DD350" s="99">
        <v>11171414</v>
      </c>
      <c r="DE350" s="99">
        <v>7065884</v>
      </c>
      <c r="DF350" s="99">
        <v>4105530</v>
      </c>
      <c r="DG350" s="99">
        <v>4003443</v>
      </c>
      <c r="DH350" s="99">
        <v>102087</v>
      </c>
      <c r="DI350" s="99">
        <v>1899757</v>
      </c>
      <c r="DJ350" s="99">
        <v>55867</v>
      </c>
      <c r="DK350" s="99">
        <v>28551</v>
      </c>
      <c r="DL350" s="99">
        <v>1526</v>
      </c>
      <c r="DM350" s="99">
        <v>1104864</v>
      </c>
      <c r="DN350" s="99">
        <v>615191</v>
      </c>
      <c r="DO350" s="99">
        <v>14133</v>
      </c>
      <c r="DP350" s="99">
        <v>72124</v>
      </c>
      <c r="DQ350" s="99">
        <v>7381</v>
      </c>
      <c r="DR350" s="99">
        <v>120</v>
      </c>
      <c r="DS350" s="99">
        <v>-63327</v>
      </c>
      <c r="DT350" s="99">
        <v>-4042</v>
      </c>
      <c r="DU350" s="99">
        <v>-2219</v>
      </c>
      <c r="DV350" s="99">
        <v>-13</v>
      </c>
      <c r="DW350" s="99">
        <v>-40152</v>
      </c>
      <c r="DX350" s="99">
        <v>-10937</v>
      </c>
      <c r="DY350" s="99">
        <v>-27318</v>
      </c>
      <c r="DZ350" s="99">
        <v>-1897</v>
      </c>
      <c r="EA350" s="99">
        <v>-10785</v>
      </c>
      <c r="EB350" s="99">
        <v>-2</v>
      </c>
      <c r="EC350" s="99">
        <v>-6111</v>
      </c>
      <c r="ED350" s="99">
        <v>0</v>
      </c>
      <c r="EE350" s="99">
        <v>-3</v>
      </c>
      <c r="EF350" s="99">
        <v>1836430</v>
      </c>
      <c r="EG350" s="99">
        <v>1607421</v>
      </c>
      <c r="EH350" s="99">
        <v>229009</v>
      </c>
      <c r="EI350" s="99">
        <v>245557</v>
      </c>
      <c r="EJ350" s="99">
        <v>-16548</v>
      </c>
      <c r="EK350" s="99">
        <v>51825</v>
      </c>
      <c r="EL350" s="99">
        <v>57103</v>
      </c>
      <c r="EM350" s="99">
        <v>-5278</v>
      </c>
      <c r="EN350" s="99">
        <v>-3905</v>
      </c>
      <c r="EO350" s="99">
        <v>-1373</v>
      </c>
      <c r="EP350" s="99">
        <v>26332</v>
      </c>
      <c r="EQ350" s="99">
        <v>11066</v>
      </c>
      <c r="ER350" s="99">
        <v>15266</v>
      </c>
      <c r="ES350" s="99">
        <v>15011</v>
      </c>
      <c r="ET350" s="99">
        <v>255</v>
      </c>
      <c r="EU350" s="99">
        <v>1513</v>
      </c>
      <c r="EV350" s="99">
        <v>-648</v>
      </c>
      <c r="EW350" s="99">
        <v>2161</v>
      </c>
      <c r="EX350" s="99">
        <v>2103</v>
      </c>
      <c r="EY350" s="99">
        <v>58</v>
      </c>
      <c r="EZ350" s="99">
        <v>1064712</v>
      </c>
      <c r="FA350" s="99">
        <v>695874</v>
      </c>
      <c r="FB350" s="99">
        <v>368838</v>
      </c>
      <c r="FC350" s="99">
        <v>376967</v>
      </c>
      <c r="FD350" s="99">
        <v>-8129</v>
      </c>
      <c r="FE350" s="99">
        <v>604406</v>
      </c>
      <c r="FF350" s="99">
        <v>602810</v>
      </c>
      <c r="FG350" s="99">
        <v>1596</v>
      </c>
      <c r="FH350" s="99">
        <v>8955</v>
      </c>
      <c r="FI350" s="99">
        <v>-7359</v>
      </c>
      <c r="FJ350" s="99">
        <v>14131</v>
      </c>
      <c r="FK350" s="99">
        <v>167705</v>
      </c>
      <c r="FL350" s="99">
        <v>-153574</v>
      </c>
      <c r="FM350" s="99">
        <v>-153574</v>
      </c>
      <c r="FN350" s="99" t="s">
        <v>619</v>
      </c>
      <c r="FO350" s="99">
        <v>66013</v>
      </c>
      <c r="FP350" s="99">
        <v>7381</v>
      </c>
      <c r="FQ350" s="99">
        <v>117</v>
      </c>
      <c r="FR350" s="99">
        <v>781715</v>
      </c>
      <c r="FS350" s="99">
        <v>-102669</v>
      </c>
      <c r="FT350" s="99">
        <v>679046</v>
      </c>
      <c r="FU350" s="99">
        <v>36479</v>
      </c>
      <c r="FV350" s="99">
        <v>5720</v>
      </c>
      <c r="FW350" s="99">
        <v>30759</v>
      </c>
      <c r="FX350" s="99">
        <v>220792</v>
      </c>
      <c r="FY350" s="99">
        <v>205154</v>
      </c>
      <c r="FZ350" s="99">
        <v>-26253</v>
      </c>
      <c r="GA350" s="99">
        <v>4514</v>
      </c>
      <c r="GB350" s="99">
        <v>68</v>
      </c>
      <c r="GC350" s="99">
        <v>57770</v>
      </c>
      <c r="GD350" s="99">
        <v>-36132</v>
      </c>
      <c r="GE350" s="99">
        <v>6147</v>
      </c>
      <c r="GF350" s="99">
        <v>87755</v>
      </c>
      <c r="GG350" s="99">
        <v>180522</v>
      </c>
      <c r="GH350" s="99">
        <v>97546</v>
      </c>
      <c r="GI350" s="99">
        <v>1085</v>
      </c>
      <c r="GJ350" s="99">
        <v>81891</v>
      </c>
      <c r="GL350"/>
      <c r="GM350"/>
      <c r="GN350"/>
      <c r="GO350"/>
    </row>
    <row r="351" spans="1:197">
      <c r="A351" s="98">
        <v>2023</v>
      </c>
      <c r="B351" s="98">
        <v>8</v>
      </c>
      <c r="C351" s="98" t="s">
        <v>224</v>
      </c>
      <c r="D351" s="99">
        <v>27662464</v>
      </c>
      <c r="E351" s="99">
        <v>-3283147</v>
      </c>
      <c r="F351" s="99">
        <v>-17364</v>
      </c>
      <c r="G351" s="99">
        <v>24361953</v>
      </c>
      <c r="H351" s="99">
        <v>14853881</v>
      </c>
      <c r="I351" s="99">
        <v>9508072</v>
      </c>
      <c r="J351" s="99">
        <v>9310232</v>
      </c>
      <c r="K351" s="99">
        <v>197840</v>
      </c>
      <c r="L351" s="99">
        <v>7147881</v>
      </c>
      <c r="M351" s="99">
        <v>6456130</v>
      </c>
      <c r="N351" s="99">
        <v>181440</v>
      </c>
      <c r="O351" s="99">
        <v>24876</v>
      </c>
      <c r="P351" s="99">
        <v>156564</v>
      </c>
      <c r="Q351" s="99">
        <v>64488</v>
      </c>
      <c r="R351" s="99">
        <v>445823</v>
      </c>
      <c r="S351" s="99">
        <v>-487441</v>
      </c>
      <c r="T351" s="99">
        <v>-473897</v>
      </c>
      <c r="U351" s="99">
        <v>-85378</v>
      </c>
      <c r="V351" s="99">
        <v>-28</v>
      </c>
      <c r="W351" s="99">
        <v>-351123</v>
      </c>
      <c r="X351" s="99">
        <v>0</v>
      </c>
      <c r="Y351" s="99">
        <v>-37368</v>
      </c>
      <c r="Z351" s="99">
        <v>-7484</v>
      </c>
      <c r="AA351" s="99">
        <v>-6060</v>
      </c>
      <c r="AB351" s="99">
        <v>0</v>
      </c>
      <c r="AC351" s="99">
        <v>-17364</v>
      </c>
      <c r="AD351" s="99">
        <v>6643076</v>
      </c>
      <c r="AE351" s="99">
        <v>1914875</v>
      </c>
      <c r="AF351" s="99">
        <v>4728201</v>
      </c>
      <c r="AG351" s="99">
        <v>4625791</v>
      </c>
      <c r="AH351" s="99">
        <v>102410</v>
      </c>
      <c r="AI351" s="99">
        <v>6450885</v>
      </c>
      <c r="AJ351" s="99">
        <v>2435297</v>
      </c>
      <c r="AK351" s="99">
        <v>3928239</v>
      </c>
      <c r="AL351" s="99">
        <v>51138</v>
      </c>
      <c r="AM351" s="99">
        <v>284262</v>
      </c>
      <c r="AN351" s="99">
        <v>55428</v>
      </c>
      <c r="AO351" s="99">
        <v>41727</v>
      </c>
      <c r="AP351" s="99">
        <v>19657</v>
      </c>
      <c r="AQ351" s="99">
        <v>43934</v>
      </c>
      <c r="AR351" s="99">
        <v>-292457</v>
      </c>
      <c r="AS351" s="99">
        <v>57004</v>
      </c>
      <c r="AT351" s="99">
        <v>0</v>
      </c>
      <c r="AU351" s="99">
        <v>-17364</v>
      </c>
      <c r="AV351" s="99">
        <v>8987697</v>
      </c>
      <c r="AW351" s="99">
        <v>6061</v>
      </c>
      <c r="AX351" s="99">
        <v>8625642</v>
      </c>
      <c r="AY351" s="99">
        <v>2638293</v>
      </c>
      <c r="AZ351" s="99">
        <v>1040014</v>
      </c>
      <c r="BA351" s="99">
        <v>4875654</v>
      </c>
      <c r="BB351" s="99">
        <v>71681</v>
      </c>
      <c r="BC351" s="99">
        <v>205758</v>
      </c>
      <c r="BD351" s="99">
        <v>150236</v>
      </c>
      <c r="BE351" s="99">
        <v>-48570</v>
      </c>
      <c r="BF351" s="99">
        <v>-47555</v>
      </c>
      <c r="BG351" s="99">
        <v>-12118</v>
      </c>
      <c r="BH351" s="99">
        <v>-35437</v>
      </c>
      <c r="BI351" s="99">
        <v>0</v>
      </c>
      <c r="BJ351" s="99">
        <v>-6796</v>
      </c>
      <c r="BK351" s="99">
        <v>-40759</v>
      </c>
      <c r="BL351" s="99">
        <v>-1015</v>
      </c>
      <c r="BM351" s="99">
        <v>0</v>
      </c>
      <c r="BN351" s="99">
        <v>8939127</v>
      </c>
      <c r="BO351" s="99">
        <v>111183</v>
      </c>
      <c r="BP351" s="99">
        <v>21099</v>
      </c>
      <c r="BQ351" s="99">
        <v>17751</v>
      </c>
      <c r="BR351" s="99">
        <v>0</v>
      </c>
      <c r="BS351" s="99">
        <v>5247</v>
      </c>
      <c r="BT351" s="99">
        <v>475</v>
      </c>
      <c r="BU351" s="99">
        <v>648</v>
      </c>
      <c r="BV351" s="99">
        <v>990</v>
      </c>
      <c r="BW351" s="99">
        <v>3134</v>
      </c>
      <c r="BX351" s="99">
        <v>8613524</v>
      </c>
      <c r="BY351" s="99">
        <v>170321</v>
      </c>
      <c r="BZ351" s="99">
        <v>2</v>
      </c>
      <c r="CA351" s="99">
        <v>509912</v>
      </c>
      <c r="CB351" s="99">
        <v>-41282</v>
      </c>
      <c r="CC351" s="99">
        <v>-41282</v>
      </c>
      <c r="CD351" s="99">
        <v>0</v>
      </c>
      <c r="CE351" s="99">
        <v>468630</v>
      </c>
      <c r="CF351" s="99">
        <v>375760</v>
      </c>
      <c r="CG351" s="99">
        <v>1</v>
      </c>
      <c r="CH351" s="99">
        <v>92869</v>
      </c>
      <c r="CI351" s="99">
        <v>7931587</v>
      </c>
      <c r="CJ351" s="99">
        <v>2098475</v>
      </c>
      <c r="CK351" s="99">
        <v>5833112</v>
      </c>
      <c r="CL351" s="99">
        <v>4940010</v>
      </c>
      <c r="CM351" s="99">
        <v>434892</v>
      </c>
      <c r="CN351" s="99">
        <v>458210</v>
      </c>
      <c r="CO351" s="99">
        <v>0</v>
      </c>
      <c r="CP351" s="99">
        <v>0</v>
      </c>
      <c r="CQ351" s="99">
        <v>458210</v>
      </c>
      <c r="CR351" s="99">
        <v>-2577098</v>
      </c>
      <c r="CS351" s="99">
        <v>-628564</v>
      </c>
      <c r="CT351" s="99">
        <v>-526639</v>
      </c>
      <c r="CU351" s="99">
        <v>-4520</v>
      </c>
      <c r="CV351" s="99">
        <v>-357</v>
      </c>
      <c r="CW351" s="99">
        <v>-97048</v>
      </c>
      <c r="CX351" s="99">
        <v>-1948534</v>
      </c>
      <c r="CY351" s="99">
        <v>-1912804</v>
      </c>
      <c r="CZ351" s="99">
        <v>-32095</v>
      </c>
      <c r="DA351" s="99">
        <v>-3635</v>
      </c>
      <c r="DB351" s="99">
        <v>0</v>
      </c>
      <c r="DC351" s="99">
        <v>0</v>
      </c>
      <c r="DD351" s="99">
        <v>5354489</v>
      </c>
      <c r="DE351" s="99">
        <v>1763619</v>
      </c>
      <c r="DF351" s="99">
        <v>3590870</v>
      </c>
      <c r="DG351" s="99">
        <v>3515464</v>
      </c>
      <c r="DH351" s="99">
        <v>75406</v>
      </c>
      <c r="DI351" s="99">
        <v>1894735</v>
      </c>
      <c r="DJ351" s="99">
        <v>92504</v>
      </c>
      <c r="DK351" s="99">
        <v>35943</v>
      </c>
      <c r="DL351" s="99">
        <v>3426</v>
      </c>
      <c r="DM351" s="99">
        <v>1086177</v>
      </c>
      <c r="DN351" s="99">
        <v>602705</v>
      </c>
      <c r="DO351" s="99">
        <v>15009</v>
      </c>
      <c r="DP351" s="99">
        <v>58755</v>
      </c>
      <c r="DQ351" s="99">
        <v>138</v>
      </c>
      <c r="DR351" s="99">
        <v>78</v>
      </c>
      <c r="DS351" s="99">
        <v>-41178</v>
      </c>
      <c r="DT351" s="99">
        <v>-7654</v>
      </c>
      <c r="DU351" s="99">
        <v>-26</v>
      </c>
      <c r="DV351" s="99">
        <v>-33</v>
      </c>
      <c r="DW351" s="99">
        <v>-31270</v>
      </c>
      <c r="DX351" s="99">
        <v>-6815</v>
      </c>
      <c r="DY351" s="99">
        <v>-23061</v>
      </c>
      <c r="DZ351" s="99">
        <v>-1394</v>
      </c>
      <c r="EA351" s="99">
        <v>-3</v>
      </c>
      <c r="EB351" s="99">
        <v>-51</v>
      </c>
      <c r="EC351" s="99">
        <v>-2130</v>
      </c>
      <c r="ED351" s="99">
        <v>0</v>
      </c>
      <c r="EE351" s="99">
        <v>-11</v>
      </c>
      <c r="EF351" s="99">
        <v>1853557</v>
      </c>
      <c r="EG351" s="99">
        <v>664556</v>
      </c>
      <c r="EH351" s="99">
        <v>1189001</v>
      </c>
      <c r="EI351" s="99">
        <v>1168977</v>
      </c>
      <c r="EJ351" s="99">
        <v>20024</v>
      </c>
      <c r="EK351" s="99">
        <v>84850</v>
      </c>
      <c r="EL351" s="99">
        <v>36410</v>
      </c>
      <c r="EM351" s="99">
        <v>48440</v>
      </c>
      <c r="EN351" s="99">
        <v>47367</v>
      </c>
      <c r="EO351" s="99">
        <v>1073</v>
      </c>
      <c r="EP351" s="99">
        <v>35917</v>
      </c>
      <c r="EQ351" s="99">
        <v>18806</v>
      </c>
      <c r="ER351" s="99">
        <v>17111</v>
      </c>
      <c r="ES351" s="99">
        <v>16767</v>
      </c>
      <c r="ET351" s="99">
        <v>344</v>
      </c>
      <c r="EU351" s="99">
        <v>3393</v>
      </c>
      <c r="EV351" s="99">
        <v>1847</v>
      </c>
      <c r="EW351" s="99">
        <v>1546</v>
      </c>
      <c r="EX351" s="99">
        <v>1516</v>
      </c>
      <c r="EY351" s="99">
        <v>30</v>
      </c>
      <c r="EZ351" s="99">
        <v>1054907</v>
      </c>
      <c r="FA351" s="99">
        <v>352932</v>
      </c>
      <c r="FB351" s="99">
        <v>701975</v>
      </c>
      <c r="FC351" s="99">
        <v>689797</v>
      </c>
      <c r="FD351" s="99">
        <v>12178</v>
      </c>
      <c r="FE351" s="99">
        <v>602702</v>
      </c>
      <c r="FF351" s="99">
        <v>293962</v>
      </c>
      <c r="FG351" s="99">
        <v>308740</v>
      </c>
      <c r="FH351" s="99">
        <v>302341</v>
      </c>
      <c r="FI351" s="99">
        <v>6399</v>
      </c>
      <c r="FJ351" s="99">
        <v>14958</v>
      </c>
      <c r="FK351" s="99">
        <v>-96231</v>
      </c>
      <c r="FL351" s="99">
        <v>111189</v>
      </c>
      <c r="FM351" s="99">
        <v>111189</v>
      </c>
      <c r="FN351" s="99" t="s">
        <v>619</v>
      </c>
      <c r="FO351" s="99">
        <v>56625</v>
      </c>
      <c r="FP351" s="99">
        <v>138</v>
      </c>
      <c r="FQ351" s="99">
        <v>67</v>
      </c>
      <c r="FR351" s="99">
        <v>1190652</v>
      </c>
      <c r="FS351" s="99">
        <v>-87578</v>
      </c>
      <c r="FT351" s="99">
        <v>1103074</v>
      </c>
      <c r="FU351" s="99">
        <v>1787</v>
      </c>
      <c r="FV351" s="99">
        <v>-276</v>
      </c>
      <c r="FW351" s="99">
        <v>2063</v>
      </c>
      <c r="FX351" s="99">
        <v>236939</v>
      </c>
      <c r="FY351" s="99">
        <v>46882</v>
      </c>
      <c r="FZ351" s="99">
        <v>19473</v>
      </c>
      <c r="GA351" s="99">
        <v>72213</v>
      </c>
      <c r="GB351" s="99">
        <v>9297</v>
      </c>
      <c r="GC351" s="99">
        <v>-23458</v>
      </c>
      <c r="GD351" s="99">
        <v>-77544</v>
      </c>
      <c r="GE351" s="99">
        <v>57</v>
      </c>
      <c r="GF351" s="99">
        <v>54029</v>
      </c>
      <c r="GG351" s="99">
        <v>739941</v>
      </c>
      <c r="GH351" s="99">
        <v>627440</v>
      </c>
      <c r="GI351" s="99">
        <v>1402</v>
      </c>
      <c r="GJ351" s="99">
        <v>111099</v>
      </c>
      <c r="GL351"/>
      <c r="GM351"/>
      <c r="GN351"/>
      <c r="GO351"/>
    </row>
    <row r="352" spans="1:197">
      <c r="A352" s="98">
        <v>2023</v>
      </c>
      <c r="B352" s="98">
        <v>9</v>
      </c>
      <c r="C352" s="98" t="s">
        <v>225</v>
      </c>
      <c r="D352" s="99">
        <v>17095668</v>
      </c>
      <c r="E352" s="99">
        <v>-3328742</v>
      </c>
      <c r="F352" s="99">
        <v>-17365</v>
      </c>
      <c r="G352" s="99">
        <v>13749561</v>
      </c>
      <c r="H352" s="99">
        <v>4241488</v>
      </c>
      <c r="I352" s="99">
        <v>9508073</v>
      </c>
      <c r="J352" s="99">
        <v>9310235</v>
      </c>
      <c r="K352" s="99">
        <v>197838</v>
      </c>
      <c r="L352" s="99">
        <v>6434044</v>
      </c>
      <c r="M352" s="99">
        <v>5888857</v>
      </c>
      <c r="N352" s="99">
        <v>203359</v>
      </c>
      <c r="O352" s="99">
        <v>11810</v>
      </c>
      <c r="P352" s="99">
        <v>191549</v>
      </c>
      <c r="Q352" s="99">
        <v>75399</v>
      </c>
      <c r="R352" s="99">
        <v>266429</v>
      </c>
      <c r="S352" s="99">
        <v>-376852</v>
      </c>
      <c r="T352" s="99">
        <v>-333530</v>
      </c>
      <c r="U352" s="99">
        <v>-88372</v>
      </c>
      <c r="V352" s="99">
        <v>-21</v>
      </c>
      <c r="W352" s="99">
        <v>-207013</v>
      </c>
      <c r="X352" s="99">
        <v>0</v>
      </c>
      <c r="Y352" s="99">
        <v>-38124</v>
      </c>
      <c r="Z352" s="99">
        <v>-8252</v>
      </c>
      <c r="AA352" s="99">
        <v>-17688</v>
      </c>
      <c r="AB352" s="99">
        <v>-17382</v>
      </c>
      <c r="AC352" s="99">
        <v>-17365</v>
      </c>
      <c r="AD352" s="99">
        <v>6039827</v>
      </c>
      <c r="AE352" s="99">
        <v>1311625</v>
      </c>
      <c r="AF352" s="99">
        <v>4728202</v>
      </c>
      <c r="AG352" s="99">
        <v>4625791</v>
      </c>
      <c r="AH352" s="99">
        <v>102411</v>
      </c>
      <c r="AI352" s="99">
        <v>5873722</v>
      </c>
      <c r="AJ352" s="99">
        <v>2411573</v>
      </c>
      <c r="AK352" s="99">
        <v>3403048</v>
      </c>
      <c r="AL352" s="99">
        <v>22604</v>
      </c>
      <c r="AM352" s="99">
        <v>106617</v>
      </c>
      <c r="AN352" s="99">
        <v>50663</v>
      </c>
      <c r="AO352" s="99">
        <v>21693</v>
      </c>
      <c r="AP352" s="99">
        <v>20541</v>
      </c>
      <c r="AQ352" s="99">
        <v>46980</v>
      </c>
      <c r="AR352" s="99">
        <v>-130171</v>
      </c>
      <c r="AS352" s="99">
        <v>67147</v>
      </c>
      <c r="AT352" s="99">
        <v>0</v>
      </c>
      <c r="AU352" s="99">
        <v>-17365</v>
      </c>
      <c r="AV352" s="99">
        <v>418253</v>
      </c>
      <c r="AW352" s="99">
        <v>5809</v>
      </c>
      <c r="AX352" s="99">
        <v>128396</v>
      </c>
      <c r="AY352" s="99">
        <v>22691</v>
      </c>
      <c r="AZ352" s="99">
        <v>10380</v>
      </c>
      <c r="BA352" s="99">
        <v>12531</v>
      </c>
      <c r="BB352" s="99">
        <v>82794</v>
      </c>
      <c r="BC352" s="99">
        <v>203437</v>
      </c>
      <c r="BD352" s="99">
        <v>80611</v>
      </c>
      <c r="BE352" s="99">
        <v>-291489</v>
      </c>
      <c r="BF352" s="99">
        <v>-289687</v>
      </c>
      <c r="BG352" s="99">
        <v>-268452</v>
      </c>
      <c r="BH352" s="99">
        <v>-21235</v>
      </c>
      <c r="BI352" s="99">
        <v>-203796</v>
      </c>
      <c r="BJ352" s="99">
        <v>-17672</v>
      </c>
      <c r="BK352" s="99">
        <v>-68219</v>
      </c>
      <c r="BL352" s="99">
        <v>-1802</v>
      </c>
      <c r="BM352" s="99">
        <v>0</v>
      </c>
      <c r="BN352" s="99">
        <v>126764</v>
      </c>
      <c r="BO352" s="99">
        <v>52063</v>
      </c>
      <c r="BP352" s="99">
        <v>18305</v>
      </c>
      <c r="BQ352" s="99">
        <v>9231</v>
      </c>
      <c r="BR352" s="99">
        <v>0</v>
      </c>
      <c r="BS352" s="99">
        <v>5018</v>
      </c>
      <c r="BT352" s="99">
        <v>829</v>
      </c>
      <c r="BU352" s="99">
        <v>-41</v>
      </c>
      <c r="BV352" s="99">
        <v>335</v>
      </c>
      <c r="BW352" s="99">
        <v>3895</v>
      </c>
      <c r="BX352" s="99">
        <v>-140056</v>
      </c>
      <c r="BY352" s="99">
        <v>182202</v>
      </c>
      <c r="BZ352" s="99">
        <v>1</v>
      </c>
      <c r="CA352" s="99">
        <v>177741</v>
      </c>
      <c r="CB352" s="99">
        <v>-99768</v>
      </c>
      <c r="CC352" s="99">
        <v>-99768</v>
      </c>
      <c r="CD352" s="99">
        <v>0</v>
      </c>
      <c r="CE352" s="99">
        <v>77973</v>
      </c>
      <c r="CF352" s="99">
        <v>99634</v>
      </c>
      <c r="CG352" s="99">
        <v>17</v>
      </c>
      <c r="CH352" s="99">
        <v>-21678</v>
      </c>
      <c r="CI352" s="99">
        <v>7442018</v>
      </c>
      <c r="CJ352" s="99">
        <v>1925052</v>
      </c>
      <c r="CK352" s="99">
        <v>5516966</v>
      </c>
      <c r="CL352" s="99">
        <v>4782357</v>
      </c>
      <c r="CM352" s="99">
        <v>169169</v>
      </c>
      <c r="CN352" s="99">
        <v>565440</v>
      </c>
      <c r="CO352" s="99">
        <v>0</v>
      </c>
      <c r="CP352" s="99">
        <v>0</v>
      </c>
      <c r="CQ352" s="99">
        <v>565440</v>
      </c>
      <c r="CR352" s="99">
        <v>-2473924</v>
      </c>
      <c r="CS352" s="99">
        <v>-427582</v>
      </c>
      <c r="CT352" s="99">
        <v>-306725</v>
      </c>
      <c r="CU352" s="99">
        <v>-3416</v>
      </c>
      <c r="CV352" s="99">
        <v>-331</v>
      </c>
      <c r="CW352" s="99">
        <v>-117110</v>
      </c>
      <c r="CX352" s="99">
        <v>-1764776</v>
      </c>
      <c r="CY352" s="99">
        <v>-1745531</v>
      </c>
      <c r="CZ352" s="99">
        <v>-18970</v>
      </c>
      <c r="DA352" s="99">
        <v>-275</v>
      </c>
      <c r="DB352" s="99">
        <v>0</v>
      </c>
      <c r="DC352" s="99">
        <v>-281566</v>
      </c>
      <c r="DD352" s="99">
        <v>4968094</v>
      </c>
      <c r="DE352" s="99">
        <v>1377225</v>
      </c>
      <c r="DF352" s="99">
        <v>3590869</v>
      </c>
      <c r="DG352" s="99">
        <v>3515465</v>
      </c>
      <c r="DH352" s="99">
        <v>75404</v>
      </c>
      <c r="DI352" s="99">
        <v>1887950</v>
      </c>
      <c r="DJ352" s="99">
        <v>87620</v>
      </c>
      <c r="DK352" s="99">
        <v>37177</v>
      </c>
      <c r="DL352" s="99">
        <v>1538</v>
      </c>
      <c r="DM352" s="99">
        <v>1051261</v>
      </c>
      <c r="DN352" s="99">
        <v>639225</v>
      </c>
      <c r="DO352" s="99">
        <v>17359</v>
      </c>
      <c r="DP352" s="99">
        <v>53483</v>
      </c>
      <c r="DQ352" s="99">
        <v>199</v>
      </c>
      <c r="DR352" s="99">
        <v>88</v>
      </c>
      <c r="DS352" s="99">
        <v>-68662</v>
      </c>
      <c r="DT352" s="99">
        <v>-752</v>
      </c>
      <c r="DU352" s="99">
        <v>-1666</v>
      </c>
      <c r="DV352" s="99">
        <v>-35</v>
      </c>
      <c r="DW352" s="99">
        <v>-57831</v>
      </c>
      <c r="DX352" s="99">
        <v>-7413</v>
      </c>
      <c r="DY352" s="99">
        <v>-28252</v>
      </c>
      <c r="DZ352" s="99">
        <v>-22166</v>
      </c>
      <c r="EA352" s="99">
        <v>-2725</v>
      </c>
      <c r="EB352" s="99">
        <v>-38</v>
      </c>
      <c r="EC352" s="99">
        <v>-5324</v>
      </c>
      <c r="ED352" s="99">
        <v>0</v>
      </c>
      <c r="EE352" s="99">
        <v>-291</v>
      </c>
      <c r="EF352" s="99">
        <v>1819288</v>
      </c>
      <c r="EG352" s="99">
        <v>630286</v>
      </c>
      <c r="EH352" s="99">
        <v>1189002</v>
      </c>
      <c r="EI352" s="99">
        <v>1168979</v>
      </c>
      <c r="EJ352" s="99">
        <v>20023</v>
      </c>
      <c r="EK352" s="99">
        <v>86868</v>
      </c>
      <c r="EL352" s="99">
        <v>38429</v>
      </c>
      <c r="EM352" s="99">
        <v>48439</v>
      </c>
      <c r="EN352" s="99">
        <v>47367</v>
      </c>
      <c r="EO352" s="99">
        <v>1072</v>
      </c>
      <c r="EP352" s="99">
        <v>35511</v>
      </c>
      <c r="EQ352" s="99">
        <v>18400</v>
      </c>
      <c r="ER352" s="99">
        <v>17111</v>
      </c>
      <c r="ES352" s="99">
        <v>16768</v>
      </c>
      <c r="ET352" s="99">
        <v>343</v>
      </c>
      <c r="EU352" s="99">
        <v>1503</v>
      </c>
      <c r="EV352" s="99">
        <v>-42</v>
      </c>
      <c r="EW352" s="99">
        <v>1545</v>
      </c>
      <c r="EX352" s="99">
        <v>1516</v>
      </c>
      <c r="EY352" s="99">
        <v>29</v>
      </c>
      <c r="EZ352" s="99">
        <v>993430</v>
      </c>
      <c r="FA352" s="99">
        <v>291453</v>
      </c>
      <c r="FB352" s="99">
        <v>701977</v>
      </c>
      <c r="FC352" s="99">
        <v>689797</v>
      </c>
      <c r="FD352" s="99">
        <v>12180</v>
      </c>
      <c r="FE352" s="99">
        <v>636500</v>
      </c>
      <c r="FF352" s="99">
        <v>327759</v>
      </c>
      <c r="FG352" s="99">
        <v>308741</v>
      </c>
      <c r="FH352" s="99">
        <v>302342</v>
      </c>
      <c r="FI352" s="99">
        <v>6399</v>
      </c>
      <c r="FJ352" s="99">
        <v>17321</v>
      </c>
      <c r="FK352" s="99">
        <v>-93868</v>
      </c>
      <c r="FL352" s="99">
        <v>111189</v>
      </c>
      <c r="FM352" s="99">
        <v>111189</v>
      </c>
      <c r="FN352" s="99" t="s">
        <v>619</v>
      </c>
      <c r="FO352" s="99">
        <v>48159</v>
      </c>
      <c r="FP352" s="99">
        <v>199</v>
      </c>
      <c r="FQ352" s="99">
        <v>-203</v>
      </c>
      <c r="FR352" s="99">
        <v>735662</v>
      </c>
      <c r="FS352" s="99">
        <v>-18047</v>
      </c>
      <c r="FT352" s="99">
        <v>717615</v>
      </c>
      <c r="FU352" s="99">
        <v>7760</v>
      </c>
      <c r="FV352" s="99">
        <v>7541</v>
      </c>
      <c r="FW352" s="99">
        <v>219</v>
      </c>
      <c r="FX352" s="99">
        <v>208194</v>
      </c>
      <c r="FY352" s="99">
        <v>350682</v>
      </c>
      <c r="FZ352" s="99">
        <v>16941</v>
      </c>
      <c r="GA352" s="99">
        <v>841</v>
      </c>
      <c r="GB352" s="99">
        <v>43</v>
      </c>
      <c r="GC352" s="99">
        <v>47154</v>
      </c>
      <c r="GD352" s="99">
        <v>89</v>
      </c>
      <c r="GE352" s="99">
        <v>1041</v>
      </c>
      <c r="GF352" s="99">
        <v>46024</v>
      </c>
      <c r="GG352" s="99">
        <v>86000</v>
      </c>
      <c r="GH352" s="99">
        <v>9747</v>
      </c>
      <c r="GI352" s="99">
        <v>280</v>
      </c>
      <c r="GJ352" s="99">
        <v>75973</v>
      </c>
      <c r="GL352"/>
      <c r="GM352"/>
      <c r="GN352"/>
      <c r="GO352"/>
    </row>
    <row r="353" spans="1:197">
      <c r="A353" s="98">
        <v>2023</v>
      </c>
      <c r="B353" s="98">
        <v>10</v>
      </c>
      <c r="C353" s="98" t="s">
        <v>226</v>
      </c>
      <c r="D353" s="99">
        <v>50234956</v>
      </c>
      <c r="E353" s="99">
        <v>-4890756</v>
      </c>
      <c r="F353" s="99">
        <v>-17365</v>
      </c>
      <c r="G353" s="99">
        <v>45326835</v>
      </c>
      <c r="H353" s="99">
        <v>35818924</v>
      </c>
      <c r="I353" s="99">
        <v>9507911</v>
      </c>
      <c r="J353" s="99">
        <v>9310230</v>
      </c>
      <c r="K353" s="99">
        <v>197681</v>
      </c>
      <c r="L353" s="99">
        <v>13816459</v>
      </c>
      <c r="M353" s="99">
        <v>11501453</v>
      </c>
      <c r="N353" s="99">
        <v>271598</v>
      </c>
      <c r="O353" s="99">
        <v>97027</v>
      </c>
      <c r="P353" s="99">
        <v>174571</v>
      </c>
      <c r="Q353" s="99">
        <v>76587</v>
      </c>
      <c r="R353" s="99">
        <v>1966821</v>
      </c>
      <c r="S353" s="99">
        <v>-757577</v>
      </c>
      <c r="T353" s="99">
        <v>-728791</v>
      </c>
      <c r="U353" s="99">
        <v>-89092</v>
      </c>
      <c r="V353" s="99">
        <v>-37</v>
      </c>
      <c r="W353" s="99">
        <v>-587462</v>
      </c>
      <c r="X353" s="99">
        <v>0</v>
      </c>
      <c r="Y353" s="99">
        <v>-52200</v>
      </c>
      <c r="Z353" s="99">
        <v>-16000</v>
      </c>
      <c r="AA353" s="99">
        <v>-12786</v>
      </c>
      <c r="AB353" s="99">
        <v>0</v>
      </c>
      <c r="AC353" s="99">
        <v>-17365</v>
      </c>
      <c r="AD353" s="99">
        <v>13041517</v>
      </c>
      <c r="AE353" s="99">
        <v>8313317</v>
      </c>
      <c r="AF353" s="99">
        <v>4728200</v>
      </c>
      <c r="AG353" s="99">
        <v>4625790</v>
      </c>
      <c r="AH353" s="99">
        <v>102410</v>
      </c>
      <c r="AI353" s="99">
        <v>11493572</v>
      </c>
      <c r="AJ353" s="99">
        <v>2554900</v>
      </c>
      <c r="AK353" s="99">
        <v>3442250</v>
      </c>
      <c r="AL353" s="99">
        <v>5460420</v>
      </c>
      <c r="AM353" s="99">
        <v>453259</v>
      </c>
      <c r="AN353" s="99">
        <v>434571</v>
      </c>
      <c r="AO353" s="99">
        <v>40110</v>
      </c>
      <c r="AP353" s="99">
        <v>13885</v>
      </c>
      <c r="AQ353" s="99">
        <v>1020091</v>
      </c>
      <c r="AR353" s="99">
        <v>-457193</v>
      </c>
      <c r="AS353" s="99">
        <v>60587</v>
      </c>
      <c r="AT353" s="99">
        <v>0</v>
      </c>
      <c r="AU353" s="99">
        <v>-17365</v>
      </c>
      <c r="AV353" s="99">
        <v>18397303</v>
      </c>
      <c r="AW353" s="99">
        <v>17743168</v>
      </c>
      <c r="AX353" s="99">
        <v>205438</v>
      </c>
      <c r="AY353" s="99">
        <v>16248</v>
      </c>
      <c r="AZ353" s="99">
        <v>9435</v>
      </c>
      <c r="BA353" s="99">
        <v>18424</v>
      </c>
      <c r="BB353" s="99">
        <v>161331</v>
      </c>
      <c r="BC353" s="99">
        <v>55207</v>
      </c>
      <c r="BD353" s="99">
        <v>393490</v>
      </c>
      <c r="BE353" s="99">
        <v>-905604</v>
      </c>
      <c r="BF353" s="99">
        <v>-903079</v>
      </c>
      <c r="BG353" s="99">
        <v>-877052</v>
      </c>
      <c r="BH353" s="99">
        <v>-26027</v>
      </c>
      <c r="BI353" s="99">
        <v>-750108</v>
      </c>
      <c r="BJ353" s="99">
        <v>-89842</v>
      </c>
      <c r="BK353" s="99">
        <v>-63129</v>
      </c>
      <c r="BL353" s="99">
        <v>-2525</v>
      </c>
      <c r="BM353" s="99">
        <v>0</v>
      </c>
      <c r="BN353" s="99">
        <v>17491699</v>
      </c>
      <c r="BO353" s="99">
        <v>192541</v>
      </c>
      <c r="BP353" s="99">
        <v>181928</v>
      </c>
      <c r="BQ353" s="99">
        <v>17079</v>
      </c>
      <c r="BR353" s="99">
        <v>0</v>
      </c>
      <c r="BS353" s="99">
        <v>17742585</v>
      </c>
      <c r="BT353" s="99">
        <v>5687511</v>
      </c>
      <c r="BU353" s="99">
        <v>10270739</v>
      </c>
      <c r="BV353" s="99">
        <v>1776493</v>
      </c>
      <c r="BW353" s="99">
        <v>7842</v>
      </c>
      <c r="BX353" s="99">
        <v>-671614</v>
      </c>
      <c r="BY353" s="99">
        <v>29180</v>
      </c>
      <c r="BZ353" s="99">
        <v>0</v>
      </c>
      <c r="CA353" s="99">
        <v>372966</v>
      </c>
      <c r="CB353" s="99">
        <v>-135772</v>
      </c>
      <c r="CC353" s="99">
        <v>-135772</v>
      </c>
      <c r="CD353" s="99">
        <v>0</v>
      </c>
      <c r="CE353" s="99">
        <v>237194</v>
      </c>
      <c r="CF353" s="99">
        <v>169335</v>
      </c>
      <c r="CG353" s="99">
        <v>45050</v>
      </c>
      <c r="CH353" s="99">
        <v>22809</v>
      </c>
      <c r="CI353" s="99">
        <v>15013332</v>
      </c>
      <c r="CJ353" s="99">
        <v>1692101</v>
      </c>
      <c r="CK353" s="99">
        <v>13321231</v>
      </c>
      <c r="CL353" s="99">
        <v>4427397</v>
      </c>
      <c r="CM353" s="99">
        <v>8279134</v>
      </c>
      <c r="CN353" s="99">
        <v>614700</v>
      </c>
      <c r="CO353" s="99">
        <v>0</v>
      </c>
      <c r="CP353" s="99">
        <v>0</v>
      </c>
      <c r="CQ353" s="99">
        <v>614700</v>
      </c>
      <c r="CR353" s="99">
        <v>-2934986</v>
      </c>
      <c r="CS353" s="99">
        <v>-391294</v>
      </c>
      <c r="CT353" s="99">
        <v>-277000</v>
      </c>
      <c r="CU353" s="99">
        <v>-9140</v>
      </c>
      <c r="CV353" s="99">
        <v>-98</v>
      </c>
      <c r="CW353" s="99">
        <v>-105056</v>
      </c>
      <c r="CX353" s="99">
        <v>-1885564</v>
      </c>
      <c r="CY353" s="99">
        <v>-1870484</v>
      </c>
      <c r="CZ353" s="99">
        <v>-6116</v>
      </c>
      <c r="DA353" s="99">
        <v>-8964</v>
      </c>
      <c r="DB353" s="99">
        <v>-658128</v>
      </c>
      <c r="DC353" s="99">
        <v>0</v>
      </c>
      <c r="DD353" s="99">
        <v>12078346</v>
      </c>
      <c r="DE353" s="99">
        <v>8487475</v>
      </c>
      <c r="DF353" s="99">
        <v>3590871</v>
      </c>
      <c r="DG353" s="99">
        <v>3515464</v>
      </c>
      <c r="DH353" s="99">
        <v>75407</v>
      </c>
      <c r="DI353" s="99">
        <v>1910789</v>
      </c>
      <c r="DJ353" s="99">
        <v>72787</v>
      </c>
      <c r="DK353" s="99">
        <v>37235</v>
      </c>
      <c r="DL353" s="99">
        <v>1236</v>
      </c>
      <c r="DM353" s="99">
        <v>1053092</v>
      </c>
      <c r="DN353" s="99">
        <v>657700</v>
      </c>
      <c r="DO353" s="99">
        <v>17048</v>
      </c>
      <c r="DP353" s="99">
        <v>64674</v>
      </c>
      <c r="DQ353" s="99">
        <v>6969</v>
      </c>
      <c r="DR353" s="99">
        <v>48</v>
      </c>
      <c r="DS353" s="99">
        <v>-65212</v>
      </c>
      <c r="DT353" s="99">
        <v>-5430</v>
      </c>
      <c r="DU353" s="99">
        <v>-2372</v>
      </c>
      <c r="DV353" s="99">
        <v>-2</v>
      </c>
      <c r="DW353" s="99">
        <v>-34100</v>
      </c>
      <c r="DX353" s="99">
        <v>-4416</v>
      </c>
      <c r="DY353" s="99">
        <v>-27913</v>
      </c>
      <c r="DZ353" s="99">
        <v>-1771</v>
      </c>
      <c r="EA353" s="99">
        <v>-7205</v>
      </c>
      <c r="EB353" s="99">
        <v>-63</v>
      </c>
      <c r="EC353" s="99">
        <v>-16034</v>
      </c>
      <c r="ED353" s="99">
        <v>0</v>
      </c>
      <c r="EE353" s="99">
        <v>-6</v>
      </c>
      <c r="EF353" s="99">
        <v>1845577</v>
      </c>
      <c r="EG353" s="99">
        <v>656737</v>
      </c>
      <c r="EH353" s="99">
        <v>1188840</v>
      </c>
      <c r="EI353" s="99">
        <v>1168976</v>
      </c>
      <c r="EJ353" s="99">
        <v>19864</v>
      </c>
      <c r="EK353" s="99">
        <v>67357</v>
      </c>
      <c r="EL353" s="99">
        <v>18933</v>
      </c>
      <c r="EM353" s="99">
        <v>48424</v>
      </c>
      <c r="EN353" s="99">
        <v>47366</v>
      </c>
      <c r="EO353" s="99">
        <v>1058</v>
      </c>
      <c r="EP353" s="99">
        <v>34863</v>
      </c>
      <c r="EQ353" s="99">
        <v>17751</v>
      </c>
      <c r="ER353" s="99">
        <v>17112</v>
      </c>
      <c r="ES353" s="99">
        <v>16768</v>
      </c>
      <c r="ET353" s="99">
        <v>344</v>
      </c>
      <c r="EU353" s="99">
        <v>1234</v>
      </c>
      <c r="EV353" s="99">
        <v>-311</v>
      </c>
      <c r="EW353" s="99">
        <v>1545</v>
      </c>
      <c r="EX353" s="99">
        <v>1515</v>
      </c>
      <c r="EY353" s="99">
        <v>30</v>
      </c>
      <c r="EZ353" s="99">
        <v>1018992</v>
      </c>
      <c r="FA353" s="99">
        <v>317120</v>
      </c>
      <c r="FB353" s="99">
        <v>701872</v>
      </c>
      <c r="FC353" s="99">
        <v>689797</v>
      </c>
      <c r="FD353" s="99">
        <v>12075</v>
      </c>
      <c r="FE353" s="99">
        <v>650495</v>
      </c>
      <c r="FF353" s="99">
        <v>341797</v>
      </c>
      <c r="FG353" s="99">
        <v>308698</v>
      </c>
      <c r="FH353" s="99">
        <v>302341</v>
      </c>
      <c r="FI353" s="99">
        <v>6357</v>
      </c>
      <c r="FJ353" s="99">
        <v>16985</v>
      </c>
      <c r="FK353" s="99">
        <v>-94204</v>
      </c>
      <c r="FL353" s="99">
        <v>111189</v>
      </c>
      <c r="FM353" s="99">
        <v>111189</v>
      </c>
      <c r="FN353" s="99" t="s">
        <v>619</v>
      </c>
      <c r="FO353" s="99">
        <v>48640</v>
      </c>
      <c r="FP353" s="99">
        <v>6969</v>
      </c>
      <c r="FQ353" s="99">
        <v>42</v>
      </c>
      <c r="FR353" s="99">
        <v>724107</v>
      </c>
      <c r="FS353" s="99">
        <v>-91605</v>
      </c>
      <c r="FT353" s="99">
        <v>632502</v>
      </c>
      <c r="FU353" s="99">
        <v>28466</v>
      </c>
      <c r="FV353" s="99">
        <v>2739</v>
      </c>
      <c r="FW353" s="99">
        <v>25727</v>
      </c>
      <c r="FX353" s="99">
        <v>213057</v>
      </c>
      <c r="FY353" s="99">
        <v>175441</v>
      </c>
      <c r="FZ353" s="99">
        <v>20599</v>
      </c>
      <c r="GA353" s="99">
        <v>3782</v>
      </c>
      <c r="GB353" s="99">
        <v>888</v>
      </c>
      <c r="GC353" s="99">
        <v>83516</v>
      </c>
      <c r="GD353" s="99">
        <v>13278</v>
      </c>
      <c r="GE353" s="99">
        <v>20494</v>
      </c>
      <c r="GF353" s="99">
        <v>49744</v>
      </c>
      <c r="GG353" s="99">
        <v>106753</v>
      </c>
      <c r="GH353" s="99">
        <v>14671</v>
      </c>
      <c r="GI353" s="99">
        <v>902</v>
      </c>
      <c r="GJ353" s="99">
        <v>91180</v>
      </c>
      <c r="GL353"/>
      <c r="GM353"/>
      <c r="GN353"/>
      <c r="GO353"/>
    </row>
    <row r="354" spans="1:197">
      <c r="A354" s="98">
        <v>2023</v>
      </c>
      <c r="B354" s="98">
        <v>11</v>
      </c>
      <c r="C354" s="98" t="s">
        <v>227</v>
      </c>
      <c r="D354" s="99">
        <v>22618143</v>
      </c>
      <c r="E354" s="99">
        <v>-5064804</v>
      </c>
      <c r="F354" s="99">
        <v>-17364</v>
      </c>
      <c r="G354" s="99">
        <v>17535975</v>
      </c>
      <c r="H354" s="99">
        <v>8027901</v>
      </c>
      <c r="I354" s="99">
        <v>9508074</v>
      </c>
      <c r="J354" s="99">
        <v>9310234</v>
      </c>
      <c r="K354" s="99">
        <v>197840</v>
      </c>
      <c r="L354" s="99">
        <v>11764878</v>
      </c>
      <c r="M354" s="99">
        <v>6135845</v>
      </c>
      <c r="N354" s="99">
        <v>5182350</v>
      </c>
      <c r="O354" s="99">
        <v>5016287</v>
      </c>
      <c r="P354" s="99">
        <v>166063</v>
      </c>
      <c r="Q354" s="99">
        <v>76399</v>
      </c>
      <c r="R354" s="99">
        <v>370284</v>
      </c>
      <c r="S354" s="99">
        <v>-743066</v>
      </c>
      <c r="T354" s="99">
        <v>-715957</v>
      </c>
      <c r="U354" s="99">
        <v>-89162</v>
      </c>
      <c r="V354" s="99">
        <v>-22</v>
      </c>
      <c r="W354" s="99">
        <v>-557201</v>
      </c>
      <c r="X354" s="99">
        <v>0</v>
      </c>
      <c r="Y354" s="99">
        <v>-69572</v>
      </c>
      <c r="Z354" s="99">
        <v>-18827</v>
      </c>
      <c r="AA354" s="99">
        <v>-8282</v>
      </c>
      <c r="AB354" s="99">
        <v>0</v>
      </c>
      <c r="AC354" s="99">
        <v>-17364</v>
      </c>
      <c r="AD354" s="99">
        <v>11004448</v>
      </c>
      <c r="AE354" s="99">
        <v>6276246</v>
      </c>
      <c r="AF354" s="99">
        <v>4728202</v>
      </c>
      <c r="AG354" s="99">
        <v>4625791</v>
      </c>
      <c r="AH354" s="99">
        <v>102411</v>
      </c>
      <c r="AI354" s="99">
        <v>6128961</v>
      </c>
      <c r="AJ354" s="99">
        <v>2554219</v>
      </c>
      <c r="AK354" s="99">
        <v>3482643</v>
      </c>
      <c r="AL354" s="99">
        <v>44480</v>
      </c>
      <c r="AM354" s="99">
        <v>217663</v>
      </c>
      <c r="AN354" s="99">
        <v>54551</v>
      </c>
      <c r="AO354" s="99">
        <v>40752</v>
      </c>
      <c r="AP354" s="99">
        <v>14964</v>
      </c>
      <c r="AQ354" s="99">
        <v>40956</v>
      </c>
      <c r="AR354" s="99">
        <v>4466393</v>
      </c>
      <c r="AS354" s="99">
        <v>57572</v>
      </c>
      <c r="AT354" s="99">
        <v>0</v>
      </c>
      <c r="AU354" s="99">
        <v>-17364</v>
      </c>
      <c r="AV354" s="99">
        <v>568134</v>
      </c>
      <c r="AW354" s="99">
        <v>96617</v>
      </c>
      <c r="AX354" s="99">
        <v>177331</v>
      </c>
      <c r="AY354" s="99">
        <v>19121</v>
      </c>
      <c r="AZ354" s="99">
        <v>8409</v>
      </c>
      <c r="BA354" s="99">
        <v>16314</v>
      </c>
      <c r="BB354" s="99">
        <v>133487</v>
      </c>
      <c r="BC354" s="99">
        <v>170174</v>
      </c>
      <c r="BD354" s="99">
        <v>124012</v>
      </c>
      <c r="BE354" s="99">
        <v>-1027381</v>
      </c>
      <c r="BF354" s="99">
        <v>-1021780</v>
      </c>
      <c r="BG354" s="99">
        <v>-999266</v>
      </c>
      <c r="BH354" s="99">
        <v>-22514</v>
      </c>
      <c r="BI354" s="99">
        <v>-976273</v>
      </c>
      <c r="BJ354" s="99">
        <v>-8889</v>
      </c>
      <c r="BK354" s="99">
        <v>-36618</v>
      </c>
      <c r="BL354" s="99">
        <v>-5601</v>
      </c>
      <c r="BM354" s="99">
        <v>0</v>
      </c>
      <c r="BN354" s="99">
        <v>-459247</v>
      </c>
      <c r="BO354" s="99">
        <v>85492</v>
      </c>
      <c r="BP354" s="99">
        <v>20708</v>
      </c>
      <c r="BQ354" s="99">
        <v>17342</v>
      </c>
      <c r="BR354" s="99">
        <v>0</v>
      </c>
      <c r="BS354" s="99">
        <v>91477</v>
      </c>
      <c r="BT354" s="99">
        <v>51344</v>
      </c>
      <c r="BU354" s="99">
        <v>10065</v>
      </c>
      <c r="BV354" s="99">
        <v>6392</v>
      </c>
      <c r="BW354" s="99">
        <v>23676</v>
      </c>
      <c r="BX354" s="99">
        <v>-821935</v>
      </c>
      <c r="BY354" s="99">
        <v>147660</v>
      </c>
      <c r="BZ354" s="99">
        <v>9</v>
      </c>
      <c r="CA354" s="99">
        <v>257997</v>
      </c>
      <c r="CB354" s="99">
        <v>-124867</v>
      </c>
      <c r="CC354" s="99">
        <v>-124867</v>
      </c>
      <c r="CD354" s="99">
        <v>0</v>
      </c>
      <c r="CE354" s="99">
        <v>133130</v>
      </c>
      <c r="CF354" s="99">
        <v>201451</v>
      </c>
      <c r="CG354" s="99">
        <v>297</v>
      </c>
      <c r="CH354" s="99">
        <v>-68618</v>
      </c>
      <c r="CI354" s="99">
        <v>7421141</v>
      </c>
      <c r="CJ354" s="99">
        <v>1800803</v>
      </c>
      <c r="CK354" s="99">
        <v>5620338</v>
      </c>
      <c r="CL354" s="99">
        <v>4649406</v>
      </c>
      <c r="CM354" s="99">
        <v>462340</v>
      </c>
      <c r="CN354" s="99">
        <v>508592</v>
      </c>
      <c r="CO354" s="99">
        <v>0</v>
      </c>
      <c r="CP354" s="99">
        <v>0</v>
      </c>
      <c r="CQ354" s="99">
        <v>508592</v>
      </c>
      <c r="CR354" s="99">
        <v>-3064082</v>
      </c>
      <c r="CS354" s="99">
        <v>-311809</v>
      </c>
      <c r="CT354" s="99">
        <v>-200973</v>
      </c>
      <c r="CU354" s="99">
        <v>-6632</v>
      </c>
      <c r="CV354" s="99">
        <v>-152</v>
      </c>
      <c r="CW354" s="99">
        <v>-104052</v>
      </c>
      <c r="CX354" s="99">
        <v>-2752273</v>
      </c>
      <c r="CY354" s="99">
        <v>-2746012</v>
      </c>
      <c r="CZ354" s="99">
        <v>-2782</v>
      </c>
      <c r="DA354" s="99">
        <v>-3479</v>
      </c>
      <c r="DB354" s="99">
        <v>0</v>
      </c>
      <c r="DC354" s="99">
        <v>0</v>
      </c>
      <c r="DD354" s="99">
        <v>4357059</v>
      </c>
      <c r="DE354" s="99">
        <v>766190</v>
      </c>
      <c r="DF354" s="99">
        <v>3590869</v>
      </c>
      <c r="DG354" s="99">
        <v>3515464</v>
      </c>
      <c r="DH354" s="99">
        <v>75405</v>
      </c>
      <c r="DI354" s="99">
        <v>1838872</v>
      </c>
      <c r="DJ354" s="99">
        <v>101799</v>
      </c>
      <c r="DK354" s="99">
        <v>39591</v>
      </c>
      <c r="DL354" s="99">
        <v>2973</v>
      </c>
      <c r="DM354" s="99">
        <v>1009334</v>
      </c>
      <c r="DN354" s="99">
        <v>613807</v>
      </c>
      <c r="DO354" s="99">
        <v>15477</v>
      </c>
      <c r="DP354" s="99">
        <v>55775</v>
      </c>
      <c r="DQ354" s="99">
        <v>3</v>
      </c>
      <c r="DR354" s="99">
        <v>113</v>
      </c>
      <c r="DS354" s="99">
        <v>-50940</v>
      </c>
      <c r="DT354" s="99">
        <v>-6849</v>
      </c>
      <c r="DU354" s="99">
        <v>-186</v>
      </c>
      <c r="DV354" s="99">
        <v>-33</v>
      </c>
      <c r="DW354" s="99">
        <v>-37782</v>
      </c>
      <c r="DX354" s="99">
        <v>-4837</v>
      </c>
      <c r="DY354" s="99">
        <v>-30568</v>
      </c>
      <c r="DZ354" s="99">
        <v>-2377</v>
      </c>
      <c r="EA354" s="99">
        <v>-216</v>
      </c>
      <c r="EB354" s="99">
        <v>-241</v>
      </c>
      <c r="EC354" s="99">
        <v>-5494</v>
      </c>
      <c r="ED354" s="99">
        <v>0</v>
      </c>
      <c r="EE354" s="99">
        <v>-139</v>
      </c>
      <c r="EF354" s="99">
        <v>1787932</v>
      </c>
      <c r="EG354" s="99">
        <v>598929</v>
      </c>
      <c r="EH354" s="99">
        <v>1189003</v>
      </c>
      <c r="EI354" s="99">
        <v>1168979</v>
      </c>
      <c r="EJ354" s="99">
        <v>20024</v>
      </c>
      <c r="EK354" s="99">
        <v>94950</v>
      </c>
      <c r="EL354" s="99">
        <v>46511</v>
      </c>
      <c r="EM354" s="99">
        <v>48439</v>
      </c>
      <c r="EN354" s="99">
        <v>47367</v>
      </c>
      <c r="EO354" s="99">
        <v>1072</v>
      </c>
      <c r="EP354" s="99">
        <v>39405</v>
      </c>
      <c r="EQ354" s="99">
        <v>22292</v>
      </c>
      <c r="ER354" s="99">
        <v>17113</v>
      </c>
      <c r="ES354" s="99">
        <v>16768</v>
      </c>
      <c r="ET354" s="99">
        <v>345</v>
      </c>
      <c r="EU354" s="99">
        <v>2940</v>
      </c>
      <c r="EV354" s="99">
        <v>1395</v>
      </c>
      <c r="EW354" s="99">
        <v>1545</v>
      </c>
      <c r="EX354" s="99">
        <v>1516</v>
      </c>
      <c r="EY354" s="99">
        <v>29</v>
      </c>
      <c r="EZ354" s="99">
        <v>971552</v>
      </c>
      <c r="FA354" s="99">
        <v>269575</v>
      </c>
      <c r="FB354" s="99">
        <v>701977</v>
      </c>
      <c r="FC354" s="99">
        <v>689797</v>
      </c>
      <c r="FD354" s="99">
        <v>12180</v>
      </c>
      <c r="FE354" s="99">
        <v>613591</v>
      </c>
      <c r="FF354" s="99">
        <v>304852</v>
      </c>
      <c r="FG354" s="99">
        <v>308739</v>
      </c>
      <c r="FH354" s="99">
        <v>302341</v>
      </c>
      <c r="FI354" s="99">
        <v>6398</v>
      </c>
      <c r="FJ354" s="99">
        <v>15236</v>
      </c>
      <c r="FK354" s="99">
        <v>-95954</v>
      </c>
      <c r="FL354" s="99">
        <v>111190</v>
      </c>
      <c r="FM354" s="99">
        <v>111190</v>
      </c>
      <c r="FN354" s="99" t="s">
        <v>619</v>
      </c>
      <c r="FO354" s="99">
        <v>50281</v>
      </c>
      <c r="FP354" s="99">
        <v>3</v>
      </c>
      <c r="FQ354" s="99">
        <v>-26</v>
      </c>
      <c r="FR354" s="99">
        <v>767121</v>
      </c>
      <c r="FS354" s="99">
        <v>-54468</v>
      </c>
      <c r="FT354" s="99">
        <v>712653</v>
      </c>
      <c r="FU354" s="99">
        <v>15912</v>
      </c>
      <c r="FV354" s="99">
        <v>14884</v>
      </c>
      <c r="FW354" s="99">
        <v>1028</v>
      </c>
      <c r="FX354" s="99">
        <v>250126</v>
      </c>
      <c r="FY354" s="99">
        <v>199023</v>
      </c>
      <c r="FZ354" s="99">
        <v>21145</v>
      </c>
      <c r="GA354" s="99">
        <v>83468</v>
      </c>
      <c r="GB354" s="99">
        <v>7784</v>
      </c>
      <c r="GC354" s="99">
        <v>33515</v>
      </c>
      <c r="GD354" s="99">
        <v>-38631</v>
      </c>
      <c r="GE354" s="99">
        <v>9690</v>
      </c>
      <c r="GF354" s="99">
        <v>62456</v>
      </c>
      <c r="GG354" s="99">
        <v>101680</v>
      </c>
      <c r="GH354" s="99">
        <v>16452</v>
      </c>
      <c r="GI354" s="99">
        <v>1530</v>
      </c>
      <c r="GJ354" s="99">
        <v>83698</v>
      </c>
      <c r="GL354"/>
      <c r="GM354"/>
      <c r="GN354"/>
      <c r="GO354"/>
    </row>
    <row r="355" spans="1:197">
      <c r="A355" s="98">
        <v>2023</v>
      </c>
      <c r="B355" s="98">
        <v>12</v>
      </c>
      <c r="C355" s="98" t="s">
        <v>228</v>
      </c>
      <c r="D355" s="99">
        <v>26504720</v>
      </c>
      <c r="E355" s="99">
        <v>-7479362</v>
      </c>
      <c r="F355" s="99">
        <v>-17365</v>
      </c>
      <c r="G355" s="99">
        <v>19007993</v>
      </c>
      <c r="H355" s="99">
        <v>9499922</v>
      </c>
      <c r="I355" s="99">
        <v>9508071</v>
      </c>
      <c r="J355" s="99">
        <v>9310233</v>
      </c>
      <c r="K355" s="99">
        <v>197838</v>
      </c>
      <c r="L355" s="99">
        <v>8464802</v>
      </c>
      <c r="M355" s="99">
        <v>7741795</v>
      </c>
      <c r="N355" s="99">
        <v>248081</v>
      </c>
      <c r="O355" s="99">
        <v>80055</v>
      </c>
      <c r="P355" s="99">
        <v>168026</v>
      </c>
      <c r="Q355" s="99">
        <v>58512</v>
      </c>
      <c r="R355" s="99">
        <v>416414</v>
      </c>
      <c r="S355" s="99">
        <v>-757834</v>
      </c>
      <c r="T355" s="99">
        <v>-723301</v>
      </c>
      <c r="U355" s="99">
        <v>-88269</v>
      </c>
      <c r="V355" s="99">
        <v>-21</v>
      </c>
      <c r="W355" s="99">
        <v>-577106</v>
      </c>
      <c r="X355" s="99">
        <v>0</v>
      </c>
      <c r="Y355" s="99">
        <v>-57905</v>
      </c>
      <c r="Z355" s="99">
        <v>-11030</v>
      </c>
      <c r="AA355" s="99">
        <v>-19318</v>
      </c>
      <c r="AB355" s="99">
        <v>-4185</v>
      </c>
      <c r="AC355" s="99">
        <v>-17365</v>
      </c>
      <c r="AD355" s="99">
        <v>7689603</v>
      </c>
      <c r="AE355" s="99">
        <v>2961401</v>
      </c>
      <c r="AF355" s="99">
        <v>4728202</v>
      </c>
      <c r="AG355" s="99">
        <v>4625790</v>
      </c>
      <c r="AH355" s="99">
        <v>102412</v>
      </c>
      <c r="AI355" s="99">
        <v>7728897</v>
      </c>
      <c r="AJ355" s="99">
        <v>3981312</v>
      </c>
      <c r="AK355" s="99">
        <v>3686908</v>
      </c>
      <c r="AL355" s="99">
        <v>22762</v>
      </c>
      <c r="AM355" s="99">
        <v>228638</v>
      </c>
      <c r="AN355" s="99">
        <v>52026</v>
      </c>
      <c r="AO355" s="99">
        <v>51467</v>
      </c>
      <c r="AP355" s="99">
        <v>25153</v>
      </c>
      <c r="AQ355" s="99">
        <v>48525</v>
      </c>
      <c r="AR355" s="99">
        <v>-475220</v>
      </c>
      <c r="AS355" s="99">
        <v>47482</v>
      </c>
      <c r="AT355" s="99">
        <v>0</v>
      </c>
      <c r="AU355" s="99">
        <v>-17365</v>
      </c>
      <c r="AV355" s="99">
        <v>7527017</v>
      </c>
      <c r="AW355" s="99">
        <v>7219853</v>
      </c>
      <c r="AX355" s="99">
        <v>161122</v>
      </c>
      <c r="AY355" s="99">
        <v>11261</v>
      </c>
      <c r="AZ355" s="99">
        <v>782</v>
      </c>
      <c r="BA355" s="99">
        <v>45107</v>
      </c>
      <c r="BB355" s="99">
        <v>103972</v>
      </c>
      <c r="BC355" s="99">
        <v>3754</v>
      </c>
      <c r="BD355" s="99">
        <v>142288</v>
      </c>
      <c r="BE355" s="99">
        <v>-2358003</v>
      </c>
      <c r="BF355" s="99">
        <v>-2354362</v>
      </c>
      <c r="BG355" s="99">
        <v>-2333204</v>
      </c>
      <c r="BH355" s="99">
        <v>-21158</v>
      </c>
      <c r="BI355" s="99">
        <v>-2282838</v>
      </c>
      <c r="BJ355" s="99">
        <v>-17927</v>
      </c>
      <c r="BK355" s="99">
        <v>-53597</v>
      </c>
      <c r="BL355" s="99">
        <v>-3641</v>
      </c>
      <c r="BM355" s="99">
        <v>0</v>
      </c>
      <c r="BN355" s="99">
        <v>5169014</v>
      </c>
      <c r="BO355" s="99">
        <v>99174</v>
      </c>
      <c r="BP355" s="99">
        <v>18955</v>
      </c>
      <c r="BQ355" s="99">
        <v>21912</v>
      </c>
      <c r="BR355" s="99">
        <v>24</v>
      </c>
      <c r="BS355" s="99">
        <v>7218542</v>
      </c>
      <c r="BT355" s="99">
        <v>2195099</v>
      </c>
      <c r="BU355" s="99">
        <v>3559109</v>
      </c>
      <c r="BV355" s="99">
        <v>1444080</v>
      </c>
      <c r="BW355" s="99">
        <v>20254</v>
      </c>
      <c r="BX355" s="99">
        <v>-2172082</v>
      </c>
      <c r="BY355" s="99">
        <v>-17404</v>
      </c>
      <c r="BZ355" s="99">
        <v>-107</v>
      </c>
      <c r="CA355" s="99">
        <v>406416</v>
      </c>
      <c r="CB355" s="99">
        <v>-59362</v>
      </c>
      <c r="CC355" s="99">
        <v>-59362</v>
      </c>
      <c r="CD355" s="99">
        <v>0</v>
      </c>
      <c r="CE355" s="99">
        <v>347054</v>
      </c>
      <c r="CF355" s="99">
        <v>328498</v>
      </c>
      <c r="CG355" s="99">
        <v>21686</v>
      </c>
      <c r="CH355" s="99">
        <v>-3130</v>
      </c>
      <c r="CI355" s="99">
        <v>7594286</v>
      </c>
      <c r="CJ355" s="99">
        <v>2036746</v>
      </c>
      <c r="CK355" s="99">
        <v>5557540</v>
      </c>
      <c r="CL355" s="99">
        <v>4754799</v>
      </c>
      <c r="CM355" s="99">
        <v>213381</v>
      </c>
      <c r="CN355" s="99">
        <v>589360</v>
      </c>
      <c r="CO355" s="99">
        <v>0</v>
      </c>
      <c r="CP355" s="99">
        <v>98690</v>
      </c>
      <c r="CQ355" s="99">
        <v>490670</v>
      </c>
      <c r="CR355" s="99">
        <v>-4072320</v>
      </c>
      <c r="CS355" s="99">
        <v>-214932</v>
      </c>
      <c r="CT355" s="99">
        <v>-78874</v>
      </c>
      <c r="CU355" s="99">
        <v>-3942</v>
      </c>
      <c r="CV355" s="99">
        <v>-168</v>
      </c>
      <c r="CW355" s="99">
        <v>-131948</v>
      </c>
      <c r="CX355" s="99">
        <v>-2916094</v>
      </c>
      <c r="CY355" s="99">
        <v>-2861556</v>
      </c>
      <c r="CZ355" s="99">
        <v>-1078</v>
      </c>
      <c r="DA355" s="99">
        <v>-53460</v>
      </c>
      <c r="DB355" s="99">
        <v>-635390</v>
      </c>
      <c r="DC355" s="99">
        <v>-305904</v>
      </c>
      <c r="DD355" s="99">
        <v>3521966</v>
      </c>
      <c r="DE355" s="99">
        <v>-68903</v>
      </c>
      <c r="DF355" s="99">
        <v>3590869</v>
      </c>
      <c r="DG355" s="99">
        <v>3515464</v>
      </c>
      <c r="DH355" s="99">
        <v>75405</v>
      </c>
      <c r="DI355" s="99">
        <v>1777254</v>
      </c>
      <c r="DJ355" s="99">
        <v>68746</v>
      </c>
      <c r="DK355" s="99">
        <v>28048</v>
      </c>
      <c r="DL355" s="99">
        <v>942</v>
      </c>
      <c r="DM355" s="99">
        <v>1047601</v>
      </c>
      <c r="DN355" s="99">
        <v>561225</v>
      </c>
      <c r="DO355" s="99">
        <v>14364</v>
      </c>
      <c r="DP355" s="99">
        <v>56236</v>
      </c>
      <c r="DQ355" s="99">
        <v>2</v>
      </c>
      <c r="DR355" s="99">
        <v>90</v>
      </c>
      <c r="DS355" s="99">
        <v>-123429</v>
      </c>
      <c r="DT355" s="99">
        <v>-11477</v>
      </c>
      <c r="DU355" s="99">
        <v>-3594</v>
      </c>
      <c r="DV355" s="99">
        <v>-13</v>
      </c>
      <c r="DW355" s="99">
        <v>-76424</v>
      </c>
      <c r="DX355" s="99">
        <v>-3218</v>
      </c>
      <c r="DY355" s="99">
        <v>-27139</v>
      </c>
      <c r="DZ355" s="99">
        <v>-46067</v>
      </c>
      <c r="EA355" s="99">
        <v>-17350</v>
      </c>
      <c r="EB355" s="99">
        <v>-67</v>
      </c>
      <c r="EC355" s="99">
        <v>-14471</v>
      </c>
      <c r="ED355" s="99">
        <v>0</v>
      </c>
      <c r="EE355" s="99">
        <v>-33</v>
      </c>
      <c r="EF355" s="99">
        <v>1653825</v>
      </c>
      <c r="EG355" s="99">
        <v>464825</v>
      </c>
      <c r="EH355" s="99">
        <v>1189000</v>
      </c>
      <c r="EI355" s="99">
        <v>1168979</v>
      </c>
      <c r="EJ355" s="99">
        <v>20021</v>
      </c>
      <c r="EK355" s="99">
        <v>57269</v>
      </c>
      <c r="EL355" s="99">
        <v>8831</v>
      </c>
      <c r="EM355" s="99">
        <v>48438</v>
      </c>
      <c r="EN355" s="99">
        <v>47367</v>
      </c>
      <c r="EO355" s="99">
        <v>1071</v>
      </c>
      <c r="EP355" s="99">
        <v>24454</v>
      </c>
      <c r="EQ355" s="99">
        <v>7342</v>
      </c>
      <c r="ER355" s="99">
        <v>17112</v>
      </c>
      <c r="ES355" s="99">
        <v>16768</v>
      </c>
      <c r="ET355" s="99">
        <v>344</v>
      </c>
      <c r="EU355" s="99">
        <v>929</v>
      </c>
      <c r="EV355" s="99">
        <v>-616</v>
      </c>
      <c r="EW355" s="99">
        <v>1545</v>
      </c>
      <c r="EX355" s="99">
        <v>1516</v>
      </c>
      <c r="EY355" s="99">
        <v>29</v>
      </c>
      <c r="EZ355" s="99">
        <v>971177</v>
      </c>
      <c r="FA355" s="99">
        <v>269201</v>
      </c>
      <c r="FB355" s="99">
        <v>701976</v>
      </c>
      <c r="FC355" s="99">
        <v>689797</v>
      </c>
      <c r="FD355" s="99">
        <v>12179</v>
      </c>
      <c r="FE355" s="99">
        <v>543875</v>
      </c>
      <c r="FF355" s="99">
        <v>235135</v>
      </c>
      <c r="FG355" s="99">
        <v>308740</v>
      </c>
      <c r="FH355" s="99">
        <v>302342</v>
      </c>
      <c r="FI355" s="99">
        <v>6398</v>
      </c>
      <c r="FJ355" s="99">
        <v>14297</v>
      </c>
      <c r="FK355" s="99">
        <v>-96892</v>
      </c>
      <c r="FL355" s="99">
        <v>111189</v>
      </c>
      <c r="FM355" s="99">
        <v>111189</v>
      </c>
      <c r="FN355" s="99" t="s">
        <v>619</v>
      </c>
      <c r="FO355" s="99">
        <v>41765</v>
      </c>
      <c r="FP355" s="99">
        <v>2</v>
      </c>
      <c r="FQ355" s="99">
        <v>57</v>
      </c>
      <c r="FR355" s="99">
        <v>734945</v>
      </c>
      <c r="FS355" s="99">
        <v>-108414</v>
      </c>
      <c r="FT355" s="99">
        <v>626531</v>
      </c>
      <c r="FU355" s="99">
        <v>132247</v>
      </c>
      <c r="FV355" s="99">
        <v>131861</v>
      </c>
      <c r="FW355" s="99">
        <v>386</v>
      </c>
      <c r="FX355" s="99">
        <v>199572</v>
      </c>
      <c r="FY355" s="99">
        <v>192858</v>
      </c>
      <c r="FZ355" s="99">
        <v>-4797</v>
      </c>
      <c r="GA355" s="99">
        <v>225</v>
      </c>
      <c r="GB355" s="99">
        <v>127</v>
      </c>
      <c r="GC355" s="99">
        <v>-11021</v>
      </c>
      <c r="GD355" s="99">
        <v>-38432</v>
      </c>
      <c r="GE355" s="99">
        <v>3</v>
      </c>
      <c r="GF355" s="99">
        <v>27408</v>
      </c>
      <c r="GG355" s="99">
        <v>117320</v>
      </c>
      <c r="GH355" s="99">
        <v>14483</v>
      </c>
      <c r="GI355" s="99">
        <v>949</v>
      </c>
      <c r="GJ355" s="99">
        <v>101888</v>
      </c>
      <c r="GL355"/>
      <c r="GM355"/>
      <c r="GN355"/>
      <c r="GO355"/>
    </row>
    <row r="356" spans="1:197">
      <c r="A356" s="96">
        <v>2024</v>
      </c>
      <c r="B356" s="96">
        <v>1</v>
      </c>
      <c r="C356" s="97" t="s">
        <v>217</v>
      </c>
      <c r="D356" s="314">
        <v>28339503</v>
      </c>
      <c r="E356" s="314">
        <v>-9437057</v>
      </c>
      <c r="F356" s="314">
        <v>-165312</v>
      </c>
      <c r="G356" s="314">
        <v>18737134</v>
      </c>
      <c r="H356" s="314">
        <v>9082503</v>
      </c>
      <c r="I356" s="314">
        <v>9654631</v>
      </c>
      <c r="J356" s="314">
        <v>9451131</v>
      </c>
      <c r="K356" s="314">
        <v>203500</v>
      </c>
      <c r="L356" s="314">
        <v>17128519</v>
      </c>
      <c r="M356" s="314">
        <v>15268109</v>
      </c>
      <c r="N356" s="314">
        <v>163630</v>
      </c>
      <c r="O356" s="314">
        <v>0</v>
      </c>
      <c r="P356" s="314">
        <v>163630</v>
      </c>
      <c r="Q356" s="314">
        <v>57498</v>
      </c>
      <c r="R356" s="314">
        <v>1639282</v>
      </c>
      <c r="S356" s="314">
        <v>-361485</v>
      </c>
      <c r="T356" s="314">
        <v>-331898</v>
      </c>
      <c r="U356" s="314">
        <v>0</v>
      </c>
      <c r="V356" s="314">
        <v>-88232</v>
      </c>
      <c r="W356" s="314">
        <v>0</v>
      </c>
      <c r="X356" s="314">
        <v>-189735</v>
      </c>
      <c r="Y356" s="314">
        <v>-53931</v>
      </c>
      <c r="Z356" s="314">
        <v>-7545</v>
      </c>
      <c r="AA356" s="314">
        <v>-21627</v>
      </c>
      <c r="AB356" s="314">
        <v>-415</v>
      </c>
      <c r="AC356" s="314">
        <v>-165312</v>
      </c>
      <c r="AD356" s="314">
        <v>16601722</v>
      </c>
      <c r="AE356" s="314">
        <v>11727568</v>
      </c>
      <c r="AF356" s="314">
        <v>4874154</v>
      </c>
      <c r="AG356" s="314">
        <v>4766682</v>
      </c>
      <c r="AH356" s="314">
        <v>107472</v>
      </c>
      <c r="AI356" s="314">
        <v>15247716</v>
      </c>
      <c r="AJ356" s="314">
        <v>3217816</v>
      </c>
      <c r="AK356" s="314">
        <v>5334201</v>
      </c>
      <c r="AL356" s="314">
        <v>6677541</v>
      </c>
      <c r="AM356" s="314">
        <v>957862</v>
      </c>
      <c r="AN356" s="314">
        <v>436383</v>
      </c>
      <c r="AO356" s="314">
        <v>78033</v>
      </c>
      <c r="AP356" s="314">
        <v>89411</v>
      </c>
      <c r="AQ356" s="314">
        <v>75944</v>
      </c>
      <c r="AR356" s="314">
        <v>-168268</v>
      </c>
      <c r="AS356" s="314">
        <v>49953</v>
      </c>
      <c r="AT356" s="314">
        <v>0</v>
      </c>
      <c r="AU356" s="314">
        <v>-165312</v>
      </c>
      <c r="AV356" s="314">
        <v>908288</v>
      </c>
      <c r="AW356" s="314">
        <v>64189</v>
      </c>
      <c r="AX356" s="314">
        <v>166837</v>
      </c>
      <c r="AY356" s="314">
        <v>37189</v>
      </c>
      <c r="AZ356" s="314">
        <v>31376</v>
      </c>
      <c r="BA356" s="314">
        <v>13544</v>
      </c>
      <c r="BB356" s="314">
        <v>84728</v>
      </c>
      <c r="BC356" s="314">
        <v>53280</v>
      </c>
      <c r="BD356" s="314">
        <v>623982</v>
      </c>
      <c r="BE356" s="314">
        <v>-6973872</v>
      </c>
      <c r="BF356" s="314">
        <v>-6971165</v>
      </c>
      <c r="BG356" s="314">
        <v>-6912242</v>
      </c>
      <c r="BH356" s="314">
        <v>-58923</v>
      </c>
      <c r="BI356" s="314">
        <v>0</v>
      </c>
      <c r="BJ356" s="314">
        <v>-6942431</v>
      </c>
      <c r="BK356" s="314">
        <v>-28734</v>
      </c>
      <c r="BL356" s="314">
        <v>-2707</v>
      </c>
      <c r="BM356" s="314">
        <v>0</v>
      </c>
      <c r="BN356" s="314">
        <v>-6065584</v>
      </c>
      <c r="BO356" s="314">
        <v>407047</v>
      </c>
      <c r="BP356" s="314">
        <v>183122</v>
      </c>
      <c r="BQ356" s="314">
        <v>33219</v>
      </c>
      <c r="BR356" s="314">
        <v>150</v>
      </c>
      <c r="BS356" s="314">
        <v>62069</v>
      </c>
      <c r="BT356" s="314">
        <v>21564</v>
      </c>
      <c r="BU356" s="314">
        <v>5329</v>
      </c>
      <c r="BV356" s="314">
        <v>22400</v>
      </c>
      <c r="BW356" s="314">
        <v>12776</v>
      </c>
      <c r="BX356" s="314">
        <v>-6745405</v>
      </c>
      <c r="BY356" s="314">
        <v>-5643</v>
      </c>
      <c r="BZ356" s="314">
        <v>-143</v>
      </c>
      <c r="CA356" s="314">
        <v>566044</v>
      </c>
      <c r="CB356" s="314">
        <v>-35364</v>
      </c>
      <c r="CC356" s="314">
        <v>-35364</v>
      </c>
      <c r="CD356" s="314">
        <v>0</v>
      </c>
      <c r="CE356" s="314">
        <v>530680</v>
      </c>
      <c r="CF356" s="314">
        <v>436658</v>
      </c>
      <c r="CG356" s="314">
        <v>252</v>
      </c>
      <c r="CH356" s="314">
        <v>93770</v>
      </c>
      <c r="CI356" s="314">
        <v>7458533</v>
      </c>
      <c r="CJ356" s="314">
        <v>1937388</v>
      </c>
      <c r="CK356" s="314">
        <v>5521145</v>
      </c>
      <c r="CL356" s="314">
        <v>4508347</v>
      </c>
      <c r="CM356" s="314">
        <v>463677</v>
      </c>
      <c r="CN356" s="314">
        <v>549121</v>
      </c>
      <c r="CO356" s="314">
        <v>0</v>
      </c>
      <c r="CP356" s="314">
        <v>0</v>
      </c>
      <c r="CQ356" s="314">
        <v>549121</v>
      </c>
      <c r="CR356" s="314">
        <v>-2002801</v>
      </c>
      <c r="CS356" s="314">
        <v>-128624</v>
      </c>
      <c r="CT356" s="314">
        <v>-1258</v>
      </c>
      <c r="CU356" s="314">
        <v>-37989</v>
      </c>
      <c r="CV356" s="314">
        <v>-30</v>
      </c>
      <c r="CW356" s="314">
        <v>-89347</v>
      </c>
      <c r="CX356" s="314">
        <v>-1874177</v>
      </c>
      <c r="CY356" s="314">
        <v>0</v>
      </c>
      <c r="CZ356" s="314">
        <v>-1865618</v>
      </c>
      <c r="DA356" s="314">
        <v>-8559</v>
      </c>
      <c r="DB356" s="314">
        <v>0</v>
      </c>
      <c r="DC356" s="314">
        <v>0</v>
      </c>
      <c r="DD356" s="314">
        <v>5455732</v>
      </c>
      <c r="DE356" s="314">
        <v>1864402</v>
      </c>
      <c r="DF356" s="314">
        <v>3591330</v>
      </c>
      <c r="DG356" s="314">
        <v>3515464</v>
      </c>
      <c r="DH356" s="314">
        <v>75866</v>
      </c>
      <c r="DI356" s="314">
        <v>1653268</v>
      </c>
      <c r="DJ356" s="314">
        <v>65262</v>
      </c>
      <c r="DK356" s="314">
        <v>29509</v>
      </c>
      <c r="DL356" s="314">
        <v>1138</v>
      </c>
      <c r="DM356" s="314">
        <v>997476</v>
      </c>
      <c r="DN356" s="314">
        <v>477819</v>
      </c>
      <c r="DO356" s="314">
        <v>14937</v>
      </c>
      <c r="DP356" s="314">
        <v>57169</v>
      </c>
      <c r="DQ356" s="314">
        <v>9837</v>
      </c>
      <c r="DR356" s="314">
        <v>121</v>
      </c>
      <c r="DS356" s="314">
        <v>-41569</v>
      </c>
      <c r="DT356" s="314">
        <v>-418</v>
      </c>
      <c r="DU356" s="314">
        <v>-33</v>
      </c>
      <c r="DV356" s="314">
        <v>-2</v>
      </c>
      <c r="DW356" s="314">
        <v>-32459</v>
      </c>
      <c r="DX356" s="314">
        <v>-4294</v>
      </c>
      <c r="DY356" s="314">
        <v>-27401</v>
      </c>
      <c r="DZ356" s="314">
        <v>-764</v>
      </c>
      <c r="EA356" s="314">
        <v>-239</v>
      </c>
      <c r="EB356" s="314">
        <v>-123</v>
      </c>
      <c r="EC356" s="314">
        <v>-8287</v>
      </c>
      <c r="ED356" s="314">
        <v>0</v>
      </c>
      <c r="EE356" s="314">
        <v>-8</v>
      </c>
      <c r="EF356" s="314">
        <v>1611699</v>
      </c>
      <c r="EG356" s="314">
        <v>422552</v>
      </c>
      <c r="EH356" s="314">
        <v>1189147</v>
      </c>
      <c r="EI356" s="314">
        <v>1168985</v>
      </c>
      <c r="EJ356" s="314">
        <v>20162</v>
      </c>
      <c r="EK356" s="314">
        <v>64844</v>
      </c>
      <c r="EL356" s="314">
        <v>16395</v>
      </c>
      <c r="EM356" s="314">
        <v>48449</v>
      </c>
      <c r="EN356" s="314">
        <v>47367</v>
      </c>
      <c r="EO356" s="314">
        <v>1082</v>
      </c>
      <c r="EP356" s="314">
        <v>29476</v>
      </c>
      <c r="EQ356" s="314">
        <v>12360</v>
      </c>
      <c r="ER356" s="314">
        <v>17116</v>
      </c>
      <c r="ES356" s="314">
        <v>16768</v>
      </c>
      <c r="ET356" s="314">
        <v>348</v>
      </c>
      <c r="EU356" s="314">
        <v>1136</v>
      </c>
      <c r="EV356" s="314">
        <v>-410</v>
      </c>
      <c r="EW356" s="314">
        <v>1546</v>
      </c>
      <c r="EX356" s="314">
        <v>1516</v>
      </c>
      <c r="EY356" s="314">
        <v>30</v>
      </c>
      <c r="EZ356" s="314">
        <v>965017</v>
      </c>
      <c r="FA356" s="314">
        <v>262931</v>
      </c>
      <c r="FB356" s="314">
        <v>702086</v>
      </c>
      <c r="FC356" s="314">
        <v>689797</v>
      </c>
      <c r="FD356" s="314">
        <v>12289</v>
      </c>
      <c r="FE356" s="314">
        <v>477580</v>
      </c>
      <c r="FF356" s="314">
        <v>168826</v>
      </c>
      <c r="FG356" s="314">
        <v>308754</v>
      </c>
      <c r="FH356" s="314">
        <v>302341</v>
      </c>
      <c r="FI356" s="314">
        <v>6413</v>
      </c>
      <c r="FJ356" s="314">
        <v>14814</v>
      </c>
      <c r="FK356" s="314">
        <v>-96382</v>
      </c>
      <c r="FL356" s="314">
        <v>111196</v>
      </c>
      <c r="FM356" s="314">
        <v>111196</v>
      </c>
      <c r="FN356" s="314" t="s">
        <v>619</v>
      </c>
      <c r="FO356" s="314">
        <v>48882</v>
      </c>
      <c r="FP356" s="314">
        <v>9837</v>
      </c>
      <c r="FQ356" s="314">
        <v>113</v>
      </c>
      <c r="FR356" s="314">
        <v>624851</v>
      </c>
      <c r="FS356" s="314">
        <v>-21966</v>
      </c>
      <c r="FT356" s="314">
        <v>602885</v>
      </c>
      <c r="FU356" s="314">
        <v>20577</v>
      </c>
      <c r="FV356" s="314">
        <v>2283</v>
      </c>
      <c r="FW356" s="314">
        <v>18294</v>
      </c>
      <c r="FX356" s="314">
        <v>205495</v>
      </c>
      <c r="FY356" s="314">
        <v>199843</v>
      </c>
      <c r="FZ356" s="314">
        <v>22416</v>
      </c>
      <c r="GA356" s="314">
        <v>14056</v>
      </c>
      <c r="GB356" s="314">
        <v>222</v>
      </c>
      <c r="GC356" s="314">
        <v>49719</v>
      </c>
      <c r="GD356" s="314">
        <v>-80</v>
      </c>
      <c r="GE356" s="314">
        <v>0</v>
      </c>
      <c r="GF356" s="314">
        <v>49799</v>
      </c>
      <c r="GG356" s="314">
        <v>90557</v>
      </c>
      <c r="GH356" s="314">
        <v>16526</v>
      </c>
      <c r="GI356" s="314">
        <v>889</v>
      </c>
      <c r="GJ356" s="314">
        <v>73142</v>
      </c>
      <c r="GL356"/>
      <c r="GM356"/>
      <c r="GN356"/>
      <c r="GO356"/>
    </row>
    <row r="357" spans="1:197">
      <c r="A357" s="98">
        <v>2024</v>
      </c>
      <c r="B357" s="98">
        <v>2</v>
      </c>
      <c r="C357" s="98" t="s">
        <v>218</v>
      </c>
      <c r="D357" s="315">
        <v>29660233</v>
      </c>
      <c r="E357" s="315">
        <v>-2661536</v>
      </c>
      <c r="F357" s="315">
        <v>-18726</v>
      </c>
      <c r="G357" s="315">
        <v>26979971</v>
      </c>
      <c r="H357" s="315">
        <v>17325341</v>
      </c>
      <c r="I357" s="315">
        <v>9654630</v>
      </c>
      <c r="J357" s="315">
        <v>9451131</v>
      </c>
      <c r="K357" s="315">
        <v>203499</v>
      </c>
      <c r="L357" s="315">
        <v>8477543</v>
      </c>
      <c r="M357" s="315">
        <v>6683178</v>
      </c>
      <c r="N357" s="315">
        <v>153294</v>
      </c>
      <c r="O357" s="315">
        <v>0</v>
      </c>
      <c r="P357" s="315">
        <v>153294</v>
      </c>
      <c r="Q357" s="315">
        <v>77673</v>
      </c>
      <c r="R357" s="315">
        <v>1563398</v>
      </c>
      <c r="S357" s="315">
        <v>-249352</v>
      </c>
      <c r="T357" s="315">
        <v>-217511</v>
      </c>
      <c r="U357" s="315">
        <v>-83713</v>
      </c>
      <c r="V357" s="315">
        <v>-4238</v>
      </c>
      <c r="W357" s="315">
        <v>0</v>
      </c>
      <c r="X357" s="315">
        <v>-83242</v>
      </c>
      <c r="Y357" s="315">
        <v>-46318</v>
      </c>
      <c r="Z357" s="315">
        <v>-9036</v>
      </c>
      <c r="AA357" s="315">
        <v>-22805</v>
      </c>
      <c r="AB357" s="315">
        <v>0</v>
      </c>
      <c r="AC357" s="315">
        <v>-18726</v>
      </c>
      <c r="AD357" s="315">
        <v>8209465</v>
      </c>
      <c r="AE357" s="315">
        <v>3335312</v>
      </c>
      <c r="AF357" s="315">
        <v>4874153</v>
      </c>
      <c r="AG357" s="315">
        <v>4766682</v>
      </c>
      <c r="AH357" s="315">
        <v>107471</v>
      </c>
      <c r="AI357" s="315">
        <v>6662508</v>
      </c>
      <c r="AJ357" s="315">
        <v>2604983</v>
      </c>
      <c r="AK357" s="315">
        <v>3859937</v>
      </c>
      <c r="AL357" s="315">
        <v>177297</v>
      </c>
      <c r="AM357" s="315">
        <v>307548</v>
      </c>
      <c r="AN357" s="315">
        <v>70401</v>
      </c>
      <c r="AO357" s="315">
        <v>73982</v>
      </c>
      <c r="AP357" s="315">
        <v>89760</v>
      </c>
      <c r="AQ357" s="315">
        <v>1019572</v>
      </c>
      <c r="AR357" s="315">
        <v>-64217</v>
      </c>
      <c r="AS357" s="315">
        <v>68637</v>
      </c>
      <c r="AT357" s="315">
        <v>0</v>
      </c>
      <c r="AU357" s="315">
        <v>-18726</v>
      </c>
      <c r="AV357" s="315">
        <v>550058</v>
      </c>
      <c r="AW357" s="315">
        <v>23682</v>
      </c>
      <c r="AX357" s="315">
        <v>173344</v>
      </c>
      <c r="AY357" s="315">
        <v>53169</v>
      </c>
      <c r="AZ357" s="315">
        <v>28710</v>
      </c>
      <c r="BA357" s="315">
        <v>15540</v>
      </c>
      <c r="BB357" s="315">
        <v>75925</v>
      </c>
      <c r="BC357" s="315">
        <v>168911</v>
      </c>
      <c r="BD357" s="315">
        <v>184121</v>
      </c>
      <c r="BE357" s="315">
        <v>-738431</v>
      </c>
      <c r="BF357" s="315">
        <v>-734796</v>
      </c>
      <c r="BG357" s="315">
        <v>-337677</v>
      </c>
      <c r="BH357" s="315">
        <v>-397119</v>
      </c>
      <c r="BI357" s="315">
        <v>0</v>
      </c>
      <c r="BJ357" s="315">
        <v>-292428</v>
      </c>
      <c r="BK357" s="315">
        <v>-442368</v>
      </c>
      <c r="BL357" s="315">
        <v>-3635</v>
      </c>
      <c r="BM357" s="315">
        <v>0</v>
      </c>
      <c r="BN357" s="315">
        <v>-188373</v>
      </c>
      <c r="BO357" s="315">
        <v>124150</v>
      </c>
      <c r="BP357" s="315">
        <v>27668</v>
      </c>
      <c r="BQ357" s="315">
        <v>31495</v>
      </c>
      <c r="BR357" s="315">
        <v>0</v>
      </c>
      <c r="BS357" s="315">
        <v>20853</v>
      </c>
      <c r="BT357" s="315">
        <v>2516</v>
      </c>
      <c r="BU357" s="315">
        <v>49</v>
      </c>
      <c r="BV357" s="315">
        <v>5946</v>
      </c>
      <c r="BW357" s="315">
        <v>12342</v>
      </c>
      <c r="BX357" s="315">
        <v>-164333</v>
      </c>
      <c r="BY357" s="315">
        <v>-228208</v>
      </c>
      <c r="BZ357" s="315">
        <v>2</v>
      </c>
      <c r="CA357" s="315">
        <v>292211</v>
      </c>
      <c r="CB357" s="315">
        <v>-31164</v>
      </c>
      <c r="CC357" s="315">
        <v>-31164</v>
      </c>
      <c r="CD357" s="315">
        <v>0</v>
      </c>
      <c r="CE357" s="315">
        <v>261047</v>
      </c>
      <c r="CF357" s="315">
        <v>251680</v>
      </c>
      <c r="CG357" s="315">
        <v>31</v>
      </c>
      <c r="CH357" s="315">
        <v>9336</v>
      </c>
      <c r="CI357" s="315">
        <v>17750639</v>
      </c>
      <c r="CJ357" s="315">
        <v>1491902</v>
      </c>
      <c r="CK357" s="315">
        <v>16258737</v>
      </c>
      <c r="CL357" s="315">
        <v>6937836</v>
      </c>
      <c r="CM357" s="315">
        <v>8697970</v>
      </c>
      <c r="CN357" s="315">
        <v>622931</v>
      </c>
      <c r="CO357" s="315">
        <v>0</v>
      </c>
      <c r="CP357" s="315">
        <v>2134</v>
      </c>
      <c r="CQ357" s="315">
        <v>620797</v>
      </c>
      <c r="CR357" s="315">
        <v>-1479524</v>
      </c>
      <c r="CS357" s="315">
        <v>-213775</v>
      </c>
      <c r="CT357" s="315">
        <v>-62975</v>
      </c>
      <c r="CU357" s="315">
        <v>-44385</v>
      </c>
      <c r="CV357" s="315">
        <v>-69</v>
      </c>
      <c r="CW357" s="315">
        <v>-106346</v>
      </c>
      <c r="CX357" s="315">
        <v>-1256211</v>
      </c>
      <c r="CY357" s="315">
        <v>-15</v>
      </c>
      <c r="CZ357" s="315">
        <v>-1252391</v>
      </c>
      <c r="DA357" s="315">
        <v>-3805</v>
      </c>
      <c r="DB357" s="315">
        <v>0</v>
      </c>
      <c r="DC357" s="315">
        <v>-9538</v>
      </c>
      <c r="DD357" s="315">
        <v>16271115</v>
      </c>
      <c r="DE357" s="315">
        <v>12679785</v>
      </c>
      <c r="DF357" s="315">
        <v>3591330</v>
      </c>
      <c r="DG357" s="315">
        <v>3515464</v>
      </c>
      <c r="DH357" s="315">
        <v>75866</v>
      </c>
      <c r="DI357" s="315">
        <v>1815194</v>
      </c>
      <c r="DJ357" s="315">
        <v>97040</v>
      </c>
      <c r="DK357" s="315">
        <v>28626</v>
      </c>
      <c r="DL357" s="315">
        <v>3755</v>
      </c>
      <c r="DM357" s="315">
        <v>967884</v>
      </c>
      <c r="DN357" s="315">
        <v>592998</v>
      </c>
      <c r="DO357" s="315">
        <v>67638</v>
      </c>
      <c r="DP357" s="315">
        <v>54026</v>
      </c>
      <c r="DQ357" s="315">
        <v>3002</v>
      </c>
      <c r="DR357" s="315">
        <v>225</v>
      </c>
      <c r="DS357" s="315">
        <v>-45473</v>
      </c>
      <c r="DT357" s="315">
        <v>-6653</v>
      </c>
      <c r="DU357" s="315">
        <v>-131</v>
      </c>
      <c r="DV357" s="315">
        <v>-18</v>
      </c>
      <c r="DW357" s="315">
        <v>-29115</v>
      </c>
      <c r="DX357" s="315">
        <v>-2263</v>
      </c>
      <c r="DY357" s="315">
        <v>-23981</v>
      </c>
      <c r="DZ357" s="315">
        <v>-2871</v>
      </c>
      <c r="EA357" s="315">
        <v>-3</v>
      </c>
      <c r="EB357" s="315">
        <v>-159</v>
      </c>
      <c r="EC357" s="315">
        <v>-9178</v>
      </c>
      <c r="ED357" s="315">
        <v>0</v>
      </c>
      <c r="EE357" s="315">
        <v>-216</v>
      </c>
      <c r="EF357" s="315">
        <v>1769721</v>
      </c>
      <c r="EG357" s="315">
        <v>580574</v>
      </c>
      <c r="EH357" s="315">
        <v>1189147</v>
      </c>
      <c r="EI357" s="315">
        <v>1168985</v>
      </c>
      <c r="EJ357" s="315">
        <v>20162</v>
      </c>
      <c r="EK357" s="315">
        <v>90387</v>
      </c>
      <c r="EL357" s="315">
        <v>41938</v>
      </c>
      <c r="EM357" s="315">
        <v>48449</v>
      </c>
      <c r="EN357" s="315">
        <v>47366</v>
      </c>
      <c r="EO357" s="315">
        <v>1083</v>
      </c>
      <c r="EP357" s="315">
        <v>28495</v>
      </c>
      <c r="EQ357" s="315">
        <v>11380</v>
      </c>
      <c r="ER357" s="315">
        <v>17115</v>
      </c>
      <c r="ES357" s="315">
        <v>16768</v>
      </c>
      <c r="ET357" s="315">
        <v>347</v>
      </c>
      <c r="EU357" s="315">
        <v>3737</v>
      </c>
      <c r="EV357" s="315">
        <v>2193</v>
      </c>
      <c r="EW357" s="315">
        <v>1544</v>
      </c>
      <c r="EX357" s="315">
        <v>1515</v>
      </c>
      <c r="EY357" s="315">
        <v>29</v>
      </c>
      <c r="EZ357" s="315">
        <v>938769</v>
      </c>
      <c r="FA357" s="315">
        <v>236683</v>
      </c>
      <c r="FB357" s="315">
        <v>702086</v>
      </c>
      <c r="FC357" s="315">
        <v>689797</v>
      </c>
      <c r="FD357" s="315">
        <v>12289</v>
      </c>
      <c r="FE357" s="315">
        <v>592995</v>
      </c>
      <c r="FF357" s="315">
        <v>284239</v>
      </c>
      <c r="FG357" s="315">
        <v>308756</v>
      </c>
      <c r="FH357" s="315">
        <v>302342</v>
      </c>
      <c r="FI357" s="315">
        <v>6414</v>
      </c>
      <c r="FJ357" s="315">
        <v>67479</v>
      </c>
      <c r="FK357" s="315">
        <v>-43718</v>
      </c>
      <c r="FL357" s="315">
        <v>111197</v>
      </c>
      <c r="FM357" s="315">
        <v>111197</v>
      </c>
      <c r="FN357" s="315" t="s">
        <v>619</v>
      </c>
      <c r="FO357" s="315">
        <v>44848</v>
      </c>
      <c r="FP357" s="315">
        <v>3002</v>
      </c>
      <c r="FQ357" s="315">
        <v>9</v>
      </c>
      <c r="FR357" s="315">
        <v>774588</v>
      </c>
      <c r="FS357" s="315">
        <v>-117592</v>
      </c>
      <c r="FT357" s="315">
        <v>656996</v>
      </c>
      <c r="FU357" s="315">
        <v>15693</v>
      </c>
      <c r="FV357" s="315">
        <v>14712</v>
      </c>
      <c r="FW357" s="315">
        <v>981</v>
      </c>
      <c r="FX357" s="315">
        <v>179978</v>
      </c>
      <c r="FY357" s="315">
        <v>242494</v>
      </c>
      <c r="FZ357" s="315">
        <v>17918</v>
      </c>
      <c r="GA357" s="315">
        <v>75253</v>
      </c>
      <c r="GB357" s="315">
        <v>12112</v>
      </c>
      <c r="GC357" s="315">
        <v>26967</v>
      </c>
      <c r="GD357" s="315">
        <v>-79927</v>
      </c>
      <c r="GE357" s="315">
        <v>1</v>
      </c>
      <c r="GF357" s="315">
        <v>106893</v>
      </c>
      <c r="GG357" s="315">
        <v>86581</v>
      </c>
      <c r="GH357" s="315">
        <v>12950</v>
      </c>
      <c r="GI357" s="315">
        <v>1196</v>
      </c>
      <c r="GJ357" s="315">
        <v>72435</v>
      </c>
      <c r="GL357"/>
      <c r="GM357"/>
      <c r="GN357"/>
      <c r="GO357"/>
    </row>
    <row r="358" spans="1:197">
      <c r="A358" s="98">
        <v>2024</v>
      </c>
      <c r="B358" s="98">
        <v>3</v>
      </c>
      <c r="C358" s="98" t="s">
        <v>219</v>
      </c>
      <c r="D358" s="315"/>
      <c r="E358" s="315"/>
      <c r="F358" s="315"/>
      <c r="G358" s="315"/>
      <c r="H358" s="315"/>
      <c r="I358" s="315"/>
      <c r="J358" s="315"/>
      <c r="K358" s="315"/>
      <c r="L358" s="315"/>
      <c r="M358" s="315"/>
      <c r="N358" s="315"/>
      <c r="O358" s="315"/>
      <c r="P358" s="315"/>
      <c r="Q358" s="315"/>
      <c r="R358" s="315"/>
      <c r="S358" s="315"/>
      <c r="T358" s="315"/>
      <c r="U358" s="315"/>
      <c r="V358" s="315"/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  <c r="AH358" s="315"/>
      <c r="AI358" s="315"/>
      <c r="AJ358" s="315"/>
      <c r="AK358" s="315"/>
      <c r="AL358" s="315"/>
      <c r="AM358" s="315"/>
      <c r="AN358" s="315"/>
      <c r="AO358" s="315"/>
      <c r="AP358" s="315"/>
      <c r="AQ358" s="315"/>
      <c r="AR358" s="315"/>
      <c r="AS358" s="315"/>
      <c r="AT358" s="315"/>
      <c r="AU358" s="315"/>
      <c r="AV358" s="315"/>
      <c r="AW358" s="315"/>
      <c r="AX358" s="315"/>
      <c r="AY358" s="315"/>
      <c r="AZ358" s="315"/>
      <c r="BA358" s="315"/>
      <c r="BB358" s="315"/>
      <c r="BC358" s="315"/>
      <c r="BD358" s="315"/>
      <c r="BE358" s="315"/>
      <c r="BF358" s="315"/>
      <c r="BG358" s="315"/>
      <c r="BH358" s="315"/>
      <c r="BI358" s="315"/>
      <c r="BJ358" s="315"/>
      <c r="BK358" s="315"/>
      <c r="BL358" s="315"/>
      <c r="BM358" s="315"/>
      <c r="BN358" s="315"/>
      <c r="BO358" s="315"/>
      <c r="BP358" s="315"/>
      <c r="BQ358" s="315"/>
      <c r="BR358" s="315"/>
      <c r="BS358" s="315"/>
      <c r="BT358" s="315"/>
      <c r="BU358" s="315"/>
      <c r="BV358" s="315"/>
      <c r="BW358" s="315"/>
      <c r="BX358" s="315"/>
      <c r="BY358" s="315"/>
      <c r="BZ358" s="315"/>
      <c r="CA358" s="315"/>
      <c r="CB358" s="315"/>
      <c r="CC358" s="315"/>
      <c r="CD358" s="315"/>
      <c r="CE358" s="315"/>
      <c r="CF358" s="315"/>
      <c r="CG358" s="315"/>
      <c r="CH358" s="315"/>
      <c r="CI358" s="315"/>
      <c r="CJ358" s="315"/>
      <c r="CK358" s="315"/>
      <c r="CL358" s="315"/>
      <c r="CM358" s="315"/>
      <c r="CN358" s="315"/>
      <c r="CO358" s="315"/>
      <c r="CP358" s="315"/>
      <c r="CQ358" s="315"/>
      <c r="CR358" s="315"/>
      <c r="CS358" s="315"/>
      <c r="CT358" s="315"/>
      <c r="CU358" s="315"/>
      <c r="CV358" s="315"/>
      <c r="CW358" s="315"/>
      <c r="CX358" s="315"/>
      <c r="CY358" s="315"/>
      <c r="CZ358" s="315"/>
      <c r="DA358" s="315"/>
      <c r="DB358" s="315"/>
      <c r="DC358" s="315"/>
      <c r="DD358" s="315"/>
      <c r="DE358" s="315"/>
      <c r="DF358" s="315"/>
      <c r="DG358" s="315"/>
      <c r="DH358" s="315"/>
      <c r="DI358" s="315"/>
      <c r="DJ358" s="315"/>
      <c r="DK358" s="315"/>
      <c r="DL358" s="315"/>
      <c r="DM358" s="315"/>
      <c r="DN358" s="315"/>
      <c r="DO358" s="315"/>
      <c r="DP358" s="315"/>
      <c r="DQ358" s="315"/>
      <c r="DR358" s="315"/>
      <c r="DS358" s="315"/>
      <c r="DT358" s="315"/>
      <c r="DU358" s="315"/>
      <c r="DV358" s="315"/>
      <c r="DW358" s="315"/>
      <c r="DX358" s="315"/>
      <c r="DY358" s="315"/>
      <c r="DZ358" s="315"/>
      <c r="EA358" s="315"/>
      <c r="EB358" s="315"/>
      <c r="EC358" s="315"/>
      <c r="ED358" s="315"/>
      <c r="EE358" s="315"/>
      <c r="EF358" s="315"/>
      <c r="EG358" s="315"/>
      <c r="EH358" s="315"/>
      <c r="EI358" s="315"/>
      <c r="EJ358" s="315"/>
      <c r="EK358" s="315"/>
      <c r="EL358" s="315"/>
      <c r="EM358" s="315"/>
      <c r="EN358" s="315"/>
      <c r="EO358" s="315"/>
      <c r="EP358" s="315"/>
      <c r="EQ358" s="315"/>
      <c r="ER358" s="315"/>
      <c r="ES358" s="315"/>
      <c r="ET358" s="315"/>
      <c r="EU358" s="315"/>
      <c r="EV358" s="315"/>
      <c r="EW358" s="315"/>
      <c r="EX358" s="315"/>
      <c r="EY358" s="315"/>
      <c r="EZ358" s="315"/>
      <c r="FA358" s="315"/>
      <c r="FB358" s="315"/>
      <c r="FC358" s="315"/>
      <c r="FD358" s="315"/>
      <c r="FE358" s="315"/>
      <c r="FF358" s="315"/>
      <c r="FG358" s="315"/>
      <c r="FH358" s="315"/>
      <c r="FI358" s="315"/>
      <c r="FJ358" s="315"/>
      <c r="FK358" s="315"/>
      <c r="FL358" s="315"/>
      <c r="FM358" s="315"/>
      <c r="FN358" s="315"/>
      <c r="FO358" s="315"/>
      <c r="FP358" s="315"/>
      <c r="FQ358" s="315"/>
      <c r="FR358" s="315"/>
      <c r="FS358" s="315"/>
      <c r="FT358" s="315"/>
      <c r="FU358" s="315"/>
      <c r="FV358" s="315"/>
      <c r="FW358" s="315"/>
      <c r="FX358" s="315"/>
      <c r="FY358" s="315"/>
      <c r="FZ358" s="315"/>
      <c r="GA358" s="315"/>
      <c r="GB358" s="315"/>
      <c r="GC358" s="315"/>
      <c r="GD358" s="315"/>
      <c r="GE358" s="315"/>
      <c r="GF358" s="315"/>
      <c r="GG358" s="315"/>
      <c r="GH358" s="315"/>
      <c r="GI358" s="315"/>
      <c r="GJ358" s="315"/>
      <c r="GL358" s="99"/>
      <c r="GM358" s="99"/>
      <c r="GN358" s="99"/>
      <c r="GO358" s="99"/>
    </row>
    <row r="359" spans="1:197">
      <c r="A359" s="98">
        <v>2024</v>
      </c>
      <c r="B359" s="98">
        <v>4</v>
      </c>
      <c r="C359" s="98" t="s">
        <v>220</v>
      </c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99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  <c r="BZ359" s="99"/>
      <c r="CA359" s="99"/>
      <c r="CB359" s="99"/>
      <c r="CC359" s="99"/>
      <c r="CD359" s="99"/>
      <c r="CE359" s="99"/>
      <c r="CF359" s="99"/>
      <c r="CG359" s="99"/>
      <c r="CH359" s="99"/>
      <c r="CI359" s="99"/>
      <c r="CJ359" s="99"/>
      <c r="CK359" s="99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99"/>
      <c r="DB359" s="99"/>
      <c r="DC359" s="99"/>
      <c r="DD359" s="99"/>
      <c r="DE359" s="99"/>
      <c r="DF359" s="99"/>
      <c r="DG359" s="99"/>
      <c r="DH359" s="99"/>
      <c r="DI359" s="99"/>
      <c r="DJ359" s="99"/>
      <c r="DK359" s="99"/>
      <c r="DL359" s="99"/>
      <c r="DM359" s="99"/>
      <c r="DN359" s="99"/>
      <c r="DO359" s="99"/>
      <c r="DP359" s="99"/>
      <c r="DQ359" s="99"/>
      <c r="DR359" s="99"/>
      <c r="DS359" s="99"/>
      <c r="DT359" s="99"/>
      <c r="DU359" s="99"/>
      <c r="DV359" s="99"/>
      <c r="DW359" s="99"/>
      <c r="DX359" s="99"/>
      <c r="DY359" s="99"/>
      <c r="DZ359" s="99"/>
      <c r="EA359" s="99"/>
      <c r="EB359" s="99"/>
      <c r="EC359" s="99"/>
      <c r="ED359" s="99"/>
      <c r="EE359" s="99"/>
      <c r="EF359" s="99"/>
      <c r="EG359" s="99"/>
      <c r="EH359" s="99"/>
      <c r="EI359" s="99"/>
      <c r="EJ359" s="99"/>
      <c r="EK359" s="99"/>
      <c r="EL359" s="99"/>
      <c r="EM359" s="99"/>
      <c r="EN359" s="99"/>
      <c r="EO359" s="99"/>
      <c r="EP359" s="99"/>
      <c r="EQ359" s="99"/>
      <c r="ER359" s="99"/>
      <c r="ES359" s="99"/>
      <c r="ET359" s="99"/>
      <c r="EU359" s="99"/>
      <c r="EV359" s="99"/>
      <c r="EW359" s="99"/>
      <c r="EX359" s="99"/>
      <c r="EY359" s="99"/>
      <c r="EZ359" s="99"/>
      <c r="FA359" s="99"/>
      <c r="FB359" s="99"/>
      <c r="FC359" s="99"/>
      <c r="FD359" s="99"/>
      <c r="FE359" s="99"/>
      <c r="FF359" s="99"/>
      <c r="FG359" s="99"/>
      <c r="FH359" s="99"/>
      <c r="FI359" s="99"/>
      <c r="FJ359" s="99"/>
      <c r="FK359" s="99"/>
      <c r="FL359" s="99"/>
      <c r="FM359" s="99"/>
      <c r="FN359" s="99"/>
      <c r="FO359" s="99"/>
      <c r="FP359" s="99"/>
      <c r="FQ359" s="99"/>
      <c r="FR359" s="99"/>
      <c r="FS359" s="99"/>
      <c r="FT359" s="99"/>
      <c r="FU359" s="99"/>
      <c r="FV359" s="99"/>
      <c r="FW359" s="99"/>
      <c r="FX359" s="99"/>
      <c r="FY359" s="99"/>
      <c r="FZ359" s="99"/>
      <c r="GA359" s="99"/>
      <c r="GB359" s="99"/>
      <c r="GC359" s="99"/>
      <c r="GD359" s="99"/>
      <c r="GE359" s="99"/>
      <c r="GF359" s="99"/>
      <c r="GG359" s="99"/>
      <c r="GH359" s="99"/>
      <c r="GI359" s="99"/>
      <c r="GJ359" s="99"/>
      <c r="GL359" s="99"/>
      <c r="GM359" s="99"/>
      <c r="GN359" s="99"/>
      <c r="GO359" s="99"/>
    </row>
    <row r="360" spans="1:197">
      <c r="A360" s="98">
        <v>2024</v>
      </c>
      <c r="B360" s="98">
        <v>5</v>
      </c>
      <c r="C360" s="98" t="s">
        <v>221</v>
      </c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99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  <c r="BZ360" s="99"/>
      <c r="CA360" s="99"/>
      <c r="CB360" s="99"/>
      <c r="CC360" s="99"/>
      <c r="CD360" s="99"/>
      <c r="CE360" s="99"/>
      <c r="CF360" s="99"/>
      <c r="CG360" s="99"/>
      <c r="CH360" s="99"/>
      <c r="CI360" s="99"/>
      <c r="CJ360" s="99"/>
      <c r="CK360" s="99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99"/>
      <c r="DB360" s="99"/>
      <c r="DC360" s="99"/>
      <c r="DD360" s="99"/>
      <c r="DE360" s="99"/>
      <c r="DF360" s="99"/>
      <c r="DG360" s="99"/>
      <c r="DH360" s="99"/>
      <c r="DI360" s="99"/>
      <c r="DJ360" s="99"/>
      <c r="DK360" s="99"/>
      <c r="DL360" s="99"/>
      <c r="DM360" s="99"/>
      <c r="DN360" s="99"/>
      <c r="DO360" s="99"/>
      <c r="DP360" s="99"/>
      <c r="DQ360" s="99"/>
      <c r="DR360" s="99"/>
      <c r="DS360" s="99"/>
      <c r="DT360" s="99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  <c r="EK360" s="99"/>
      <c r="EL360" s="99"/>
      <c r="EM360" s="99"/>
      <c r="EN360" s="99"/>
      <c r="EO360" s="99"/>
      <c r="EP360" s="99"/>
      <c r="EQ360" s="99"/>
      <c r="ER360" s="99"/>
      <c r="ES360" s="99"/>
      <c r="ET360" s="99"/>
      <c r="EU360" s="99"/>
      <c r="EV360" s="99"/>
      <c r="EW360" s="99"/>
      <c r="EX360" s="99"/>
      <c r="EY360" s="99"/>
      <c r="EZ360" s="99"/>
      <c r="FA360" s="99"/>
      <c r="FB360" s="99"/>
      <c r="FC360" s="99"/>
      <c r="FD360" s="99"/>
      <c r="FE360" s="99"/>
      <c r="FF360" s="99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L360" s="99"/>
      <c r="GM360" s="99"/>
      <c r="GN360" s="99"/>
      <c r="GO360" s="99"/>
    </row>
    <row r="361" spans="1:197">
      <c r="A361" s="98">
        <v>2024</v>
      </c>
      <c r="B361" s="98">
        <v>6</v>
      </c>
      <c r="C361" s="98" t="s">
        <v>222</v>
      </c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99"/>
      <c r="DB361" s="99"/>
      <c r="DC361" s="99"/>
      <c r="DD361" s="99"/>
      <c r="DE361" s="99"/>
      <c r="DF361" s="99"/>
      <c r="DG361" s="99"/>
      <c r="DH361" s="99"/>
      <c r="DI361" s="99"/>
      <c r="DJ361" s="99"/>
      <c r="DK361" s="99"/>
      <c r="DL361" s="99"/>
      <c r="DM361" s="99"/>
      <c r="DN361" s="99"/>
      <c r="DO361" s="99"/>
      <c r="DP361" s="99"/>
      <c r="DQ361" s="99"/>
      <c r="DR361" s="99"/>
      <c r="DS361" s="99"/>
      <c r="DT361" s="99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  <c r="EK361" s="99"/>
      <c r="EL361" s="99"/>
      <c r="EM361" s="99"/>
      <c r="EN361" s="99"/>
      <c r="EO361" s="99"/>
      <c r="EP361" s="99"/>
      <c r="EQ361" s="99"/>
      <c r="ER361" s="99"/>
      <c r="ES361" s="99"/>
      <c r="ET361" s="99"/>
      <c r="EU361" s="99"/>
      <c r="EV361" s="99"/>
      <c r="EW361" s="99"/>
      <c r="EX361" s="99"/>
      <c r="EY361" s="99"/>
      <c r="EZ361" s="99"/>
      <c r="FA361" s="99"/>
      <c r="FB361" s="99"/>
      <c r="FC361" s="99"/>
      <c r="FD361" s="99"/>
      <c r="FE361" s="99"/>
      <c r="FF361" s="99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L361" s="99"/>
      <c r="GM361" s="99"/>
      <c r="GN361" s="99"/>
      <c r="GO361" s="99"/>
    </row>
    <row r="362" spans="1:197">
      <c r="A362" s="98">
        <v>2024</v>
      </c>
      <c r="B362" s="98">
        <v>7</v>
      </c>
      <c r="C362" s="98" t="s">
        <v>223</v>
      </c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  <c r="EU362" s="99"/>
      <c r="EV362" s="99"/>
      <c r="EW362" s="99"/>
      <c r="EX362" s="99"/>
      <c r="EY362" s="99"/>
      <c r="EZ362" s="99"/>
      <c r="FA362" s="99"/>
      <c r="FB362" s="99"/>
      <c r="FC362" s="99"/>
      <c r="FD362" s="99"/>
      <c r="FE362" s="99"/>
      <c r="FF362" s="99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L362" s="99"/>
      <c r="GM362" s="99"/>
      <c r="GN362" s="99"/>
      <c r="GO362" s="99"/>
    </row>
    <row r="363" spans="1:197">
      <c r="A363" s="98">
        <v>2024</v>
      </c>
      <c r="B363" s="98">
        <v>8</v>
      </c>
      <c r="C363" s="98" t="s">
        <v>224</v>
      </c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99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  <c r="BZ363" s="99"/>
      <c r="CA363" s="99"/>
      <c r="CB363" s="99"/>
      <c r="CC363" s="99"/>
      <c r="CD363" s="99"/>
      <c r="CE363" s="99"/>
      <c r="CF363" s="99"/>
      <c r="CG363" s="99"/>
      <c r="CH363" s="99"/>
      <c r="CI363" s="99"/>
      <c r="CJ363" s="99"/>
      <c r="CK363" s="99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99"/>
      <c r="DB363" s="99"/>
      <c r="DC363" s="99"/>
      <c r="DD363" s="99"/>
      <c r="DE363" s="99"/>
      <c r="DF363" s="99"/>
      <c r="DG363" s="99"/>
      <c r="DH363" s="99"/>
      <c r="DI363" s="99"/>
      <c r="DJ363" s="99"/>
      <c r="DK363" s="99"/>
      <c r="DL363" s="99"/>
      <c r="DM363" s="99"/>
      <c r="DN363" s="99"/>
      <c r="DO363" s="99"/>
      <c r="DP363" s="99"/>
      <c r="DQ363" s="99"/>
      <c r="DR363" s="99"/>
      <c r="DS363" s="99"/>
      <c r="DT363" s="99"/>
      <c r="DU363" s="99"/>
      <c r="DV363" s="99"/>
      <c r="DW363" s="99"/>
      <c r="DX363" s="99"/>
      <c r="DY363" s="99"/>
      <c r="DZ363" s="99"/>
      <c r="EA363" s="99"/>
      <c r="EB363" s="99"/>
      <c r="EC363" s="99"/>
      <c r="ED363" s="99"/>
      <c r="EE363" s="99"/>
      <c r="EF363" s="99"/>
      <c r="EG363" s="99"/>
      <c r="EH363" s="99"/>
      <c r="EI363" s="99"/>
      <c r="EJ363" s="99"/>
      <c r="EK363" s="99"/>
      <c r="EL363" s="99"/>
      <c r="EM363" s="99"/>
      <c r="EN363" s="99"/>
      <c r="EO363" s="99"/>
      <c r="EP363" s="99"/>
      <c r="EQ363" s="99"/>
      <c r="ER363" s="99"/>
      <c r="ES363" s="99"/>
      <c r="ET363" s="99"/>
      <c r="EU363" s="99"/>
      <c r="EV363" s="99"/>
      <c r="EW363" s="99"/>
      <c r="EX363" s="99"/>
      <c r="EY363" s="99"/>
      <c r="EZ363" s="99"/>
      <c r="FA363" s="99"/>
      <c r="FB363" s="99"/>
      <c r="FC363" s="99"/>
      <c r="FD363" s="99"/>
      <c r="FE363" s="99"/>
      <c r="FF363" s="99"/>
      <c r="FG363" s="99"/>
      <c r="FH363" s="99"/>
      <c r="FI363" s="99"/>
      <c r="FJ363" s="99"/>
      <c r="FK363" s="99"/>
      <c r="FL363" s="99"/>
      <c r="FM363" s="99"/>
      <c r="FN363" s="99"/>
      <c r="FO363" s="99"/>
      <c r="FP363" s="99"/>
      <c r="FQ363" s="99"/>
      <c r="FR363" s="99"/>
      <c r="FS363" s="99"/>
      <c r="FT363" s="99"/>
      <c r="FU363" s="99"/>
      <c r="FV363" s="99"/>
      <c r="FW363" s="99"/>
      <c r="FX363" s="99"/>
      <c r="FY363" s="99"/>
      <c r="FZ363" s="99"/>
      <c r="GA363" s="99"/>
      <c r="GB363" s="99"/>
      <c r="GC363" s="99"/>
      <c r="GD363" s="99"/>
      <c r="GE363" s="99"/>
      <c r="GF363" s="99"/>
      <c r="GG363" s="99"/>
      <c r="GH363" s="99"/>
      <c r="GI363" s="99"/>
      <c r="GJ363" s="99"/>
      <c r="GL363" s="99"/>
      <c r="GM363" s="99"/>
      <c r="GN363" s="99"/>
      <c r="GO363" s="99"/>
    </row>
    <row r="364" spans="1:197">
      <c r="A364" s="98">
        <v>2024</v>
      </c>
      <c r="B364" s="98">
        <v>9</v>
      </c>
      <c r="C364" s="98" t="s">
        <v>225</v>
      </c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  <c r="BZ364" s="99"/>
      <c r="CA364" s="99"/>
      <c r="CB364" s="99"/>
      <c r="CC364" s="99"/>
      <c r="CD364" s="99"/>
      <c r="CE364" s="99"/>
      <c r="CF364" s="99"/>
      <c r="CG364" s="99"/>
      <c r="CH364" s="99"/>
      <c r="CI364" s="99"/>
      <c r="CJ364" s="99"/>
      <c r="CK364" s="99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99"/>
      <c r="DB364" s="99"/>
      <c r="DC364" s="99"/>
      <c r="DD364" s="99"/>
      <c r="DE364" s="99"/>
      <c r="DF364" s="99"/>
      <c r="DG364" s="99"/>
      <c r="DH364" s="99"/>
      <c r="DI364" s="99"/>
      <c r="DJ364" s="99"/>
      <c r="DK364" s="99"/>
      <c r="DL364" s="99"/>
      <c r="DM364" s="99"/>
      <c r="DN364" s="99"/>
      <c r="DO364" s="99"/>
      <c r="DP364" s="99"/>
      <c r="DQ364" s="99"/>
      <c r="DR364" s="99"/>
      <c r="DS364" s="99"/>
      <c r="DT364" s="99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  <c r="EK364" s="99"/>
      <c r="EL364" s="99"/>
      <c r="EM364" s="99"/>
      <c r="EN364" s="99"/>
      <c r="EO364" s="99"/>
      <c r="EP364" s="99"/>
      <c r="EQ364" s="99"/>
      <c r="ER364" s="99"/>
      <c r="ES364" s="99"/>
      <c r="ET364" s="99"/>
      <c r="EU364" s="99"/>
      <c r="EV364" s="99"/>
      <c r="EW364" s="99"/>
      <c r="EX364" s="99"/>
      <c r="EY364" s="99"/>
      <c r="EZ364" s="99"/>
      <c r="FA364" s="99"/>
      <c r="FB364" s="99"/>
      <c r="FC364" s="99"/>
      <c r="FD364" s="99"/>
      <c r="FE364" s="99"/>
      <c r="FF364" s="99"/>
      <c r="FG364" s="99"/>
      <c r="FH364" s="99"/>
      <c r="FI364" s="99"/>
      <c r="FJ364" s="99"/>
      <c r="FK364" s="99"/>
      <c r="FL364" s="99"/>
      <c r="FM364" s="99"/>
      <c r="FN364" s="99"/>
      <c r="FO364" s="99"/>
      <c r="FP364" s="99"/>
      <c r="FQ364" s="99"/>
      <c r="FR364" s="99"/>
      <c r="FS364" s="99"/>
      <c r="FT364" s="99"/>
      <c r="FU364" s="99"/>
      <c r="FV364" s="99"/>
      <c r="FW364" s="99"/>
      <c r="FX364" s="99"/>
      <c r="FY364" s="99"/>
      <c r="FZ364" s="99"/>
      <c r="GA364" s="99"/>
      <c r="GB364" s="99"/>
      <c r="GC364" s="99"/>
      <c r="GD364" s="99"/>
      <c r="GE364" s="99"/>
      <c r="GF364" s="99"/>
      <c r="GG364" s="99"/>
      <c r="GH364" s="99"/>
      <c r="GI364" s="99"/>
      <c r="GJ364" s="99"/>
      <c r="GL364" s="99"/>
      <c r="GM364" s="99"/>
      <c r="GN364" s="99"/>
      <c r="GO364" s="99"/>
    </row>
    <row r="365" spans="1:197">
      <c r="A365" s="98">
        <v>2024</v>
      </c>
      <c r="B365" s="98">
        <v>10</v>
      </c>
      <c r="C365" s="98" t="s">
        <v>226</v>
      </c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  <c r="BZ365" s="99"/>
      <c r="CA365" s="99"/>
      <c r="CB365" s="99"/>
      <c r="CC365" s="99"/>
      <c r="CD365" s="99"/>
      <c r="CE365" s="99"/>
      <c r="CF365" s="99"/>
      <c r="CG365" s="99"/>
      <c r="CH365" s="99"/>
      <c r="CI365" s="99"/>
      <c r="CJ365" s="99"/>
      <c r="CK365" s="99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99"/>
      <c r="DB365" s="99"/>
      <c r="DC365" s="99"/>
      <c r="DD365" s="99"/>
      <c r="DE365" s="99"/>
      <c r="DF365" s="99"/>
      <c r="DG365" s="99"/>
      <c r="DH365" s="99"/>
      <c r="DI365" s="99"/>
      <c r="DJ365" s="99"/>
      <c r="DK365" s="99"/>
      <c r="DL365" s="99"/>
      <c r="DM365" s="99"/>
      <c r="DN365" s="99"/>
      <c r="DO365" s="99"/>
      <c r="DP365" s="99"/>
      <c r="DQ365" s="99"/>
      <c r="DR365" s="99"/>
      <c r="DS365" s="99"/>
      <c r="DT365" s="99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  <c r="EK365" s="99"/>
      <c r="EL365" s="99"/>
      <c r="EM365" s="99"/>
      <c r="EN365" s="99"/>
      <c r="EO365" s="99"/>
      <c r="EP365" s="99"/>
      <c r="EQ365" s="99"/>
      <c r="ER365" s="99"/>
      <c r="ES365" s="99"/>
      <c r="ET365" s="99"/>
      <c r="EU365" s="99"/>
      <c r="EV365" s="99"/>
      <c r="EW365" s="99"/>
      <c r="EX365" s="99"/>
      <c r="EY365" s="99"/>
      <c r="EZ365" s="99"/>
      <c r="FA365" s="99"/>
      <c r="FB365" s="99"/>
      <c r="FC365" s="99"/>
      <c r="FD365" s="99"/>
      <c r="FE365" s="99"/>
      <c r="FF365" s="99"/>
      <c r="FG365" s="99"/>
      <c r="FH365" s="99"/>
      <c r="FI365" s="99"/>
      <c r="FJ365" s="99"/>
      <c r="FK365" s="99"/>
      <c r="FL365" s="99"/>
      <c r="FM365" s="99"/>
      <c r="FN365" s="99"/>
      <c r="FO365" s="99"/>
      <c r="FP365" s="99"/>
      <c r="FQ365" s="99"/>
      <c r="FR365" s="99"/>
      <c r="FS365" s="99"/>
      <c r="FT365" s="99"/>
      <c r="FU365" s="99"/>
      <c r="FV365" s="99"/>
      <c r="FW365" s="99"/>
      <c r="FX365" s="99"/>
      <c r="FY365" s="99"/>
      <c r="FZ365" s="99"/>
      <c r="GA365" s="99"/>
      <c r="GB365" s="99"/>
      <c r="GC365" s="99"/>
      <c r="GD365" s="99"/>
      <c r="GE365" s="99"/>
      <c r="GF365" s="99"/>
      <c r="GG365" s="99"/>
      <c r="GH365" s="99"/>
      <c r="GI365" s="99"/>
      <c r="GJ365" s="99"/>
      <c r="GL365" s="99"/>
      <c r="GM365" s="99"/>
      <c r="GN365" s="99"/>
      <c r="GO365" s="99"/>
    </row>
    <row r="366" spans="1:197">
      <c r="A366" s="98">
        <v>2024</v>
      </c>
      <c r="B366" s="98">
        <v>11</v>
      </c>
      <c r="C366" s="98" t="s">
        <v>227</v>
      </c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  <c r="BZ366" s="99"/>
      <c r="CA366" s="99"/>
      <c r="CB366" s="99"/>
      <c r="CC366" s="99"/>
      <c r="CD366" s="99"/>
      <c r="CE366" s="99"/>
      <c r="CF366" s="99"/>
      <c r="CG366" s="99"/>
      <c r="CH366" s="99"/>
      <c r="CI366" s="99"/>
      <c r="CJ366" s="99"/>
      <c r="CK366" s="99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99"/>
      <c r="DB366" s="99"/>
      <c r="DC366" s="99"/>
      <c r="DD366" s="99"/>
      <c r="DE366" s="99"/>
      <c r="DF366" s="99"/>
      <c r="DG366" s="99"/>
      <c r="DH366" s="99"/>
      <c r="DI366" s="99"/>
      <c r="DJ366" s="99"/>
      <c r="DK366" s="99"/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99"/>
      <c r="EZ366" s="99"/>
      <c r="FA366" s="99"/>
      <c r="FB366" s="99"/>
      <c r="FC366" s="99"/>
      <c r="FD366" s="99"/>
      <c r="FE366" s="99"/>
      <c r="FF366" s="99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L366" s="99"/>
      <c r="GM366" s="99"/>
      <c r="GN366" s="99"/>
      <c r="GO366" s="99"/>
    </row>
    <row r="367" spans="1:197">
      <c r="A367" s="98">
        <v>2024</v>
      </c>
      <c r="B367" s="98">
        <v>12</v>
      </c>
      <c r="C367" s="98" t="s">
        <v>228</v>
      </c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  <c r="BZ367" s="99"/>
      <c r="CA367" s="99"/>
      <c r="CB367" s="99"/>
      <c r="CC367" s="99"/>
      <c r="CD367" s="99"/>
      <c r="CE367" s="99"/>
      <c r="CF367" s="99"/>
      <c r="CG367" s="99"/>
      <c r="CH367" s="99"/>
      <c r="CI367" s="99"/>
      <c r="CJ367" s="99"/>
      <c r="CK367" s="99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99"/>
      <c r="DB367" s="99"/>
      <c r="DC367" s="99"/>
      <c r="DD367" s="99"/>
      <c r="DE367" s="99"/>
      <c r="DF367" s="99"/>
      <c r="DG367" s="99"/>
      <c r="DH367" s="99"/>
      <c r="DI367" s="99"/>
      <c r="DJ367" s="99"/>
      <c r="DK367" s="99"/>
      <c r="DL367" s="99"/>
      <c r="DM367" s="99"/>
      <c r="DN367" s="99"/>
      <c r="DO367" s="99"/>
      <c r="DP367" s="99"/>
      <c r="DQ367" s="99"/>
      <c r="DR367" s="99"/>
      <c r="DS367" s="99"/>
      <c r="DT367" s="99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  <c r="EK367" s="99"/>
      <c r="EL367" s="99"/>
      <c r="EM367" s="99"/>
      <c r="EN367" s="99"/>
      <c r="EO367" s="99"/>
      <c r="EP367" s="99"/>
      <c r="EQ367" s="99"/>
      <c r="ER367" s="99"/>
      <c r="ES367" s="99"/>
      <c r="ET367" s="99"/>
      <c r="EU367" s="99"/>
      <c r="EV367" s="99"/>
      <c r="EW367" s="99"/>
      <c r="EX367" s="99"/>
      <c r="EY367" s="99"/>
      <c r="EZ367" s="99"/>
      <c r="FA367" s="99"/>
      <c r="FB367" s="99"/>
      <c r="FC367" s="99"/>
      <c r="FD367" s="99"/>
      <c r="FE367" s="99"/>
      <c r="FF367" s="99"/>
      <c r="FG367" s="99"/>
      <c r="FH367" s="99"/>
      <c r="FI367" s="99"/>
      <c r="FJ367" s="99"/>
      <c r="FK367" s="99"/>
      <c r="FL367" s="99"/>
      <c r="FM367" s="99"/>
      <c r="FN367" s="99"/>
      <c r="FO367" s="99"/>
      <c r="FP367" s="99"/>
      <c r="FQ367" s="99"/>
      <c r="FR367" s="99"/>
      <c r="FS367" s="99"/>
      <c r="FT367" s="99"/>
      <c r="FU367" s="99"/>
      <c r="FV367" s="99"/>
      <c r="FW367" s="99"/>
      <c r="FX367" s="99"/>
      <c r="FY367" s="99"/>
      <c r="FZ367" s="99"/>
      <c r="GA367" s="99"/>
      <c r="GB367" s="99"/>
      <c r="GC367" s="99"/>
      <c r="GD367" s="99"/>
      <c r="GE367" s="99"/>
      <c r="GF367" s="99"/>
      <c r="GG367" s="99"/>
      <c r="GH367" s="99"/>
      <c r="GI367" s="99"/>
      <c r="GJ367" s="99"/>
      <c r="GL367" s="99"/>
      <c r="GM367" s="99"/>
      <c r="GN367" s="99"/>
      <c r="GO367" s="99"/>
    </row>
    <row r="368" spans="1:197">
      <c r="C368" s="98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  <c r="BZ368" s="99"/>
      <c r="CA368" s="99"/>
      <c r="CB368" s="99"/>
      <c r="CC368" s="99"/>
      <c r="CD368" s="99"/>
      <c r="CE368" s="99"/>
      <c r="CF368" s="99"/>
      <c r="CG368" s="99"/>
      <c r="CH368" s="99"/>
      <c r="CI368" s="99"/>
      <c r="CJ368" s="99"/>
      <c r="CK368" s="99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99"/>
      <c r="DB368" s="99"/>
      <c r="DC368" s="99"/>
      <c r="DD368" s="99"/>
      <c r="DE368" s="99"/>
      <c r="DF368" s="99"/>
      <c r="DG368" s="99"/>
      <c r="DH368" s="99"/>
      <c r="DI368" s="99"/>
      <c r="DJ368" s="99"/>
      <c r="DK368" s="99"/>
      <c r="DL368" s="99"/>
      <c r="DM368" s="99"/>
      <c r="DN368" s="99"/>
      <c r="DO368" s="99"/>
      <c r="DP368" s="99"/>
      <c r="DQ368" s="99"/>
      <c r="DR368" s="99"/>
      <c r="DS368" s="99"/>
      <c r="DT368" s="99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  <c r="EK368" s="99"/>
      <c r="EL368" s="99"/>
      <c r="EM368" s="99"/>
      <c r="EN368" s="99"/>
      <c r="EO368" s="99"/>
      <c r="EP368" s="99"/>
      <c r="EQ368" s="99"/>
      <c r="ER368" s="99"/>
      <c r="ES368" s="99"/>
      <c r="ET368" s="99"/>
      <c r="EU368" s="99"/>
      <c r="EV368" s="99"/>
      <c r="EW368" s="99"/>
      <c r="EX368" s="99"/>
      <c r="EY368" s="99"/>
      <c r="EZ368" s="99"/>
      <c r="FA368" s="99"/>
      <c r="FB368" s="99"/>
      <c r="FC368" s="99"/>
      <c r="FD368" s="99"/>
      <c r="FE368" s="99"/>
      <c r="FF368" s="99"/>
      <c r="FG368" s="99"/>
      <c r="FH368" s="99"/>
      <c r="FI368" s="99"/>
      <c r="FJ368" s="99"/>
      <c r="FK368" s="99"/>
      <c r="FL368" s="99"/>
      <c r="FM368" s="99"/>
      <c r="FN368" s="99"/>
      <c r="FO368" s="99"/>
      <c r="FP368" s="99"/>
      <c r="FQ368" s="99"/>
      <c r="FR368" s="99"/>
      <c r="FS368" s="99"/>
      <c r="FT368" s="99"/>
      <c r="FU368" s="99"/>
      <c r="FV368" s="99"/>
      <c r="FW368" s="99"/>
      <c r="FX368" s="99"/>
      <c r="FY368" s="99"/>
      <c r="FZ368" s="99"/>
      <c r="GA368" s="99"/>
      <c r="GB368" s="99"/>
      <c r="GC368" s="99"/>
      <c r="GD368" s="99"/>
      <c r="GE368" s="99"/>
      <c r="GF368" s="99"/>
      <c r="GG368" s="99"/>
      <c r="GH368" s="99"/>
      <c r="GI368" s="99"/>
      <c r="GJ368" s="99"/>
      <c r="GL368" s="99"/>
    </row>
    <row r="369" spans="1:192" ht="20.399999999999999">
      <c r="A369" s="268" t="s">
        <v>606</v>
      </c>
      <c r="B369" s="269"/>
      <c r="C369" s="269"/>
    </row>
    <row r="370" spans="1:192" ht="14.25" customHeight="1">
      <c r="A370" s="376" t="s">
        <v>538</v>
      </c>
      <c r="B370" s="377"/>
      <c r="C370" s="378"/>
      <c r="D370" s="84" t="s">
        <v>458</v>
      </c>
      <c r="E370" s="85"/>
      <c r="F370" s="85"/>
      <c r="G370" s="85"/>
      <c r="H370" s="85"/>
      <c r="I370" s="85"/>
      <c r="J370" s="85"/>
      <c r="K370" s="85"/>
      <c r="L370" s="86" t="s">
        <v>53</v>
      </c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8" t="s">
        <v>54</v>
      </c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90" t="s">
        <v>497</v>
      </c>
      <c r="CB370" s="91"/>
      <c r="CC370" s="91"/>
      <c r="CD370" s="91"/>
      <c r="CE370" s="91"/>
      <c r="CF370" s="91"/>
      <c r="CG370" s="91"/>
      <c r="CH370" s="91"/>
      <c r="CI370" s="92" t="s">
        <v>85</v>
      </c>
      <c r="CJ370" s="92"/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3" t="s">
        <v>61</v>
      </c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4" t="s">
        <v>580</v>
      </c>
      <c r="FS370" s="94"/>
      <c r="FT370" s="94"/>
      <c r="FU370" s="94"/>
      <c r="FV370" s="94"/>
      <c r="FW370" s="94"/>
      <c r="FX370" s="94"/>
      <c r="FY370" s="94"/>
      <c r="FZ370" s="94"/>
      <c r="GA370" s="94"/>
      <c r="GB370" s="94"/>
      <c r="GC370" s="94"/>
      <c r="GD370" s="94"/>
      <c r="GE370" s="94"/>
      <c r="GF370" s="94"/>
      <c r="GG370" s="94"/>
      <c r="GH370" s="94"/>
      <c r="GI370" s="94"/>
      <c r="GJ370" s="94"/>
    </row>
    <row r="371" spans="1:192" ht="14.25" customHeight="1">
      <c r="A371" s="379"/>
      <c r="B371" s="380"/>
      <c r="C371" s="381"/>
      <c r="D371" s="361" t="s">
        <v>539</v>
      </c>
      <c r="E371" s="361" t="s">
        <v>460</v>
      </c>
      <c r="F371" s="361" t="s">
        <v>486</v>
      </c>
      <c r="G371" s="357" t="s">
        <v>461</v>
      </c>
      <c r="H371" s="357"/>
      <c r="I371" s="357"/>
      <c r="J371" s="357"/>
      <c r="K371" s="357"/>
      <c r="L371" s="361" t="s">
        <v>539</v>
      </c>
      <c r="M371" s="361"/>
      <c r="N371" s="361"/>
      <c r="O371" s="361"/>
      <c r="P371" s="361"/>
      <c r="Q371" s="361"/>
      <c r="R371" s="361"/>
      <c r="S371" s="363" t="s">
        <v>460</v>
      </c>
      <c r="T371" s="363"/>
      <c r="U371" s="363"/>
      <c r="V371" s="363"/>
      <c r="W371" s="363"/>
      <c r="X371" s="363"/>
      <c r="Y371" s="363"/>
      <c r="Z371" s="363"/>
      <c r="AA371" s="363"/>
      <c r="AB371" s="363"/>
      <c r="AC371" s="361" t="s">
        <v>486</v>
      </c>
      <c r="AD371" s="370" t="s">
        <v>461</v>
      </c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61" t="s">
        <v>539</v>
      </c>
      <c r="AW371" s="361"/>
      <c r="AX371" s="361"/>
      <c r="AY371" s="361"/>
      <c r="AZ371" s="361"/>
      <c r="BA371" s="361"/>
      <c r="BB371" s="361"/>
      <c r="BC371" s="361"/>
      <c r="BD371" s="361"/>
      <c r="BE371" s="363" t="s">
        <v>460</v>
      </c>
      <c r="BF371" s="363"/>
      <c r="BG371" s="363"/>
      <c r="BH371" s="363"/>
      <c r="BI371" s="363"/>
      <c r="BJ371" s="363"/>
      <c r="BK371" s="363"/>
      <c r="BL371" s="363"/>
      <c r="BM371" s="363"/>
      <c r="BN371" s="370" t="s">
        <v>461</v>
      </c>
      <c r="BO371" s="370"/>
      <c r="BP371" s="370"/>
      <c r="BQ371" s="370"/>
      <c r="BR371" s="370"/>
      <c r="BS371" s="370"/>
      <c r="BT371" s="370"/>
      <c r="BU371" s="370"/>
      <c r="BV371" s="370"/>
      <c r="BW371" s="370"/>
      <c r="BX371" s="370"/>
      <c r="BY371" s="370"/>
      <c r="BZ371" s="370"/>
      <c r="CA371" s="361" t="s">
        <v>539</v>
      </c>
      <c r="CB371" s="363" t="s">
        <v>460</v>
      </c>
      <c r="CC371" s="363"/>
      <c r="CD371" s="363"/>
      <c r="CE371" s="375" t="s">
        <v>565</v>
      </c>
      <c r="CF371" s="375"/>
      <c r="CG371" s="375"/>
      <c r="CH371" s="375"/>
      <c r="CI371" s="363" t="s">
        <v>539</v>
      </c>
      <c r="CJ371" s="363"/>
      <c r="CK371" s="363"/>
      <c r="CL371" s="363"/>
      <c r="CM371" s="363"/>
      <c r="CN371" s="363"/>
      <c r="CO371" s="363"/>
      <c r="CP371" s="363"/>
      <c r="CQ371" s="363"/>
      <c r="CR371" s="363" t="s">
        <v>460</v>
      </c>
      <c r="CS371" s="363"/>
      <c r="CT371" s="363"/>
      <c r="CU371" s="363"/>
      <c r="CV371" s="363"/>
      <c r="CW371" s="363"/>
      <c r="CX371" s="363"/>
      <c r="CY371" s="363"/>
      <c r="CZ371" s="363"/>
      <c r="DA371" s="363"/>
      <c r="DB371" s="363"/>
      <c r="DC371" s="363"/>
      <c r="DD371" s="370" t="s">
        <v>575</v>
      </c>
      <c r="DE371" s="370"/>
      <c r="DF371" s="370"/>
      <c r="DG371" s="370"/>
      <c r="DH371" s="370"/>
      <c r="DI371" s="361" t="s">
        <v>539</v>
      </c>
      <c r="DJ371" s="361"/>
      <c r="DK371" s="361"/>
      <c r="DL371" s="361"/>
      <c r="DM371" s="361"/>
      <c r="DN371" s="361"/>
      <c r="DO371" s="361"/>
      <c r="DP371" s="361"/>
      <c r="DQ371" s="361"/>
      <c r="DR371" s="361"/>
      <c r="DS371" s="361" t="s">
        <v>460</v>
      </c>
      <c r="DT371" s="361"/>
      <c r="DU371" s="361"/>
      <c r="DV371" s="361"/>
      <c r="DW371" s="361"/>
      <c r="DX371" s="361"/>
      <c r="DY371" s="361"/>
      <c r="DZ371" s="361"/>
      <c r="EA371" s="361"/>
      <c r="EB371" s="361"/>
      <c r="EC371" s="361"/>
      <c r="ED371" s="361"/>
      <c r="EE371" s="361"/>
      <c r="EF371" s="370" t="s">
        <v>461</v>
      </c>
      <c r="EG371" s="370"/>
      <c r="EH371" s="370"/>
      <c r="EI371" s="370"/>
      <c r="EJ371" s="370"/>
      <c r="EK371" s="370"/>
      <c r="EL371" s="370"/>
      <c r="EM371" s="370"/>
      <c r="EN371" s="370"/>
      <c r="EO371" s="370"/>
      <c r="EP371" s="370"/>
      <c r="EQ371" s="370"/>
      <c r="ER371" s="370"/>
      <c r="ES371" s="370"/>
      <c r="ET371" s="370"/>
      <c r="EU371" s="370"/>
      <c r="EV371" s="370"/>
      <c r="EW371" s="370"/>
      <c r="EX371" s="370"/>
      <c r="EY371" s="370"/>
      <c r="EZ371" s="370"/>
      <c r="FA371" s="370"/>
      <c r="FB371" s="370"/>
      <c r="FC371" s="370"/>
      <c r="FD371" s="370"/>
      <c r="FE371" s="370"/>
      <c r="FF371" s="370"/>
      <c r="FG371" s="370"/>
      <c r="FH371" s="370"/>
      <c r="FI371" s="370"/>
      <c r="FJ371" s="370"/>
      <c r="FK371" s="370"/>
      <c r="FL371" s="370"/>
      <c r="FM371" s="370"/>
      <c r="FN371" s="370"/>
      <c r="FO371" s="370"/>
      <c r="FP371" s="370"/>
      <c r="FQ371" s="370"/>
      <c r="FR371" s="361" t="s">
        <v>539</v>
      </c>
      <c r="FS371" s="361" t="s">
        <v>460</v>
      </c>
      <c r="FT371" s="357" t="s">
        <v>461</v>
      </c>
      <c r="FU371" s="357"/>
      <c r="FV371" s="357"/>
      <c r="FW371" s="357"/>
      <c r="FX371" s="357"/>
      <c r="FY371" s="357"/>
      <c r="FZ371" s="357"/>
      <c r="GA371" s="357"/>
      <c r="GB371" s="357"/>
      <c r="GC371" s="357"/>
      <c r="GD371" s="357"/>
      <c r="GE371" s="357"/>
      <c r="GF371" s="357"/>
      <c r="GG371" s="357"/>
      <c r="GH371" s="357"/>
      <c r="GI371" s="357"/>
      <c r="GJ371" s="357"/>
    </row>
    <row r="372" spans="1:192" ht="14.25" customHeight="1">
      <c r="A372" s="379"/>
      <c r="B372" s="380"/>
      <c r="C372" s="381"/>
      <c r="D372" s="361"/>
      <c r="E372" s="361"/>
      <c r="F372" s="361"/>
      <c r="G372" s="357" t="s">
        <v>5</v>
      </c>
      <c r="H372" s="371" t="s">
        <v>540</v>
      </c>
      <c r="I372" s="371"/>
      <c r="J372" s="371"/>
      <c r="K372" s="371"/>
      <c r="L372" s="361" t="s">
        <v>5</v>
      </c>
      <c r="M372" s="355" t="s">
        <v>161</v>
      </c>
      <c r="N372" s="372" t="s">
        <v>123</v>
      </c>
      <c r="O372" s="373"/>
      <c r="P372" s="374"/>
      <c r="Q372" s="355" t="s">
        <v>541</v>
      </c>
      <c r="R372" s="355" t="s">
        <v>542</v>
      </c>
      <c r="S372" s="361" t="s">
        <v>5</v>
      </c>
      <c r="T372" s="355" t="s">
        <v>123</v>
      </c>
      <c r="U372" s="355"/>
      <c r="V372" s="355"/>
      <c r="W372" s="355"/>
      <c r="X372" s="355"/>
      <c r="Y372" s="355"/>
      <c r="Z372" s="355" t="s">
        <v>541</v>
      </c>
      <c r="AA372" s="355" t="s">
        <v>547</v>
      </c>
      <c r="AB372" s="355" t="s">
        <v>477</v>
      </c>
      <c r="AC372" s="361"/>
      <c r="AD372" s="357" t="s">
        <v>5</v>
      </c>
      <c r="AE372" s="362" t="s">
        <v>540</v>
      </c>
      <c r="AF372" s="362"/>
      <c r="AG372" s="362"/>
      <c r="AH372" s="362"/>
      <c r="AI372" s="362" t="s">
        <v>553</v>
      </c>
      <c r="AJ372" s="362"/>
      <c r="AK372" s="362"/>
      <c r="AL372" s="362"/>
      <c r="AM372" s="362"/>
      <c r="AN372" s="362"/>
      <c r="AO372" s="362"/>
      <c r="AP372" s="362"/>
      <c r="AQ372" s="362"/>
      <c r="AR372" s="362"/>
      <c r="AS372" s="362"/>
      <c r="AT372" s="362"/>
      <c r="AU372" s="362"/>
      <c r="AV372" s="361" t="s">
        <v>5</v>
      </c>
      <c r="AW372" s="355" t="s">
        <v>487</v>
      </c>
      <c r="AX372" s="367" t="s">
        <v>123</v>
      </c>
      <c r="AY372" s="368"/>
      <c r="AZ372" s="368"/>
      <c r="BA372" s="368"/>
      <c r="BB372" s="369"/>
      <c r="BC372" s="355" t="s">
        <v>541</v>
      </c>
      <c r="BD372" s="355" t="s">
        <v>471</v>
      </c>
      <c r="BE372" s="361" t="s">
        <v>5</v>
      </c>
      <c r="BF372" s="361" t="s">
        <v>555</v>
      </c>
      <c r="BG372" s="361"/>
      <c r="BH372" s="361"/>
      <c r="BI372" s="361"/>
      <c r="BJ372" s="361"/>
      <c r="BK372" s="361"/>
      <c r="BL372" s="355" t="s">
        <v>561</v>
      </c>
      <c r="BM372" s="355" t="s">
        <v>562</v>
      </c>
      <c r="BN372" s="370" t="s">
        <v>5</v>
      </c>
      <c r="BO372" s="355" t="s">
        <v>563</v>
      </c>
      <c r="BP372" s="355" t="s">
        <v>482</v>
      </c>
      <c r="BQ372" s="355" t="s">
        <v>483</v>
      </c>
      <c r="BR372" s="364" t="s">
        <v>484</v>
      </c>
      <c r="BS372" s="367" t="s">
        <v>487</v>
      </c>
      <c r="BT372" s="368"/>
      <c r="BU372" s="368"/>
      <c r="BV372" s="368"/>
      <c r="BW372" s="369"/>
      <c r="BX372" s="355" t="s">
        <v>123</v>
      </c>
      <c r="BY372" s="355" t="s">
        <v>541</v>
      </c>
      <c r="BZ372" s="355" t="s">
        <v>471</v>
      </c>
      <c r="CA372" s="361"/>
      <c r="CB372" s="361" t="s">
        <v>5</v>
      </c>
      <c r="CC372" s="355" t="s">
        <v>564</v>
      </c>
      <c r="CD372" s="355" t="s">
        <v>477</v>
      </c>
      <c r="CE372" s="357" t="s">
        <v>6</v>
      </c>
      <c r="CF372" s="355" t="s">
        <v>566</v>
      </c>
      <c r="CG372" s="355" t="s">
        <v>487</v>
      </c>
      <c r="CH372" s="355" t="s">
        <v>567</v>
      </c>
      <c r="CI372" s="363" t="s">
        <v>5</v>
      </c>
      <c r="CJ372" s="355" t="s">
        <v>501</v>
      </c>
      <c r="CK372" s="355" t="s">
        <v>502</v>
      </c>
      <c r="CL372" s="355"/>
      <c r="CM372" s="355"/>
      <c r="CN372" s="355"/>
      <c r="CO372" s="355"/>
      <c r="CP372" s="355"/>
      <c r="CQ372" s="355"/>
      <c r="CR372" s="361" t="s">
        <v>5</v>
      </c>
      <c r="CS372" s="355" t="s">
        <v>505</v>
      </c>
      <c r="CT372" s="355"/>
      <c r="CU372" s="355"/>
      <c r="CV372" s="355"/>
      <c r="CW372" s="355"/>
      <c r="CX372" s="355" t="s">
        <v>507</v>
      </c>
      <c r="CY372" s="355"/>
      <c r="CZ372" s="355"/>
      <c r="DA372" s="355"/>
      <c r="DB372" s="355" t="s">
        <v>573</v>
      </c>
      <c r="DC372" s="355" t="s">
        <v>574</v>
      </c>
      <c r="DD372" s="357" t="s">
        <v>5</v>
      </c>
      <c r="DE372" s="362" t="s">
        <v>540</v>
      </c>
      <c r="DF372" s="362"/>
      <c r="DG372" s="362"/>
      <c r="DH372" s="362"/>
      <c r="DI372" s="361" t="s">
        <v>5</v>
      </c>
      <c r="DJ372" s="355" t="s">
        <v>576</v>
      </c>
      <c r="DK372" s="355" t="s">
        <v>511</v>
      </c>
      <c r="DL372" s="355" t="s">
        <v>512</v>
      </c>
      <c r="DM372" s="355" t="s">
        <v>513</v>
      </c>
      <c r="DN372" s="355" t="s">
        <v>514</v>
      </c>
      <c r="DO372" s="355" t="s">
        <v>515</v>
      </c>
      <c r="DP372" s="355" t="s">
        <v>620</v>
      </c>
      <c r="DQ372" s="355" t="s">
        <v>516</v>
      </c>
      <c r="DR372" s="355" t="s">
        <v>517</v>
      </c>
      <c r="DS372" s="361" t="s">
        <v>5</v>
      </c>
      <c r="DT372" s="355" t="s">
        <v>576</v>
      </c>
      <c r="DU372" s="355" t="s">
        <v>511</v>
      </c>
      <c r="DV372" s="355" t="s">
        <v>512</v>
      </c>
      <c r="DW372" s="355" t="s">
        <v>513</v>
      </c>
      <c r="DX372" s="355"/>
      <c r="DY372" s="355"/>
      <c r="DZ372" s="355"/>
      <c r="EA372" s="355" t="s">
        <v>514</v>
      </c>
      <c r="EB372" s="355" t="s">
        <v>515</v>
      </c>
      <c r="EC372" s="355" t="s">
        <v>620</v>
      </c>
      <c r="ED372" s="355" t="s">
        <v>516</v>
      </c>
      <c r="EE372" s="355" t="s">
        <v>517</v>
      </c>
      <c r="EF372" s="357" t="s">
        <v>5</v>
      </c>
      <c r="EG372" s="362" t="s">
        <v>540</v>
      </c>
      <c r="EH372" s="362"/>
      <c r="EI372" s="362"/>
      <c r="EJ372" s="362"/>
      <c r="EK372" s="362" t="s">
        <v>577</v>
      </c>
      <c r="EL372" s="362"/>
      <c r="EM372" s="362"/>
      <c r="EN372" s="362"/>
      <c r="EO372" s="362"/>
      <c r="EP372" s="362"/>
      <c r="EQ372" s="362"/>
      <c r="ER372" s="362"/>
      <c r="ES372" s="362"/>
      <c r="ET372" s="362"/>
      <c r="EU372" s="362"/>
      <c r="EV372" s="362"/>
      <c r="EW372" s="362"/>
      <c r="EX372" s="362"/>
      <c r="EY372" s="362"/>
      <c r="EZ372" s="362"/>
      <c r="FA372" s="362"/>
      <c r="FB372" s="362"/>
      <c r="FC372" s="362"/>
      <c r="FD372" s="362"/>
      <c r="FE372" s="362"/>
      <c r="FF372" s="362"/>
      <c r="FG372" s="362"/>
      <c r="FH372" s="362"/>
      <c r="FI372" s="362"/>
      <c r="FJ372" s="362"/>
      <c r="FK372" s="362"/>
      <c r="FL372" s="362"/>
      <c r="FM372" s="362"/>
      <c r="FN372" s="362"/>
      <c r="FO372" s="362"/>
      <c r="FP372" s="362"/>
      <c r="FQ372" s="362"/>
      <c r="FR372" s="361"/>
      <c r="FS372" s="361"/>
      <c r="FT372" s="357" t="s">
        <v>5</v>
      </c>
      <c r="FU372" s="355" t="s">
        <v>56</v>
      </c>
      <c r="FV372" s="355"/>
      <c r="FW372" s="355"/>
      <c r="FX372" s="355" t="s">
        <v>526</v>
      </c>
      <c r="FY372" s="355" t="s">
        <v>579</v>
      </c>
      <c r="FZ372" s="358" t="s">
        <v>615</v>
      </c>
      <c r="GA372" s="358" t="s">
        <v>616</v>
      </c>
      <c r="GB372" s="355" t="s">
        <v>528</v>
      </c>
      <c r="GC372" s="355" t="s">
        <v>529</v>
      </c>
      <c r="GD372" s="355"/>
      <c r="GE372" s="355"/>
      <c r="GF372" s="355"/>
      <c r="GG372" s="355" t="s">
        <v>542</v>
      </c>
      <c r="GH372" s="355"/>
      <c r="GI372" s="355"/>
      <c r="GJ372" s="355"/>
    </row>
    <row r="373" spans="1:192" ht="14.25" customHeight="1">
      <c r="A373" s="379"/>
      <c r="B373" s="380"/>
      <c r="C373" s="381"/>
      <c r="D373" s="361"/>
      <c r="E373" s="361"/>
      <c r="F373" s="385"/>
      <c r="G373" s="357"/>
      <c r="H373" s="355" t="s">
        <v>521</v>
      </c>
      <c r="I373" s="355" t="s">
        <v>463</v>
      </c>
      <c r="J373" s="355"/>
      <c r="K373" s="355"/>
      <c r="L373" s="361"/>
      <c r="M373" s="367"/>
      <c r="N373" s="355" t="s">
        <v>7</v>
      </c>
      <c r="O373" s="355" t="s">
        <v>468</v>
      </c>
      <c r="P373" s="355" t="s">
        <v>469</v>
      </c>
      <c r="Q373" s="369"/>
      <c r="R373" s="355"/>
      <c r="S373" s="361"/>
      <c r="T373" s="355" t="s">
        <v>7</v>
      </c>
      <c r="U373" s="355" t="s">
        <v>543</v>
      </c>
      <c r="V373" s="355" t="s">
        <v>544</v>
      </c>
      <c r="W373" s="355" t="s">
        <v>545</v>
      </c>
      <c r="X373" s="355" t="s">
        <v>546</v>
      </c>
      <c r="Y373" s="355" t="s">
        <v>57</v>
      </c>
      <c r="Z373" s="355"/>
      <c r="AA373" s="355"/>
      <c r="AB373" s="355"/>
      <c r="AC373" s="385"/>
      <c r="AD373" s="357"/>
      <c r="AE373" s="355" t="s">
        <v>521</v>
      </c>
      <c r="AF373" s="355" t="s">
        <v>4</v>
      </c>
      <c r="AG373" s="355"/>
      <c r="AH373" s="355"/>
      <c r="AI373" s="355" t="s">
        <v>548</v>
      </c>
      <c r="AJ373" s="386" t="s">
        <v>549</v>
      </c>
      <c r="AK373" s="386"/>
      <c r="AL373" s="386"/>
      <c r="AM373" s="355" t="s">
        <v>550</v>
      </c>
      <c r="AN373" s="355" t="s">
        <v>482</v>
      </c>
      <c r="AO373" s="355" t="s">
        <v>483</v>
      </c>
      <c r="AP373" s="355" t="s">
        <v>484</v>
      </c>
      <c r="AQ373" s="355" t="s">
        <v>551</v>
      </c>
      <c r="AR373" s="355" t="s">
        <v>552</v>
      </c>
      <c r="AS373" s="355" t="s">
        <v>541</v>
      </c>
      <c r="AT373" s="355" t="s">
        <v>471</v>
      </c>
      <c r="AU373" s="355" t="s">
        <v>486</v>
      </c>
      <c r="AV373" s="361"/>
      <c r="AW373" s="355"/>
      <c r="AX373" s="355" t="s">
        <v>7</v>
      </c>
      <c r="AY373" s="355" t="s">
        <v>554</v>
      </c>
      <c r="AZ373" s="355" t="s">
        <v>489</v>
      </c>
      <c r="BA373" s="355" t="s">
        <v>490</v>
      </c>
      <c r="BB373" s="355" t="s">
        <v>469</v>
      </c>
      <c r="BC373" s="355"/>
      <c r="BD373" s="355"/>
      <c r="BE373" s="361"/>
      <c r="BF373" s="361" t="s">
        <v>9</v>
      </c>
      <c r="BG373" s="355" t="s">
        <v>556</v>
      </c>
      <c r="BH373" s="355" t="s">
        <v>541</v>
      </c>
      <c r="BI373" s="355" t="s">
        <v>557</v>
      </c>
      <c r="BJ373" s="355"/>
      <c r="BK373" s="355"/>
      <c r="BL373" s="355"/>
      <c r="BM373" s="355"/>
      <c r="BN373" s="370"/>
      <c r="BO373" s="355"/>
      <c r="BP373" s="355"/>
      <c r="BQ373" s="355"/>
      <c r="BR373" s="365"/>
      <c r="BS373" s="355" t="s">
        <v>5</v>
      </c>
      <c r="BT373" s="355" t="s">
        <v>488</v>
      </c>
      <c r="BU373" s="355" t="s">
        <v>489</v>
      </c>
      <c r="BV373" s="355" t="s">
        <v>490</v>
      </c>
      <c r="BW373" s="355" t="s">
        <v>469</v>
      </c>
      <c r="BX373" s="355"/>
      <c r="BY373" s="355"/>
      <c r="BZ373" s="355"/>
      <c r="CA373" s="361"/>
      <c r="CB373" s="361"/>
      <c r="CC373" s="355"/>
      <c r="CD373" s="355"/>
      <c r="CE373" s="357"/>
      <c r="CF373" s="355"/>
      <c r="CG373" s="355"/>
      <c r="CH373" s="355"/>
      <c r="CI373" s="363"/>
      <c r="CJ373" s="355"/>
      <c r="CK373" s="355" t="s">
        <v>5</v>
      </c>
      <c r="CL373" s="355" t="s">
        <v>479</v>
      </c>
      <c r="CM373" s="355" t="s">
        <v>480</v>
      </c>
      <c r="CN373" s="355" t="s">
        <v>471</v>
      </c>
      <c r="CO373" s="355"/>
      <c r="CP373" s="355"/>
      <c r="CQ373" s="355"/>
      <c r="CR373" s="361"/>
      <c r="CS373" s="355" t="s">
        <v>10</v>
      </c>
      <c r="CT373" s="355" t="s">
        <v>570</v>
      </c>
      <c r="CU373" s="355" t="s">
        <v>571</v>
      </c>
      <c r="CV373" s="355" t="s">
        <v>506</v>
      </c>
      <c r="CW373" s="355" t="s">
        <v>57</v>
      </c>
      <c r="CX373" s="355" t="s">
        <v>5</v>
      </c>
      <c r="CY373" s="355" t="s">
        <v>572</v>
      </c>
      <c r="CZ373" s="355" t="s">
        <v>570</v>
      </c>
      <c r="DA373" s="355" t="s">
        <v>57</v>
      </c>
      <c r="DB373" s="355"/>
      <c r="DC373" s="355"/>
      <c r="DD373" s="357"/>
      <c r="DE373" s="355" t="s">
        <v>521</v>
      </c>
      <c r="DF373" s="355" t="s">
        <v>4</v>
      </c>
      <c r="DG373" s="355"/>
      <c r="DH373" s="355"/>
      <c r="DI373" s="361"/>
      <c r="DJ373" s="355"/>
      <c r="DK373" s="355"/>
      <c r="DL373" s="355"/>
      <c r="DM373" s="355"/>
      <c r="DN373" s="355"/>
      <c r="DO373" s="355"/>
      <c r="DP373" s="355"/>
      <c r="DQ373" s="355"/>
      <c r="DR373" s="355"/>
      <c r="DS373" s="361"/>
      <c r="DT373" s="355"/>
      <c r="DU373" s="355"/>
      <c r="DV373" s="355"/>
      <c r="DW373" s="355" t="s">
        <v>5</v>
      </c>
      <c r="DX373" s="355" t="s">
        <v>518</v>
      </c>
      <c r="DY373" s="355" t="s">
        <v>519</v>
      </c>
      <c r="DZ373" s="355" t="s">
        <v>57</v>
      </c>
      <c r="EA373" s="355"/>
      <c r="EB373" s="355"/>
      <c r="EC373" s="355"/>
      <c r="ED373" s="355"/>
      <c r="EE373" s="355"/>
      <c r="EF373" s="357"/>
      <c r="EG373" s="355" t="s">
        <v>521</v>
      </c>
      <c r="EH373" s="355" t="s">
        <v>4</v>
      </c>
      <c r="EI373" s="355"/>
      <c r="EJ373" s="355"/>
      <c r="EK373" s="355" t="s">
        <v>576</v>
      </c>
      <c r="EL373" s="356"/>
      <c r="EM373" s="356"/>
      <c r="EN373" s="356"/>
      <c r="EO373" s="356"/>
      <c r="EP373" s="356" t="s">
        <v>511</v>
      </c>
      <c r="EQ373" s="356"/>
      <c r="ER373" s="356"/>
      <c r="ES373" s="356"/>
      <c r="ET373" s="356"/>
      <c r="EU373" s="355" t="s">
        <v>512</v>
      </c>
      <c r="EV373" s="356"/>
      <c r="EW373" s="356"/>
      <c r="EX373" s="356"/>
      <c r="EY373" s="356"/>
      <c r="EZ373" s="355" t="s">
        <v>513</v>
      </c>
      <c r="FA373" s="356"/>
      <c r="FB373" s="356"/>
      <c r="FC373" s="356"/>
      <c r="FD373" s="356"/>
      <c r="FE373" s="355" t="s">
        <v>514</v>
      </c>
      <c r="FF373" s="356"/>
      <c r="FG373" s="356"/>
      <c r="FH373" s="356"/>
      <c r="FI373" s="356"/>
      <c r="FJ373" s="355" t="s">
        <v>515</v>
      </c>
      <c r="FK373" s="356"/>
      <c r="FL373" s="356"/>
      <c r="FM373" s="356"/>
      <c r="FN373" s="356"/>
      <c r="FO373" s="355" t="s">
        <v>620</v>
      </c>
      <c r="FP373" s="355" t="s">
        <v>516</v>
      </c>
      <c r="FQ373" s="355" t="s">
        <v>517</v>
      </c>
      <c r="FR373" s="361"/>
      <c r="FS373" s="361"/>
      <c r="FT373" s="357"/>
      <c r="FU373" s="355" t="s">
        <v>5</v>
      </c>
      <c r="FV373" s="355" t="s">
        <v>578</v>
      </c>
      <c r="FW373" s="355" t="s">
        <v>525</v>
      </c>
      <c r="FX373" s="355"/>
      <c r="FY373" s="355"/>
      <c r="FZ373" s="359"/>
      <c r="GA373" s="359"/>
      <c r="GB373" s="355"/>
      <c r="GC373" s="355" t="s">
        <v>5</v>
      </c>
      <c r="GD373" s="355" t="s">
        <v>581</v>
      </c>
      <c r="GE373" s="355" t="s">
        <v>582</v>
      </c>
      <c r="GF373" s="355" t="s">
        <v>583</v>
      </c>
      <c r="GG373" s="355" t="s">
        <v>5</v>
      </c>
      <c r="GH373" s="355" t="s">
        <v>584</v>
      </c>
      <c r="GI373" s="355" t="s">
        <v>585</v>
      </c>
      <c r="GJ373" s="355" t="s">
        <v>586</v>
      </c>
    </row>
    <row r="374" spans="1:192" ht="14.25" customHeight="1">
      <c r="A374" s="379"/>
      <c r="B374" s="380"/>
      <c r="C374" s="381"/>
      <c r="D374" s="361"/>
      <c r="E374" s="361"/>
      <c r="F374" s="385"/>
      <c r="G374" s="357"/>
      <c r="H374" s="355"/>
      <c r="I374" s="355" t="s">
        <v>5</v>
      </c>
      <c r="J374" s="355" t="s">
        <v>464</v>
      </c>
      <c r="K374" s="355" t="s">
        <v>522</v>
      </c>
      <c r="L374" s="361"/>
      <c r="M374" s="367"/>
      <c r="N374" s="355"/>
      <c r="O374" s="355"/>
      <c r="P374" s="355"/>
      <c r="Q374" s="369"/>
      <c r="R374" s="355"/>
      <c r="S374" s="361"/>
      <c r="T374" s="355"/>
      <c r="U374" s="355"/>
      <c r="V374" s="355"/>
      <c r="W374" s="355"/>
      <c r="X374" s="355"/>
      <c r="Y374" s="355"/>
      <c r="Z374" s="355"/>
      <c r="AA374" s="355"/>
      <c r="AB374" s="355"/>
      <c r="AC374" s="385"/>
      <c r="AD374" s="357"/>
      <c r="AE374" s="355"/>
      <c r="AF374" s="355" t="s">
        <v>5</v>
      </c>
      <c r="AG374" s="355" t="s">
        <v>11</v>
      </c>
      <c r="AH374" s="355" t="s">
        <v>12</v>
      </c>
      <c r="AI374" s="355"/>
      <c r="AJ374" s="355" t="s">
        <v>478</v>
      </c>
      <c r="AK374" s="355" t="s">
        <v>479</v>
      </c>
      <c r="AL374" s="355" t="s">
        <v>480</v>
      </c>
      <c r="AM374" s="355"/>
      <c r="AN374" s="355"/>
      <c r="AO374" s="355"/>
      <c r="AP374" s="355"/>
      <c r="AQ374" s="355"/>
      <c r="AR374" s="355"/>
      <c r="AS374" s="355"/>
      <c r="AT374" s="355"/>
      <c r="AU374" s="355"/>
      <c r="AV374" s="361"/>
      <c r="AW374" s="355"/>
      <c r="AX374" s="355"/>
      <c r="AY374" s="355"/>
      <c r="AZ374" s="355"/>
      <c r="BA374" s="355"/>
      <c r="BB374" s="355"/>
      <c r="BC374" s="355"/>
      <c r="BD374" s="355"/>
      <c r="BE374" s="361"/>
      <c r="BF374" s="361"/>
      <c r="BG374" s="355"/>
      <c r="BH374" s="355"/>
      <c r="BI374" s="355" t="s">
        <v>558</v>
      </c>
      <c r="BJ374" s="355" t="s">
        <v>559</v>
      </c>
      <c r="BK374" s="355" t="s">
        <v>560</v>
      </c>
      <c r="BL374" s="355"/>
      <c r="BM374" s="355"/>
      <c r="BN374" s="370"/>
      <c r="BO374" s="355"/>
      <c r="BP374" s="355"/>
      <c r="BQ374" s="355"/>
      <c r="BR374" s="365"/>
      <c r="BS374" s="355"/>
      <c r="BT374" s="355"/>
      <c r="BU374" s="355"/>
      <c r="BV374" s="355"/>
      <c r="BW374" s="355"/>
      <c r="BX374" s="355"/>
      <c r="BY374" s="355"/>
      <c r="BZ374" s="355"/>
      <c r="CA374" s="361"/>
      <c r="CB374" s="361"/>
      <c r="CC374" s="355"/>
      <c r="CD374" s="355"/>
      <c r="CE374" s="357"/>
      <c r="CF374" s="355"/>
      <c r="CG374" s="355"/>
      <c r="CH374" s="355"/>
      <c r="CI374" s="363"/>
      <c r="CJ374" s="355"/>
      <c r="CK374" s="355"/>
      <c r="CL374" s="355"/>
      <c r="CM374" s="355"/>
      <c r="CN374" s="355" t="s">
        <v>5</v>
      </c>
      <c r="CO374" s="355" t="s">
        <v>568</v>
      </c>
      <c r="CP374" s="355" t="s">
        <v>569</v>
      </c>
      <c r="CQ374" s="355" t="s">
        <v>469</v>
      </c>
      <c r="CR374" s="361"/>
      <c r="CS374" s="355"/>
      <c r="CT374" s="355"/>
      <c r="CU374" s="355"/>
      <c r="CV374" s="355"/>
      <c r="CW374" s="355"/>
      <c r="CX374" s="355"/>
      <c r="CY374" s="355"/>
      <c r="CZ374" s="355"/>
      <c r="DA374" s="355"/>
      <c r="DB374" s="355"/>
      <c r="DC374" s="355"/>
      <c r="DD374" s="357"/>
      <c r="DE374" s="355"/>
      <c r="DF374" s="355" t="s">
        <v>5</v>
      </c>
      <c r="DG374" s="355" t="s">
        <v>11</v>
      </c>
      <c r="DH374" s="355" t="s">
        <v>12</v>
      </c>
      <c r="DI374" s="361"/>
      <c r="DJ374" s="355"/>
      <c r="DK374" s="355"/>
      <c r="DL374" s="355"/>
      <c r="DM374" s="355"/>
      <c r="DN374" s="355"/>
      <c r="DO374" s="355"/>
      <c r="DP374" s="355"/>
      <c r="DQ374" s="355"/>
      <c r="DR374" s="355"/>
      <c r="DS374" s="361"/>
      <c r="DT374" s="355"/>
      <c r="DU374" s="355"/>
      <c r="DV374" s="355"/>
      <c r="DW374" s="355"/>
      <c r="DX374" s="355"/>
      <c r="DY374" s="355"/>
      <c r="DZ374" s="355"/>
      <c r="EA374" s="355"/>
      <c r="EB374" s="355"/>
      <c r="EC374" s="355"/>
      <c r="ED374" s="355"/>
      <c r="EE374" s="355"/>
      <c r="EF374" s="357"/>
      <c r="EG374" s="355"/>
      <c r="EH374" s="355" t="s">
        <v>5</v>
      </c>
      <c r="EI374" s="355" t="s">
        <v>11</v>
      </c>
      <c r="EJ374" s="355" t="s">
        <v>12</v>
      </c>
      <c r="EK374" s="355" t="s">
        <v>5</v>
      </c>
      <c r="EL374" s="355" t="s">
        <v>521</v>
      </c>
      <c r="EM374" s="356" t="s">
        <v>4</v>
      </c>
      <c r="EN374" s="356"/>
      <c r="EO374" s="356"/>
      <c r="EP374" s="355" t="s">
        <v>5</v>
      </c>
      <c r="EQ374" s="355" t="s">
        <v>521</v>
      </c>
      <c r="ER374" s="356" t="s">
        <v>4</v>
      </c>
      <c r="ES374" s="356"/>
      <c r="ET374" s="356"/>
      <c r="EU374" s="355" t="s">
        <v>5</v>
      </c>
      <c r="EV374" s="355" t="s">
        <v>521</v>
      </c>
      <c r="EW374" s="356" t="s">
        <v>4</v>
      </c>
      <c r="EX374" s="356"/>
      <c r="EY374" s="356"/>
      <c r="EZ374" s="355" t="s">
        <v>5</v>
      </c>
      <c r="FA374" s="355" t="s">
        <v>521</v>
      </c>
      <c r="FB374" s="356" t="s">
        <v>4</v>
      </c>
      <c r="FC374" s="356"/>
      <c r="FD374" s="356"/>
      <c r="FE374" s="355" t="s">
        <v>5</v>
      </c>
      <c r="FF374" s="355" t="s">
        <v>521</v>
      </c>
      <c r="FG374" s="356" t="s">
        <v>4</v>
      </c>
      <c r="FH374" s="356"/>
      <c r="FI374" s="356"/>
      <c r="FJ374" s="355" t="s">
        <v>5</v>
      </c>
      <c r="FK374" s="355" t="s">
        <v>521</v>
      </c>
      <c r="FL374" s="356" t="s">
        <v>4</v>
      </c>
      <c r="FM374" s="356"/>
      <c r="FN374" s="356"/>
      <c r="FO374" s="355"/>
      <c r="FP374" s="355"/>
      <c r="FQ374" s="355"/>
      <c r="FR374" s="361"/>
      <c r="FS374" s="361"/>
      <c r="FT374" s="357"/>
      <c r="FU374" s="355"/>
      <c r="FV374" s="355"/>
      <c r="FW374" s="355"/>
      <c r="FX374" s="355"/>
      <c r="FY374" s="355"/>
      <c r="FZ374" s="359"/>
      <c r="GA374" s="359"/>
      <c r="GB374" s="355"/>
      <c r="GC374" s="355"/>
      <c r="GD374" s="355"/>
      <c r="GE374" s="355"/>
      <c r="GF374" s="355"/>
      <c r="GG374" s="355"/>
      <c r="GH374" s="355"/>
      <c r="GI374" s="355"/>
      <c r="GJ374" s="355"/>
    </row>
    <row r="375" spans="1:192">
      <c r="A375" s="382"/>
      <c r="B375" s="383"/>
      <c r="C375" s="384"/>
      <c r="D375" s="361"/>
      <c r="E375" s="361"/>
      <c r="F375" s="385"/>
      <c r="G375" s="357"/>
      <c r="H375" s="355"/>
      <c r="I375" s="355"/>
      <c r="J375" s="355"/>
      <c r="K375" s="355"/>
      <c r="L375" s="361"/>
      <c r="M375" s="367"/>
      <c r="N375" s="355"/>
      <c r="O375" s="355"/>
      <c r="P375" s="355"/>
      <c r="Q375" s="369"/>
      <c r="R375" s="355"/>
      <c r="S375" s="361"/>
      <c r="T375" s="355"/>
      <c r="U375" s="355"/>
      <c r="V375" s="355"/>
      <c r="W375" s="355"/>
      <c r="X375" s="355"/>
      <c r="Y375" s="355"/>
      <c r="Z375" s="355"/>
      <c r="AA375" s="355"/>
      <c r="AB375" s="355"/>
      <c r="AC375" s="385"/>
      <c r="AD375" s="357"/>
      <c r="AE375" s="355"/>
      <c r="AF375" s="355"/>
      <c r="AG375" s="355"/>
      <c r="AH375" s="355"/>
      <c r="AI375" s="355"/>
      <c r="AJ375" s="355"/>
      <c r="AK375" s="355"/>
      <c r="AL375" s="355"/>
      <c r="AM375" s="355"/>
      <c r="AN375" s="355"/>
      <c r="AO375" s="355"/>
      <c r="AP375" s="355"/>
      <c r="AQ375" s="355"/>
      <c r="AR375" s="355"/>
      <c r="AS375" s="355"/>
      <c r="AT375" s="355"/>
      <c r="AU375" s="355"/>
      <c r="AV375" s="361"/>
      <c r="AW375" s="355"/>
      <c r="AX375" s="355"/>
      <c r="AY375" s="355"/>
      <c r="AZ375" s="355"/>
      <c r="BA375" s="355"/>
      <c r="BB375" s="355"/>
      <c r="BC375" s="355"/>
      <c r="BD375" s="355"/>
      <c r="BE375" s="361"/>
      <c r="BF375" s="361"/>
      <c r="BG375" s="355"/>
      <c r="BH375" s="355"/>
      <c r="BI375" s="355"/>
      <c r="BJ375" s="355"/>
      <c r="BK375" s="355"/>
      <c r="BL375" s="355"/>
      <c r="BM375" s="355"/>
      <c r="BN375" s="370"/>
      <c r="BO375" s="355"/>
      <c r="BP375" s="355"/>
      <c r="BQ375" s="355"/>
      <c r="BR375" s="366"/>
      <c r="BS375" s="355"/>
      <c r="BT375" s="355"/>
      <c r="BU375" s="355"/>
      <c r="BV375" s="355"/>
      <c r="BW375" s="355"/>
      <c r="BX375" s="355"/>
      <c r="BY375" s="355"/>
      <c r="BZ375" s="355"/>
      <c r="CA375" s="361"/>
      <c r="CB375" s="361"/>
      <c r="CC375" s="355"/>
      <c r="CD375" s="355"/>
      <c r="CE375" s="357"/>
      <c r="CF375" s="355"/>
      <c r="CG375" s="355"/>
      <c r="CH375" s="355"/>
      <c r="CI375" s="363"/>
      <c r="CJ375" s="355"/>
      <c r="CK375" s="355"/>
      <c r="CL375" s="355"/>
      <c r="CM375" s="355"/>
      <c r="CN375" s="355"/>
      <c r="CO375" s="355"/>
      <c r="CP375" s="355"/>
      <c r="CQ375" s="355"/>
      <c r="CR375" s="361"/>
      <c r="CS375" s="355"/>
      <c r="CT375" s="355"/>
      <c r="CU375" s="355"/>
      <c r="CV375" s="355"/>
      <c r="CW375" s="355"/>
      <c r="CX375" s="355"/>
      <c r="CY375" s="355"/>
      <c r="CZ375" s="355"/>
      <c r="DA375" s="355"/>
      <c r="DB375" s="355"/>
      <c r="DC375" s="355"/>
      <c r="DD375" s="357"/>
      <c r="DE375" s="355"/>
      <c r="DF375" s="355"/>
      <c r="DG375" s="355"/>
      <c r="DH375" s="355"/>
      <c r="DI375" s="361"/>
      <c r="DJ375" s="355"/>
      <c r="DK375" s="355"/>
      <c r="DL375" s="355"/>
      <c r="DM375" s="355"/>
      <c r="DN375" s="355"/>
      <c r="DO375" s="355"/>
      <c r="DP375" s="355"/>
      <c r="DQ375" s="355"/>
      <c r="DR375" s="355"/>
      <c r="DS375" s="361"/>
      <c r="DT375" s="355"/>
      <c r="DU375" s="355"/>
      <c r="DV375" s="355"/>
      <c r="DW375" s="355"/>
      <c r="DX375" s="355"/>
      <c r="DY375" s="355"/>
      <c r="DZ375" s="355"/>
      <c r="EA375" s="355"/>
      <c r="EB375" s="355"/>
      <c r="EC375" s="355"/>
      <c r="ED375" s="355"/>
      <c r="EE375" s="355"/>
      <c r="EF375" s="357"/>
      <c r="EG375" s="355"/>
      <c r="EH375" s="355"/>
      <c r="EI375" s="355"/>
      <c r="EJ375" s="355"/>
      <c r="EK375" s="355"/>
      <c r="EL375" s="355"/>
      <c r="EM375" s="307" t="s">
        <v>5</v>
      </c>
      <c r="EN375" s="307" t="s">
        <v>11</v>
      </c>
      <c r="EO375" s="307" t="s">
        <v>12</v>
      </c>
      <c r="EP375" s="355"/>
      <c r="EQ375" s="355"/>
      <c r="ER375" s="307" t="s">
        <v>5</v>
      </c>
      <c r="ES375" s="307" t="s">
        <v>11</v>
      </c>
      <c r="ET375" s="307" t="s">
        <v>12</v>
      </c>
      <c r="EU375" s="355"/>
      <c r="EV375" s="355"/>
      <c r="EW375" s="307" t="s">
        <v>5</v>
      </c>
      <c r="EX375" s="307" t="s">
        <v>11</v>
      </c>
      <c r="EY375" s="307" t="s">
        <v>12</v>
      </c>
      <c r="EZ375" s="355"/>
      <c r="FA375" s="355"/>
      <c r="FB375" s="307" t="s">
        <v>5</v>
      </c>
      <c r="FC375" s="307" t="s">
        <v>11</v>
      </c>
      <c r="FD375" s="307" t="s">
        <v>12</v>
      </c>
      <c r="FE375" s="355"/>
      <c r="FF375" s="355"/>
      <c r="FG375" s="307" t="s">
        <v>5</v>
      </c>
      <c r="FH375" s="307" t="s">
        <v>11</v>
      </c>
      <c r="FI375" s="307" t="s">
        <v>12</v>
      </c>
      <c r="FJ375" s="355"/>
      <c r="FK375" s="355"/>
      <c r="FL375" s="307" t="s">
        <v>5</v>
      </c>
      <c r="FM375" s="307" t="s">
        <v>11</v>
      </c>
      <c r="FN375" s="307" t="s">
        <v>12</v>
      </c>
      <c r="FO375" s="355"/>
      <c r="FP375" s="355"/>
      <c r="FQ375" s="355"/>
      <c r="FR375" s="361"/>
      <c r="FS375" s="361"/>
      <c r="FT375" s="357"/>
      <c r="FU375" s="355"/>
      <c r="FV375" s="355"/>
      <c r="FW375" s="355"/>
      <c r="FX375" s="355"/>
      <c r="FY375" s="355"/>
      <c r="FZ375" s="360"/>
      <c r="GA375" s="360"/>
      <c r="GB375" s="355"/>
      <c r="GC375" s="355"/>
      <c r="GD375" s="355"/>
      <c r="GE375" s="355"/>
      <c r="GF375" s="355"/>
      <c r="GG375" s="355"/>
      <c r="GH375" s="355"/>
      <c r="GI375" s="355"/>
      <c r="GJ375" s="355"/>
    </row>
    <row r="376" spans="1:192">
      <c r="A376" s="270" t="s">
        <v>13</v>
      </c>
      <c r="B376" s="271"/>
      <c r="C376" s="271"/>
      <c r="D376" s="272">
        <v>87739.599000000002</v>
      </c>
      <c r="E376" s="272">
        <v>-14515.644</v>
      </c>
      <c r="F376" s="272">
        <v>-113.489</v>
      </c>
      <c r="G376" s="272">
        <v>73110.466</v>
      </c>
      <c r="H376" s="272">
        <v>73110.466</v>
      </c>
      <c r="I376" s="272">
        <v>0</v>
      </c>
      <c r="J376" s="272">
        <v>0</v>
      </c>
      <c r="K376" s="272">
        <v>0</v>
      </c>
      <c r="L376" s="272">
        <v>37697.089999999997</v>
      </c>
      <c r="M376" s="272">
        <v>0</v>
      </c>
      <c r="N376" s="272">
        <v>4661.3440000000001</v>
      </c>
      <c r="O376" s="272">
        <v>0</v>
      </c>
      <c r="P376" s="272">
        <v>0</v>
      </c>
      <c r="Q376" s="272">
        <v>0</v>
      </c>
      <c r="R376" s="272">
        <v>0</v>
      </c>
      <c r="S376" s="272">
        <v>-6165.5129999999999</v>
      </c>
      <c r="T376" s="272">
        <v>-5182.9799999999996</v>
      </c>
      <c r="U376" s="272">
        <v>0</v>
      </c>
      <c r="V376" s="272">
        <v>0</v>
      </c>
      <c r="W376" s="272">
        <v>0</v>
      </c>
      <c r="X376" s="272">
        <v>0</v>
      </c>
      <c r="Y376" s="272">
        <v>0</v>
      </c>
      <c r="Z376" s="272">
        <v>0</v>
      </c>
      <c r="AA376" s="272">
        <v>-92.373999999999995</v>
      </c>
      <c r="AB376" s="272">
        <v>-890.15899999999999</v>
      </c>
      <c r="AC376" s="272">
        <v>-113.489</v>
      </c>
      <c r="AD376" s="272">
        <v>31418.088</v>
      </c>
      <c r="AE376" s="272">
        <v>31418.088</v>
      </c>
      <c r="AF376" s="272">
        <v>0</v>
      </c>
      <c r="AG376" s="272">
        <v>0</v>
      </c>
      <c r="AH376" s="272">
        <v>0</v>
      </c>
      <c r="AI376" s="272">
        <v>24198.141</v>
      </c>
      <c r="AJ376" s="272">
        <v>0</v>
      </c>
      <c r="AK376" s="272">
        <v>0</v>
      </c>
      <c r="AL376" s="272">
        <v>0</v>
      </c>
      <c r="AM376" s="272">
        <v>5228.174</v>
      </c>
      <c r="AN376" s="272">
        <v>0</v>
      </c>
      <c r="AO376" s="272">
        <v>0</v>
      </c>
      <c r="AP376" s="272">
        <v>0</v>
      </c>
      <c r="AQ376" s="272">
        <v>2626.8980000000001</v>
      </c>
      <c r="AR376" s="272">
        <v>-521.63599999999997</v>
      </c>
      <c r="AS376" s="272">
        <v>0</v>
      </c>
      <c r="AT376" s="272">
        <v>0</v>
      </c>
      <c r="AU376" s="272">
        <v>-113.489</v>
      </c>
      <c r="AV376" s="272">
        <v>9675.9709999999995</v>
      </c>
      <c r="AW376" s="272">
        <v>0</v>
      </c>
      <c r="AX376" s="272">
        <v>4920.1670000000004</v>
      </c>
      <c r="AY376" s="272">
        <v>0</v>
      </c>
      <c r="AZ376" s="272">
        <v>0</v>
      </c>
      <c r="BA376" s="272">
        <v>0</v>
      </c>
      <c r="BB376" s="272">
        <v>0</v>
      </c>
      <c r="BC376" s="272">
        <v>0</v>
      </c>
      <c r="BD376" s="272">
        <v>0</v>
      </c>
      <c r="BE376" s="272">
        <v>-2071.0940000000001</v>
      </c>
      <c r="BF376" s="272">
        <v>-1663</v>
      </c>
      <c r="BG376" s="272">
        <v>-1663</v>
      </c>
      <c r="BH376" s="272">
        <v>0</v>
      </c>
      <c r="BI376" s="272">
        <v>0</v>
      </c>
      <c r="BJ376" s="272">
        <v>0</v>
      </c>
      <c r="BK376" s="272">
        <v>0</v>
      </c>
      <c r="BL376" s="272">
        <v>-27.111000000000001</v>
      </c>
      <c r="BM376" s="272">
        <v>-380.983</v>
      </c>
      <c r="BN376" s="272">
        <v>7604.8770000000004</v>
      </c>
      <c r="BO376" s="272">
        <v>2112.011</v>
      </c>
      <c r="BP376" s="272">
        <v>0</v>
      </c>
      <c r="BQ376" s="272">
        <v>0</v>
      </c>
      <c r="BR376" s="272">
        <v>0</v>
      </c>
      <c r="BS376" s="272">
        <v>2235.6990000000001</v>
      </c>
      <c r="BT376" s="272">
        <v>0</v>
      </c>
      <c r="BU376" s="272">
        <v>0</v>
      </c>
      <c r="BV376" s="272">
        <v>0</v>
      </c>
      <c r="BW376" s="272">
        <v>0</v>
      </c>
      <c r="BX376" s="272">
        <v>3257.1669999999999</v>
      </c>
      <c r="BY376" s="272">
        <v>0</v>
      </c>
      <c r="BZ376" s="272">
        <v>0</v>
      </c>
      <c r="CA376" s="272">
        <v>0</v>
      </c>
      <c r="CB376" s="272">
        <v>0</v>
      </c>
      <c r="CC376" s="272">
        <v>0</v>
      </c>
      <c r="CD376" s="272">
        <v>0</v>
      </c>
      <c r="CE376" s="272">
        <v>0</v>
      </c>
      <c r="CF376" s="272">
        <v>0</v>
      </c>
      <c r="CG376" s="272">
        <v>0</v>
      </c>
      <c r="CH376" s="272">
        <v>0</v>
      </c>
      <c r="CI376" s="272">
        <v>26538.506000000001</v>
      </c>
      <c r="CJ376" s="272">
        <v>5310.5550000000003</v>
      </c>
      <c r="CK376" s="272">
        <v>21227.951000000001</v>
      </c>
      <c r="CL376" s="272">
        <v>10471.800999999999</v>
      </c>
      <c r="CM376" s="272">
        <v>10633.441999999999</v>
      </c>
      <c r="CN376" s="272">
        <v>122.708</v>
      </c>
      <c r="CO376" s="272">
        <v>0</v>
      </c>
      <c r="CP376" s="272">
        <v>0</v>
      </c>
      <c r="CQ376" s="272">
        <v>122.708</v>
      </c>
      <c r="CR376" s="272">
        <v>-6201.88</v>
      </c>
      <c r="CS376" s="272">
        <v>-2031.4390000000001</v>
      </c>
      <c r="CT376" s="272">
        <v>0</v>
      </c>
      <c r="CU376" s="272">
        <v>0</v>
      </c>
      <c r="CV376" s="272">
        <v>0</v>
      </c>
      <c r="CW376" s="272">
        <v>0</v>
      </c>
      <c r="CX376" s="272">
        <v>-3540.5439999999999</v>
      </c>
      <c r="CY376" s="272">
        <v>0</v>
      </c>
      <c r="CZ376" s="272">
        <v>0</v>
      </c>
      <c r="DA376" s="272">
        <v>0</v>
      </c>
      <c r="DB376" s="272">
        <v>-509.358</v>
      </c>
      <c r="DC376" s="272">
        <v>-120.539</v>
      </c>
      <c r="DD376" s="272">
        <v>20336.626</v>
      </c>
      <c r="DE376" s="272">
        <v>20336.626</v>
      </c>
      <c r="DF376" s="272">
        <v>0</v>
      </c>
      <c r="DG376" s="272">
        <v>0</v>
      </c>
      <c r="DH376" s="272">
        <v>0</v>
      </c>
      <c r="DI376" s="272">
        <v>11523.464</v>
      </c>
      <c r="DJ376" s="272">
        <v>538.03800000000001</v>
      </c>
      <c r="DK376" s="272">
        <v>192.26400000000001</v>
      </c>
      <c r="DL376" s="272">
        <v>23.199000000000002</v>
      </c>
      <c r="DM376" s="272">
        <v>7738.5540000000001</v>
      </c>
      <c r="DN376" s="272">
        <v>2292.7109999999998</v>
      </c>
      <c r="DO376" s="272">
        <v>0</v>
      </c>
      <c r="DP376" s="272"/>
      <c r="DQ376" s="272">
        <v>0</v>
      </c>
      <c r="DR376" s="272">
        <v>738.69799999999998</v>
      </c>
      <c r="DS376" s="272">
        <v>-34.715000000000003</v>
      </c>
      <c r="DT376" s="272">
        <v>-13.792999999999999</v>
      </c>
      <c r="DU376" s="272">
        <v>-0.51100000000000001</v>
      </c>
      <c r="DV376" s="272">
        <v>-0.58899999999999997</v>
      </c>
      <c r="DW376" s="272">
        <v>-8.1199999999999992</v>
      </c>
      <c r="DX376" s="272">
        <v>0</v>
      </c>
      <c r="DY376" s="272">
        <v>0</v>
      </c>
      <c r="DZ376" s="272">
        <v>0</v>
      </c>
      <c r="EA376" s="272">
        <v>-0.40899999999999997</v>
      </c>
      <c r="EB376" s="272">
        <v>0</v>
      </c>
      <c r="EC376" s="272"/>
      <c r="ED376" s="272">
        <v>0</v>
      </c>
      <c r="EE376" s="272">
        <v>-11.292999999999999</v>
      </c>
      <c r="EF376" s="272">
        <v>11488.749</v>
      </c>
      <c r="EG376" s="272">
        <v>11488.749</v>
      </c>
      <c r="EH376" s="272">
        <v>0</v>
      </c>
      <c r="EI376" s="272">
        <v>0</v>
      </c>
      <c r="EJ376" s="272">
        <v>0</v>
      </c>
      <c r="EK376" s="272">
        <v>524.245</v>
      </c>
      <c r="EL376" s="272">
        <v>524.245</v>
      </c>
      <c r="EM376" s="272">
        <v>0</v>
      </c>
      <c r="EN376" s="272">
        <v>0</v>
      </c>
      <c r="EO376" s="272">
        <v>0</v>
      </c>
      <c r="EP376" s="272">
        <v>191.75299999999999</v>
      </c>
      <c r="EQ376" s="272">
        <v>191.75299999999999</v>
      </c>
      <c r="ER376" s="272">
        <v>0</v>
      </c>
      <c r="ES376" s="272">
        <v>0</v>
      </c>
      <c r="ET376" s="272">
        <v>0</v>
      </c>
      <c r="EU376" s="272">
        <v>22.61</v>
      </c>
      <c r="EV376" s="272">
        <v>22.61</v>
      </c>
      <c r="EW376" s="272">
        <v>0</v>
      </c>
      <c r="EX376" s="272">
        <v>0</v>
      </c>
      <c r="EY376" s="272">
        <v>0</v>
      </c>
      <c r="EZ376" s="272">
        <v>7730.4340000000002</v>
      </c>
      <c r="FA376" s="272">
        <v>7730.4340000000002</v>
      </c>
      <c r="FB376" s="272">
        <v>0</v>
      </c>
      <c r="FC376" s="272">
        <v>0</v>
      </c>
      <c r="FD376" s="272">
        <v>0</v>
      </c>
      <c r="FE376" s="272">
        <v>2292.3020000000001</v>
      </c>
      <c r="FF376" s="272">
        <v>2292.3020000000001</v>
      </c>
      <c r="FG376" s="272">
        <v>0</v>
      </c>
      <c r="FH376" s="272">
        <v>0</v>
      </c>
      <c r="FI376" s="272">
        <v>0</v>
      </c>
      <c r="FJ376" s="272">
        <v>0</v>
      </c>
      <c r="FK376" s="272">
        <v>0</v>
      </c>
      <c r="FL376" s="272">
        <v>0</v>
      </c>
      <c r="FM376" s="272">
        <v>0</v>
      </c>
      <c r="FN376" s="272"/>
      <c r="FO376" s="272"/>
      <c r="FP376" s="272">
        <v>0</v>
      </c>
      <c r="FQ376" s="272">
        <v>727.40499999999997</v>
      </c>
      <c r="FR376" s="272">
        <v>2304.5680000000002</v>
      </c>
      <c r="FS376" s="272">
        <v>-42.442</v>
      </c>
      <c r="FT376" s="272">
        <v>2262.1260000000002</v>
      </c>
      <c r="FU376" s="272">
        <v>0</v>
      </c>
      <c r="FV376" s="272">
        <v>0</v>
      </c>
      <c r="FW376" s="272">
        <v>0</v>
      </c>
      <c r="FX376" s="272">
        <v>731.11300000000006</v>
      </c>
      <c r="FY376" s="272">
        <v>0</v>
      </c>
      <c r="FZ376" s="272"/>
      <c r="GA376" s="272"/>
      <c r="GB376" s="272">
        <v>0</v>
      </c>
      <c r="GC376" s="272">
        <v>530.76400000000001</v>
      </c>
      <c r="GD376" s="272">
        <v>0</v>
      </c>
      <c r="GE376" s="272">
        <v>0</v>
      </c>
      <c r="GF376" s="272">
        <v>0</v>
      </c>
      <c r="GG376" s="272">
        <v>1000.249</v>
      </c>
      <c r="GH376" s="272">
        <v>171.35</v>
      </c>
      <c r="GI376" s="272">
        <v>334.28399999999999</v>
      </c>
      <c r="GJ376" s="272">
        <v>494.61500000000001</v>
      </c>
    </row>
    <row r="377" spans="1:192">
      <c r="A377" s="270" t="s">
        <v>14</v>
      </c>
      <c r="B377" s="271"/>
      <c r="C377" s="271"/>
      <c r="D377" s="272">
        <v>92261.229000000007</v>
      </c>
      <c r="E377" s="272">
        <v>-16028.691999999999</v>
      </c>
      <c r="F377" s="272">
        <v>-117.462</v>
      </c>
      <c r="G377" s="272">
        <v>76115.074999999997</v>
      </c>
      <c r="H377" s="272">
        <v>76115.074999999997</v>
      </c>
      <c r="I377" s="272">
        <v>0</v>
      </c>
      <c r="J377" s="272">
        <v>0</v>
      </c>
      <c r="K377" s="272">
        <v>0</v>
      </c>
      <c r="L377" s="272">
        <v>38607.366000000002</v>
      </c>
      <c r="M377" s="272">
        <v>0</v>
      </c>
      <c r="N377" s="272">
        <v>4887.683</v>
      </c>
      <c r="O377" s="272">
        <v>0</v>
      </c>
      <c r="P377" s="272">
        <v>0</v>
      </c>
      <c r="Q377" s="272">
        <v>0</v>
      </c>
      <c r="R377" s="272">
        <v>0</v>
      </c>
      <c r="S377" s="272">
        <v>-6816.0919999999996</v>
      </c>
      <c r="T377" s="272">
        <v>-5580.9560000000001</v>
      </c>
      <c r="U377" s="272">
        <v>0</v>
      </c>
      <c r="V377" s="272">
        <v>0</v>
      </c>
      <c r="W377" s="272">
        <v>0</v>
      </c>
      <c r="X377" s="272">
        <v>0</v>
      </c>
      <c r="Y377" s="272">
        <v>0</v>
      </c>
      <c r="Z377" s="272">
        <v>0</v>
      </c>
      <c r="AA377" s="272">
        <v>-75.632999999999996</v>
      </c>
      <c r="AB377" s="272">
        <v>-1159.5029999999999</v>
      </c>
      <c r="AC377" s="272">
        <v>-117.462</v>
      </c>
      <c r="AD377" s="272">
        <v>31673.812000000002</v>
      </c>
      <c r="AE377" s="272">
        <v>31673.812000000002</v>
      </c>
      <c r="AF377" s="272">
        <v>0</v>
      </c>
      <c r="AG377" s="272">
        <v>0</v>
      </c>
      <c r="AH377" s="272">
        <v>0</v>
      </c>
      <c r="AI377" s="272">
        <v>24882.82</v>
      </c>
      <c r="AJ377" s="272">
        <v>5170.7290000000003</v>
      </c>
      <c r="AK377" s="272">
        <v>11225.531000000001</v>
      </c>
      <c r="AL377" s="272">
        <v>7517.6890000000003</v>
      </c>
      <c r="AM377" s="272">
        <v>5119.5590000000002</v>
      </c>
      <c r="AN377" s="272">
        <v>0</v>
      </c>
      <c r="AO377" s="272">
        <v>0</v>
      </c>
      <c r="AP377" s="272">
        <v>0</v>
      </c>
      <c r="AQ377" s="272">
        <v>2482.1680000000001</v>
      </c>
      <c r="AR377" s="272">
        <v>-693.27300000000002</v>
      </c>
      <c r="AS377" s="272">
        <v>0</v>
      </c>
      <c r="AT377" s="272">
        <v>0</v>
      </c>
      <c r="AU377" s="272">
        <v>-117.462</v>
      </c>
      <c r="AV377" s="272">
        <v>10659.514999999999</v>
      </c>
      <c r="AW377" s="272">
        <v>0</v>
      </c>
      <c r="AX377" s="272">
        <v>5483.9219999999996</v>
      </c>
      <c r="AY377" s="272">
        <v>0</v>
      </c>
      <c r="AZ377" s="272">
        <v>0</v>
      </c>
      <c r="BA377" s="272">
        <v>0</v>
      </c>
      <c r="BB377" s="272">
        <v>0</v>
      </c>
      <c r="BC377" s="272">
        <v>0</v>
      </c>
      <c r="BD377" s="272">
        <v>0</v>
      </c>
      <c r="BE377" s="272">
        <v>-2372.105</v>
      </c>
      <c r="BF377" s="272">
        <v>-1858.329</v>
      </c>
      <c r="BG377" s="272">
        <v>-1858.329</v>
      </c>
      <c r="BH377" s="272">
        <v>0</v>
      </c>
      <c r="BI377" s="272">
        <v>0</v>
      </c>
      <c r="BJ377" s="272">
        <v>0</v>
      </c>
      <c r="BK377" s="272">
        <v>0</v>
      </c>
      <c r="BL377" s="272">
        <v>-16.846</v>
      </c>
      <c r="BM377" s="272">
        <v>-496.93</v>
      </c>
      <c r="BN377" s="272">
        <v>8287.41</v>
      </c>
      <c r="BO377" s="272">
        <v>2057.415</v>
      </c>
      <c r="BP377" s="272">
        <v>0</v>
      </c>
      <c r="BQ377" s="272">
        <v>0</v>
      </c>
      <c r="BR377" s="272">
        <v>0</v>
      </c>
      <c r="BS377" s="272">
        <v>2604.402</v>
      </c>
      <c r="BT377" s="272">
        <v>0</v>
      </c>
      <c r="BU377" s="272">
        <v>0</v>
      </c>
      <c r="BV377" s="272">
        <v>0</v>
      </c>
      <c r="BW377" s="272">
        <v>0</v>
      </c>
      <c r="BX377" s="272">
        <v>3625.5929999999998</v>
      </c>
      <c r="BY377" s="272">
        <v>0</v>
      </c>
      <c r="BZ377" s="272">
        <v>0</v>
      </c>
      <c r="CA377" s="272">
        <v>0</v>
      </c>
      <c r="CB377" s="272">
        <v>0</v>
      </c>
      <c r="CC377" s="272">
        <v>0</v>
      </c>
      <c r="CD377" s="272">
        <v>0</v>
      </c>
      <c r="CE377" s="272">
        <v>0</v>
      </c>
      <c r="CF377" s="272">
        <v>0</v>
      </c>
      <c r="CG377" s="272">
        <v>0</v>
      </c>
      <c r="CH377" s="272">
        <v>0</v>
      </c>
      <c r="CI377" s="272">
        <v>28476.464</v>
      </c>
      <c r="CJ377" s="272">
        <v>5430.7389999999996</v>
      </c>
      <c r="CK377" s="272">
        <v>23045.724999999999</v>
      </c>
      <c r="CL377" s="272">
        <v>11666.504000000001</v>
      </c>
      <c r="CM377" s="272">
        <v>11225.373</v>
      </c>
      <c r="CN377" s="272">
        <v>153.84800000000001</v>
      </c>
      <c r="CO377" s="272">
        <v>0</v>
      </c>
      <c r="CP377" s="272">
        <v>0</v>
      </c>
      <c r="CQ377" s="272">
        <v>153.84800000000001</v>
      </c>
      <c r="CR377" s="272">
        <v>-6692.1980000000003</v>
      </c>
      <c r="CS377" s="272">
        <v>-2310.893</v>
      </c>
      <c r="CT377" s="272">
        <v>0</v>
      </c>
      <c r="CU377" s="272">
        <v>0</v>
      </c>
      <c r="CV377" s="272">
        <v>0</v>
      </c>
      <c r="CW377" s="272">
        <v>0</v>
      </c>
      <c r="CX377" s="272">
        <v>-3718.1309999999999</v>
      </c>
      <c r="CY377" s="272">
        <v>-2463.5970000000002</v>
      </c>
      <c r="CZ377" s="272">
        <v>0</v>
      </c>
      <c r="DA377" s="272">
        <v>-1254.5340000000001</v>
      </c>
      <c r="DB377" s="272">
        <v>-570.88900000000001</v>
      </c>
      <c r="DC377" s="272">
        <v>-92.284999999999997</v>
      </c>
      <c r="DD377" s="272">
        <v>21784.266</v>
      </c>
      <c r="DE377" s="272">
        <v>21784.266</v>
      </c>
      <c r="DF377" s="272">
        <v>0</v>
      </c>
      <c r="DG377" s="272">
        <v>0</v>
      </c>
      <c r="DH377" s="272">
        <v>0</v>
      </c>
      <c r="DI377" s="272">
        <v>12432.163</v>
      </c>
      <c r="DJ377" s="272">
        <v>605.923</v>
      </c>
      <c r="DK377" s="272">
        <v>198.536</v>
      </c>
      <c r="DL377" s="272">
        <v>27.039000000000001</v>
      </c>
      <c r="DM377" s="272">
        <v>8213.0380000000005</v>
      </c>
      <c r="DN377" s="272">
        <v>2688.4639999999999</v>
      </c>
      <c r="DO377" s="272">
        <v>0</v>
      </c>
      <c r="DP377" s="272"/>
      <c r="DQ377" s="272">
        <v>0</v>
      </c>
      <c r="DR377" s="272">
        <v>699.16300000000001</v>
      </c>
      <c r="DS377" s="272">
        <v>-88.168000000000006</v>
      </c>
      <c r="DT377" s="272">
        <v>-21.553000000000001</v>
      </c>
      <c r="DU377" s="272">
        <v>-13.574</v>
      </c>
      <c r="DV377" s="272">
        <v>-0.751</v>
      </c>
      <c r="DW377" s="272">
        <v>-28.911999999999999</v>
      </c>
      <c r="DX377" s="272">
        <v>0</v>
      </c>
      <c r="DY377" s="272">
        <v>0</v>
      </c>
      <c r="DZ377" s="272">
        <v>0</v>
      </c>
      <c r="EA377" s="272">
        <v>-0.72</v>
      </c>
      <c r="EB377" s="272">
        <v>0</v>
      </c>
      <c r="EC377" s="272"/>
      <c r="ED377" s="272">
        <v>0</v>
      </c>
      <c r="EE377" s="272">
        <v>-22.658000000000001</v>
      </c>
      <c r="EF377" s="272">
        <v>12343.995000000001</v>
      </c>
      <c r="EG377" s="272">
        <v>12343.995000000001</v>
      </c>
      <c r="EH377" s="272">
        <v>0</v>
      </c>
      <c r="EI377" s="272">
        <v>0</v>
      </c>
      <c r="EJ377" s="272">
        <v>0</v>
      </c>
      <c r="EK377" s="272">
        <v>584.37</v>
      </c>
      <c r="EL377" s="272">
        <v>584.37</v>
      </c>
      <c r="EM377" s="272">
        <v>0</v>
      </c>
      <c r="EN377" s="272">
        <v>0</v>
      </c>
      <c r="EO377" s="272">
        <v>0</v>
      </c>
      <c r="EP377" s="272">
        <v>184.96199999999999</v>
      </c>
      <c r="EQ377" s="272">
        <v>184.96199999999999</v>
      </c>
      <c r="ER377" s="272">
        <v>0</v>
      </c>
      <c r="ES377" s="272">
        <v>0</v>
      </c>
      <c r="ET377" s="272">
        <v>0</v>
      </c>
      <c r="EU377" s="272">
        <v>26.288</v>
      </c>
      <c r="EV377" s="272">
        <v>26.288</v>
      </c>
      <c r="EW377" s="272">
        <v>0</v>
      </c>
      <c r="EX377" s="272">
        <v>0</v>
      </c>
      <c r="EY377" s="272">
        <v>0</v>
      </c>
      <c r="EZ377" s="272">
        <v>8184.1260000000002</v>
      </c>
      <c r="FA377" s="272">
        <v>8184.1260000000002</v>
      </c>
      <c r="FB377" s="272">
        <v>0</v>
      </c>
      <c r="FC377" s="272">
        <v>0</v>
      </c>
      <c r="FD377" s="272">
        <v>0</v>
      </c>
      <c r="FE377" s="272">
        <v>2687.7440000000001</v>
      </c>
      <c r="FF377" s="272">
        <v>2687.7440000000001</v>
      </c>
      <c r="FG377" s="272">
        <v>0</v>
      </c>
      <c r="FH377" s="272">
        <v>0</v>
      </c>
      <c r="FI377" s="272">
        <v>0</v>
      </c>
      <c r="FJ377" s="272">
        <v>0</v>
      </c>
      <c r="FK377" s="272">
        <v>0</v>
      </c>
      <c r="FL377" s="272">
        <v>0</v>
      </c>
      <c r="FM377" s="272">
        <v>0</v>
      </c>
      <c r="FN377" s="272"/>
      <c r="FO377" s="272"/>
      <c r="FP377" s="272">
        <v>0</v>
      </c>
      <c r="FQ377" s="272">
        <v>676.505</v>
      </c>
      <c r="FR377" s="272">
        <v>2085.721</v>
      </c>
      <c r="FS377" s="272">
        <v>-60.128999999999998</v>
      </c>
      <c r="FT377" s="272">
        <v>2025.5920000000001</v>
      </c>
      <c r="FU377" s="272">
        <v>0</v>
      </c>
      <c r="FV377" s="272">
        <v>0</v>
      </c>
      <c r="FW377" s="272">
        <v>0</v>
      </c>
      <c r="FX377" s="272">
        <v>596.90099999999995</v>
      </c>
      <c r="FY377" s="272">
        <v>0</v>
      </c>
      <c r="FZ377" s="272"/>
      <c r="GA377" s="272"/>
      <c r="GB377" s="272">
        <v>0</v>
      </c>
      <c r="GC377" s="272">
        <v>458.05799999999999</v>
      </c>
      <c r="GD377" s="272">
        <v>0</v>
      </c>
      <c r="GE377" s="272">
        <v>0</v>
      </c>
      <c r="GF377" s="272">
        <v>0</v>
      </c>
      <c r="GG377" s="272">
        <v>970.63300000000004</v>
      </c>
      <c r="GH377" s="272">
        <v>169.46299999999999</v>
      </c>
      <c r="GI377" s="272">
        <v>248.911</v>
      </c>
      <c r="GJ377" s="272">
        <v>552.25900000000001</v>
      </c>
    </row>
    <row r="378" spans="1:192">
      <c r="A378" s="270" t="s">
        <v>15</v>
      </c>
      <c r="B378" s="271"/>
      <c r="C378" s="271"/>
      <c r="D378" s="272">
        <v>104497.44100000001</v>
      </c>
      <c r="E378" s="272">
        <v>-18769.681</v>
      </c>
      <c r="F378" s="272">
        <v>-120.617</v>
      </c>
      <c r="G378" s="272">
        <v>85607.142999999996</v>
      </c>
      <c r="H378" s="272">
        <v>85607.142999999996</v>
      </c>
      <c r="I378" s="272">
        <v>0</v>
      </c>
      <c r="J378" s="272">
        <v>0</v>
      </c>
      <c r="K378" s="272">
        <v>0</v>
      </c>
      <c r="L378" s="272">
        <v>41313.440000000002</v>
      </c>
      <c r="M378" s="272">
        <v>0</v>
      </c>
      <c r="N378" s="272">
        <v>4920.7380000000003</v>
      </c>
      <c r="O378" s="272">
        <v>0</v>
      </c>
      <c r="P378" s="272">
        <v>0</v>
      </c>
      <c r="Q378" s="272">
        <v>0</v>
      </c>
      <c r="R378" s="272">
        <v>0</v>
      </c>
      <c r="S378" s="272">
        <v>-7826.0990000000002</v>
      </c>
      <c r="T378" s="272">
        <v>-6435.44</v>
      </c>
      <c r="U378" s="272">
        <v>0</v>
      </c>
      <c r="V378" s="272">
        <v>0</v>
      </c>
      <c r="W378" s="272">
        <v>-5123.7969999999996</v>
      </c>
      <c r="X378" s="272">
        <v>0</v>
      </c>
      <c r="Y378" s="272">
        <v>-1311.643</v>
      </c>
      <c r="Z378" s="272">
        <v>0</v>
      </c>
      <c r="AA378" s="272">
        <v>-129.053</v>
      </c>
      <c r="AB378" s="272">
        <v>-1261.606</v>
      </c>
      <c r="AC378" s="272">
        <v>-120.617</v>
      </c>
      <c r="AD378" s="272">
        <v>33366.724000000002</v>
      </c>
      <c r="AE378" s="272">
        <v>33366.724000000002</v>
      </c>
      <c r="AF378" s="272">
        <v>0</v>
      </c>
      <c r="AG378" s="272">
        <v>0</v>
      </c>
      <c r="AH378" s="272">
        <v>0</v>
      </c>
      <c r="AI378" s="272">
        <v>28237.098000000002</v>
      </c>
      <c r="AJ378" s="272">
        <v>7178.2640000000001</v>
      </c>
      <c r="AK378" s="272">
        <v>12016.404</v>
      </c>
      <c r="AL378" s="272">
        <v>8170.027</v>
      </c>
      <c r="AM378" s="272">
        <v>4295.8999999999996</v>
      </c>
      <c r="AN378" s="272">
        <v>0</v>
      </c>
      <c r="AO378" s="272">
        <v>0</v>
      </c>
      <c r="AP378" s="272">
        <v>0</v>
      </c>
      <c r="AQ378" s="272">
        <v>2469.0450000000001</v>
      </c>
      <c r="AR378" s="272">
        <v>-1514.702</v>
      </c>
      <c r="AS378" s="272">
        <v>0</v>
      </c>
      <c r="AT378" s="272">
        <v>0</v>
      </c>
      <c r="AU378" s="272">
        <v>-120.617</v>
      </c>
      <c r="AV378" s="272">
        <v>15392.546</v>
      </c>
      <c r="AW378" s="272">
        <v>0</v>
      </c>
      <c r="AX378" s="272">
        <v>6176.79</v>
      </c>
      <c r="AY378" s="272">
        <v>0</v>
      </c>
      <c r="AZ378" s="272">
        <v>0</v>
      </c>
      <c r="BA378" s="272">
        <v>0</v>
      </c>
      <c r="BB378" s="272">
        <v>0</v>
      </c>
      <c r="BC378" s="272">
        <v>0</v>
      </c>
      <c r="BD378" s="272">
        <v>0</v>
      </c>
      <c r="BE378" s="272">
        <v>-2758.19</v>
      </c>
      <c r="BF378" s="272">
        <v>-2198.13</v>
      </c>
      <c r="BG378" s="272">
        <v>-2198.13</v>
      </c>
      <c r="BH378" s="272">
        <v>0</v>
      </c>
      <c r="BI378" s="272">
        <v>-108.837</v>
      </c>
      <c r="BJ378" s="272">
        <v>0</v>
      </c>
      <c r="BK378" s="272">
        <v>-188.29499999999999</v>
      </c>
      <c r="BL378" s="272">
        <v>-19.373000000000001</v>
      </c>
      <c r="BM378" s="272">
        <v>-540.68700000000001</v>
      </c>
      <c r="BN378" s="272">
        <v>12634.356</v>
      </c>
      <c r="BO378" s="272">
        <v>1777.136</v>
      </c>
      <c r="BP378" s="272">
        <v>0</v>
      </c>
      <c r="BQ378" s="272">
        <v>0</v>
      </c>
      <c r="BR378" s="272">
        <v>0</v>
      </c>
      <c r="BS378" s="272">
        <v>6878.56</v>
      </c>
      <c r="BT378" s="272">
        <v>0</v>
      </c>
      <c r="BU378" s="272">
        <v>0</v>
      </c>
      <c r="BV378" s="272">
        <v>0</v>
      </c>
      <c r="BW378" s="272">
        <v>0</v>
      </c>
      <c r="BX378" s="272">
        <v>3978.66</v>
      </c>
      <c r="BY378" s="272">
        <v>0</v>
      </c>
      <c r="BZ378" s="272">
        <v>0</v>
      </c>
      <c r="CA378" s="272">
        <v>0</v>
      </c>
      <c r="CB378" s="272">
        <v>0</v>
      </c>
      <c r="CC378" s="272">
        <v>0</v>
      </c>
      <c r="CD378" s="272">
        <v>0</v>
      </c>
      <c r="CE378" s="272">
        <v>0</v>
      </c>
      <c r="CF378" s="272">
        <v>0</v>
      </c>
      <c r="CG378" s="272">
        <v>0</v>
      </c>
      <c r="CH378" s="272">
        <v>0</v>
      </c>
      <c r="CI378" s="272">
        <v>31576.222000000002</v>
      </c>
      <c r="CJ378" s="272">
        <v>6343.6469999999999</v>
      </c>
      <c r="CK378" s="272">
        <v>25232.575000000001</v>
      </c>
      <c r="CL378" s="272">
        <v>12812.844999999999</v>
      </c>
      <c r="CM378" s="272">
        <v>12203.011</v>
      </c>
      <c r="CN378" s="272">
        <v>216.71899999999999</v>
      </c>
      <c r="CO378" s="272">
        <v>0</v>
      </c>
      <c r="CP378" s="272">
        <v>0</v>
      </c>
      <c r="CQ378" s="272">
        <v>216.71899999999999</v>
      </c>
      <c r="CR378" s="272">
        <v>-7427.2830000000004</v>
      </c>
      <c r="CS378" s="272">
        <v>-2527.0859999999998</v>
      </c>
      <c r="CT378" s="272">
        <v>-1890.442</v>
      </c>
      <c r="CU378" s="272">
        <v>0</v>
      </c>
      <c r="CV378" s="272">
        <v>-4.2839999999999998</v>
      </c>
      <c r="CW378" s="272">
        <v>-632.36</v>
      </c>
      <c r="CX378" s="272">
        <v>-4086.5940000000001</v>
      </c>
      <c r="CY378" s="272">
        <v>-2810.2</v>
      </c>
      <c r="CZ378" s="272">
        <v>-1227.549</v>
      </c>
      <c r="DA378" s="272">
        <v>-48.844999999999999</v>
      </c>
      <c r="DB378" s="272">
        <v>-710.529</v>
      </c>
      <c r="DC378" s="272">
        <v>-103.074</v>
      </c>
      <c r="DD378" s="272">
        <v>24148.938999999998</v>
      </c>
      <c r="DE378" s="272">
        <v>24148.938999999998</v>
      </c>
      <c r="DF378" s="272">
        <v>0</v>
      </c>
      <c r="DG378" s="272">
        <v>0</v>
      </c>
      <c r="DH378" s="272">
        <v>0</v>
      </c>
      <c r="DI378" s="272">
        <v>13075.793</v>
      </c>
      <c r="DJ378" s="272">
        <v>639.98699999999997</v>
      </c>
      <c r="DK378" s="272">
        <v>176.25899999999999</v>
      </c>
      <c r="DL378" s="272">
        <v>24.36</v>
      </c>
      <c r="DM378" s="272">
        <v>8322.3430000000008</v>
      </c>
      <c r="DN378" s="272">
        <v>3139.24</v>
      </c>
      <c r="DO378" s="272">
        <v>0</v>
      </c>
      <c r="DP378" s="272"/>
      <c r="DQ378" s="272">
        <v>0</v>
      </c>
      <c r="DR378" s="272">
        <v>773.60400000000004</v>
      </c>
      <c r="DS378" s="272">
        <v>-629.69299999999998</v>
      </c>
      <c r="DT378" s="272">
        <v>-74.905000000000001</v>
      </c>
      <c r="DU378" s="272">
        <v>-11.305999999999999</v>
      </c>
      <c r="DV378" s="272">
        <v>-0.83199999999999996</v>
      </c>
      <c r="DW378" s="272">
        <v>-397.36099999999999</v>
      </c>
      <c r="DX378" s="272">
        <v>0</v>
      </c>
      <c r="DY378" s="272">
        <v>0</v>
      </c>
      <c r="DZ378" s="272">
        <v>0</v>
      </c>
      <c r="EA378" s="272">
        <v>-124.952</v>
      </c>
      <c r="EB378" s="272">
        <v>0</v>
      </c>
      <c r="EC378" s="272"/>
      <c r="ED378" s="272">
        <v>0</v>
      </c>
      <c r="EE378" s="272">
        <v>-20.337</v>
      </c>
      <c r="EF378" s="272">
        <v>12446.1</v>
      </c>
      <c r="EG378" s="272">
        <v>12446.1</v>
      </c>
      <c r="EH378" s="272">
        <v>0</v>
      </c>
      <c r="EI378" s="272">
        <v>0</v>
      </c>
      <c r="EJ378" s="272">
        <v>0</v>
      </c>
      <c r="EK378" s="272">
        <v>565.08199999999999</v>
      </c>
      <c r="EL378" s="272">
        <v>565.08199999999999</v>
      </c>
      <c r="EM378" s="272">
        <v>0</v>
      </c>
      <c r="EN378" s="272">
        <v>0</v>
      </c>
      <c r="EO378" s="272">
        <v>0</v>
      </c>
      <c r="EP378" s="272">
        <v>164.953</v>
      </c>
      <c r="EQ378" s="272">
        <v>164.953</v>
      </c>
      <c r="ER378" s="272">
        <v>0</v>
      </c>
      <c r="ES378" s="272">
        <v>0</v>
      </c>
      <c r="ET378" s="272">
        <v>0</v>
      </c>
      <c r="EU378" s="272">
        <v>23.527999999999999</v>
      </c>
      <c r="EV378" s="272">
        <v>23.527999999999999</v>
      </c>
      <c r="EW378" s="272">
        <v>0</v>
      </c>
      <c r="EX378" s="272">
        <v>0</v>
      </c>
      <c r="EY378" s="272">
        <v>0</v>
      </c>
      <c r="EZ378" s="272">
        <v>7924.982</v>
      </c>
      <c r="FA378" s="272">
        <v>7924.982</v>
      </c>
      <c r="FB378" s="272">
        <v>0</v>
      </c>
      <c r="FC378" s="272">
        <v>0</v>
      </c>
      <c r="FD378" s="272">
        <v>0</v>
      </c>
      <c r="FE378" s="272">
        <v>3014.288</v>
      </c>
      <c r="FF378" s="272">
        <v>3014.288</v>
      </c>
      <c r="FG378" s="272">
        <v>0</v>
      </c>
      <c r="FH378" s="272">
        <v>0</v>
      </c>
      <c r="FI378" s="272">
        <v>0</v>
      </c>
      <c r="FJ378" s="272">
        <v>0</v>
      </c>
      <c r="FK378" s="272">
        <v>0</v>
      </c>
      <c r="FL378" s="272">
        <v>0</v>
      </c>
      <c r="FM378" s="272">
        <v>0</v>
      </c>
      <c r="FN378" s="272"/>
      <c r="FO378" s="272"/>
      <c r="FP378" s="272">
        <v>0</v>
      </c>
      <c r="FQ378" s="272">
        <v>753.26700000000005</v>
      </c>
      <c r="FR378" s="272">
        <v>3139.44</v>
      </c>
      <c r="FS378" s="272">
        <v>-128.416</v>
      </c>
      <c r="FT378" s="272">
        <v>3011.0239999999999</v>
      </c>
      <c r="FU378" s="272">
        <v>0</v>
      </c>
      <c r="FV378" s="272">
        <v>0</v>
      </c>
      <c r="FW378" s="272">
        <v>0</v>
      </c>
      <c r="FX378" s="272">
        <v>674.10299999999995</v>
      </c>
      <c r="FY378" s="272">
        <v>379.28100000000001</v>
      </c>
      <c r="FZ378" s="272"/>
      <c r="GA378" s="272"/>
      <c r="GB378" s="272">
        <v>0</v>
      </c>
      <c r="GC378" s="272">
        <v>502.55399999999997</v>
      </c>
      <c r="GD378" s="272">
        <v>0</v>
      </c>
      <c r="GE378" s="272">
        <v>0</v>
      </c>
      <c r="GF378" s="272">
        <v>0</v>
      </c>
      <c r="GG378" s="272">
        <v>1455.086</v>
      </c>
      <c r="GH378" s="272">
        <v>834.19899999999996</v>
      </c>
      <c r="GI378" s="272">
        <v>142.452</v>
      </c>
      <c r="GJ378" s="272">
        <v>478.435</v>
      </c>
    </row>
    <row r="379" spans="1:192">
      <c r="A379" s="270" t="s">
        <v>16</v>
      </c>
      <c r="B379" s="271"/>
      <c r="C379" s="271"/>
      <c r="D379" s="272">
        <v>114373.81</v>
      </c>
      <c r="E379" s="272">
        <v>-22653.921999999999</v>
      </c>
      <c r="F379" s="272">
        <v>-123.18899999999999</v>
      </c>
      <c r="G379" s="272">
        <v>91596.698999999993</v>
      </c>
      <c r="H379" s="272">
        <v>87558.619000000006</v>
      </c>
      <c r="I379" s="272">
        <v>4038.08</v>
      </c>
      <c r="J379" s="272">
        <v>4038.08</v>
      </c>
      <c r="K379" s="272">
        <v>0</v>
      </c>
      <c r="L379" s="272">
        <v>43146.084000000003</v>
      </c>
      <c r="M379" s="272">
        <v>29921.357</v>
      </c>
      <c r="N379" s="272">
        <v>5153.9579999999996</v>
      </c>
      <c r="O379" s="272">
        <v>0</v>
      </c>
      <c r="P379" s="272">
        <v>0</v>
      </c>
      <c r="Q379" s="272">
        <v>0</v>
      </c>
      <c r="R379" s="272">
        <v>8070.7690000000002</v>
      </c>
      <c r="S379" s="272">
        <v>-8935.6059999999998</v>
      </c>
      <c r="T379" s="272">
        <v>-7322.2569999999996</v>
      </c>
      <c r="U379" s="272">
        <v>0</v>
      </c>
      <c r="V379" s="272">
        <v>0</v>
      </c>
      <c r="W379" s="272">
        <v>-6236.0110000000004</v>
      </c>
      <c r="X379" s="272">
        <v>-883.48800000000006</v>
      </c>
      <c r="Y379" s="272">
        <v>-202.75800000000001</v>
      </c>
      <c r="Z379" s="272">
        <v>0</v>
      </c>
      <c r="AA379" s="272">
        <v>-204.078</v>
      </c>
      <c r="AB379" s="272">
        <v>-1409.271</v>
      </c>
      <c r="AC379" s="272">
        <v>-123.18899999999999</v>
      </c>
      <c r="AD379" s="272">
        <v>34087.288999999997</v>
      </c>
      <c r="AE379" s="272">
        <v>30049.208999999999</v>
      </c>
      <c r="AF379" s="272">
        <v>4038.08</v>
      </c>
      <c r="AG379" s="272">
        <v>4038.08</v>
      </c>
      <c r="AH379" s="272">
        <v>0</v>
      </c>
      <c r="AI379" s="272">
        <v>29830.817999999999</v>
      </c>
      <c r="AJ379" s="272">
        <v>6528.3950000000004</v>
      </c>
      <c r="AK379" s="272">
        <v>13317.876</v>
      </c>
      <c r="AL379" s="272">
        <v>9078.2559999999994</v>
      </c>
      <c r="AM379" s="272">
        <v>3674.32</v>
      </c>
      <c r="AN379" s="272">
        <v>395.33499999999998</v>
      </c>
      <c r="AO379" s="272">
        <v>0</v>
      </c>
      <c r="AP379" s="272">
        <v>0</v>
      </c>
      <c r="AQ379" s="272">
        <v>2478.3040000000001</v>
      </c>
      <c r="AR379" s="272">
        <v>-2168.299</v>
      </c>
      <c r="AS379" s="272">
        <v>0</v>
      </c>
      <c r="AT379" s="272">
        <v>0</v>
      </c>
      <c r="AU379" s="272">
        <v>-123.18899999999999</v>
      </c>
      <c r="AV379" s="272">
        <v>17669.343000000001</v>
      </c>
      <c r="AW379" s="272">
        <v>8851.8490000000002</v>
      </c>
      <c r="AX379" s="272">
        <v>6487.0640000000003</v>
      </c>
      <c r="AY379" s="272">
        <v>0</v>
      </c>
      <c r="AZ379" s="272">
        <v>0</v>
      </c>
      <c r="BA379" s="272">
        <v>0</v>
      </c>
      <c r="BB379" s="272">
        <v>0</v>
      </c>
      <c r="BC379" s="272">
        <v>0</v>
      </c>
      <c r="BD379" s="272">
        <v>2330.4299999999998</v>
      </c>
      <c r="BE379" s="272">
        <v>-3692.6970000000001</v>
      </c>
      <c r="BF379" s="272">
        <v>-3013.4740000000002</v>
      </c>
      <c r="BG379" s="272">
        <v>-3013.4740000000002</v>
      </c>
      <c r="BH379" s="272">
        <v>0</v>
      </c>
      <c r="BI379" s="272">
        <v>-1473.694</v>
      </c>
      <c r="BJ379" s="272">
        <v>-1197.1849999999999</v>
      </c>
      <c r="BK379" s="272">
        <v>-342.59500000000003</v>
      </c>
      <c r="BL379" s="272">
        <v>-54.661999999999999</v>
      </c>
      <c r="BM379" s="272">
        <v>-624.56100000000004</v>
      </c>
      <c r="BN379" s="272">
        <v>13976.646000000001</v>
      </c>
      <c r="BO379" s="272">
        <v>1490.5170000000001</v>
      </c>
      <c r="BP379" s="272">
        <v>169.08699999999999</v>
      </c>
      <c r="BQ379" s="272">
        <v>0</v>
      </c>
      <c r="BR379" s="272">
        <v>0</v>
      </c>
      <c r="BS379" s="272">
        <v>8843.4519999999993</v>
      </c>
      <c r="BT379" s="272">
        <v>0</v>
      </c>
      <c r="BU379" s="272">
        <v>0</v>
      </c>
      <c r="BV379" s="272">
        <v>0</v>
      </c>
      <c r="BW379" s="272">
        <v>0</v>
      </c>
      <c r="BX379" s="272">
        <v>3473.59</v>
      </c>
      <c r="BY379" s="272">
        <v>0</v>
      </c>
      <c r="BZ379" s="272">
        <v>0</v>
      </c>
      <c r="CA379" s="272">
        <v>0</v>
      </c>
      <c r="CB379" s="272">
        <v>0</v>
      </c>
      <c r="CC379" s="272">
        <v>0</v>
      </c>
      <c r="CD379" s="272">
        <v>0</v>
      </c>
      <c r="CE379" s="272">
        <v>0</v>
      </c>
      <c r="CF379" s="272">
        <v>0</v>
      </c>
      <c r="CG379" s="272">
        <v>0</v>
      </c>
      <c r="CH379" s="272">
        <v>0</v>
      </c>
      <c r="CI379" s="272">
        <v>35672.910000000003</v>
      </c>
      <c r="CJ379" s="272">
        <v>6855.2740000000003</v>
      </c>
      <c r="CK379" s="272">
        <v>28817.635999999999</v>
      </c>
      <c r="CL379" s="272">
        <v>14953.896000000001</v>
      </c>
      <c r="CM379" s="272">
        <v>13676.597</v>
      </c>
      <c r="CN379" s="272">
        <v>187.143</v>
      </c>
      <c r="CO379" s="272">
        <v>0</v>
      </c>
      <c r="CP379" s="272">
        <v>0</v>
      </c>
      <c r="CQ379" s="272">
        <v>187.143</v>
      </c>
      <c r="CR379" s="272">
        <v>-9431.0529999999999</v>
      </c>
      <c r="CS379" s="272">
        <v>-3130.1010000000001</v>
      </c>
      <c r="CT379" s="272">
        <v>-2379.6529999999998</v>
      </c>
      <c r="CU379" s="272">
        <v>-211.09700000000001</v>
      </c>
      <c r="CV379" s="272">
        <v>-21.186</v>
      </c>
      <c r="CW379" s="272">
        <v>-518.16499999999996</v>
      </c>
      <c r="CX379" s="272">
        <v>-5265.2330000000002</v>
      </c>
      <c r="CY379" s="272">
        <v>-3736.1439999999998</v>
      </c>
      <c r="CZ379" s="272">
        <v>-1497.434</v>
      </c>
      <c r="DA379" s="272">
        <v>-31.655000000000001</v>
      </c>
      <c r="DB379" s="272">
        <v>-710.51700000000005</v>
      </c>
      <c r="DC379" s="272">
        <v>-325.202</v>
      </c>
      <c r="DD379" s="272">
        <v>26241.857</v>
      </c>
      <c r="DE379" s="272">
        <v>26241.857</v>
      </c>
      <c r="DF379" s="272">
        <v>0</v>
      </c>
      <c r="DG379" s="272">
        <v>0</v>
      </c>
      <c r="DH379" s="272">
        <v>0</v>
      </c>
      <c r="DI379" s="272">
        <v>14872.07</v>
      </c>
      <c r="DJ379" s="272">
        <v>773.25699999999995</v>
      </c>
      <c r="DK379" s="272">
        <v>191.655</v>
      </c>
      <c r="DL379" s="272">
        <v>22.375</v>
      </c>
      <c r="DM379" s="272">
        <v>8514.4279999999999</v>
      </c>
      <c r="DN379" s="272">
        <v>3925.3330000000001</v>
      </c>
      <c r="DO379" s="272">
        <v>507.923</v>
      </c>
      <c r="DP379" s="272"/>
      <c r="DQ379" s="272">
        <v>0</v>
      </c>
      <c r="DR379" s="272">
        <v>937.09900000000005</v>
      </c>
      <c r="DS379" s="272">
        <v>-500.517</v>
      </c>
      <c r="DT379" s="272">
        <v>-94.65</v>
      </c>
      <c r="DU379" s="272">
        <v>-14.362</v>
      </c>
      <c r="DV379" s="272">
        <v>-0.73699999999999999</v>
      </c>
      <c r="DW379" s="272">
        <v>-115.98399999999999</v>
      </c>
      <c r="DX379" s="272">
        <v>0</v>
      </c>
      <c r="DY379" s="272">
        <v>0</v>
      </c>
      <c r="DZ379" s="272">
        <v>0</v>
      </c>
      <c r="EA379" s="272">
        <v>-245.61699999999999</v>
      </c>
      <c r="EB379" s="272">
        <v>-2.653</v>
      </c>
      <c r="EC379" s="272"/>
      <c r="ED379" s="272">
        <v>0</v>
      </c>
      <c r="EE379" s="272">
        <v>-26.513999999999999</v>
      </c>
      <c r="EF379" s="272">
        <v>14371.553</v>
      </c>
      <c r="EG379" s="272">
        <v>14371.553</v>
      </c>
      <c r="EH379" s="272">
        <v>0</v>
      </c>
      <c r="EI379" s="272">
        <v>0</v>
      </c>
      <c r="EJ379" s="272">
        <v>0</v>
      </c>
      <c r="EK379" s="272">
        <v>678.60699999999997</v>
      </c>
      <c r="EL379" s="272">
        <v>678.60699999999997</v>
      </c>
      <c r="EM379" s="272">
        <v>0</v>
      </c>
      <c r="EN379" s="272">
        <v>0</v>
      </c>
      <c r="EO379" s="272">
        <v>0</v>
      </c>
      <c r="EP379" s="272">
        <v>177.29300000000001</v>
      </c>
      <c r="EQ379" s="272">
        <v>177.29300000000001</v>
      </c>
      <c r="ER379" s="272">
        <v>0</v>
      </c>
      <c r="ES379" s="272">
        <v>0</v>
      </c>
      <c r="ET379" s="272">
        <v>0</v>
      </c>
      <c r="EU379" s="272">
        <v>21.638000000000002</v>
      </c>
      <c r="EV379" s="272">
        <v>21.638000000000002</v>
      </c>
      <c r="EW379" s="272">
        <v>0</v>
      </c>
      <c r="EX379" s="272">
        <v>0</v>
      </c>
      <c r="EY379" s="272">
        <v>0</v>
      </c>
      <c r="EZ379" s="272">
        <v>8398.4439999999995</v>
      </c>
      <c r="FA379" s="272">
        <v>8398.4439999999995</v>
      </c>
      <c r="FB379" s="272">
        <v>0</v>
      </c>
      <c r="FC379" s="272">
        <v>0</v>
      </c>
      <c r="FD379" s="272">
        <v>0</v>
      </c>
      <c r="FE379" s="272">
        <v>3679.7159999999999</v>
      </c>
      <c r="FF379" s="272">
        <v>3679.7159999999999</v>
      </c>
      <c r="FG379" s="272">
        <v>0</v>
      </c>
      <c r="FH379" s="272">
        <v>0</v>
      </c>
      <c r="FI379" s="272">
        <v>0</v>
      </c>
      <c r="FJ379" s="272">
        <v>505.27</v>
      </c>
      <c r="FK379" s="272">
        <v>505.27</v>
      </c>
      <c r="FL379" s="272">
        <v>0</v>
      </c>
      <c r="FM379" s="272">
        <v>0</v>
      </c>
      <c r="FN379" s="272"/>
      <c r="FO379" s="272"/>
      <c r="FP379" s="272">
        <v>0</v>
      </c>
      <c r="FQ379" s="272">
        <v>910.58500000000004</v>
      </c>
      <c r="FR379" s="272">
        <v>3013.4029999999998</v>
      </c>
      <c r="FS379" s="272">
        <v>-94.049000000000007</v>
      </c>
      <c r="FT379" s="272">
        <v>2919.3539999999998</v>
      </c>
      <c r="FU379" s="272">
        <v>0</v>
      </c>
      <c r="FV379" s="272">
        <v>0</v>
      </c>
      <c r="FW379" s="272">
        <v>0</v>
      </c>
      <c r="FX379" s="272">
        <v>798.14300000000003</v>
      </c>
      <c r="FY379" s="272">
        <v>666.24699999999996</v>
      </c>
      <c r="FZ379" s="272"/>
      <c r="GA379" s="272"/>
      <c r="GB379" s="272">
        <v>0</v>
      </c>
      <c r="GC379" s="272">
        <v>625.30600000000004</v>
      </c>
      <c r="GD379" s="272">
        <v>0</v>
      </c>
      <c r="GE379" s="272">
        <v>0</v>
      </c>
      <c r="GF379" s="272">
        <v>0</v>
      </c>
      <c r="GG379" s="272">
        <v>829.65800000000002</v>
      </c>
      <c r="GH379" s="272">
        <v>241.76400000000001</v>
      </c>
      <c r="GI379" s="272">
        <v>68.516999999999996</v>
      </c>
      <c r="GJ379" s="272">
        <v>519.37699999999995</v>
      </c>
    </row>
    <row r="380" spans="1:192">
      <c r="A380" s="270" t="s">
        <v>17</v>
      </c>
      <c r="B380" s="271"/>
      <c r="C380" s="271"/>
      <c r="D380" s="272">
        <v>121846.56299999999</v>
      </c>
      <c r="E380" s="272">
        <v>-21753.374</v>
      </c>
      <c r="F380" s="272">
        <v>-125.437</v>
      </c>
      <c r="G380" s="272">
        <v>99967.751999999993</v>
      </c>
      <c r="H380" s="272">
        <v>95215.536999999997</v>
      </c>
      <c r="I380" s="272">
        <v>4752.2150000000001</v>
      </c>
      <c r="J380" s="272">
        <v>4752.2150000000001</v>
      </c>
      <c r="K380" s="272">
        <v>0</v>
      </c>
      <c r="L380" s="272">
        <v>43071.161</v>
      </c>
      <c r="M380" s="272">
        <v>31005.843000000001</v>
      </c>
      <c r="N380" s="272">
        <v>5203.482</v>
      </c>
      <c r="O380" s="272">
        <v>0</v>
      </c>
      <c r="P380" s="272">
        <v>0</v>
      </c>
      <c r="Q380" s="272">
        <v>0</v>
      </c>
      <c r="R380" s="272">
        <v>6861.8360000000002</v>
      </c>
      <c r="S380" s="272">
        <v>-7486.058</v>
      </c>
      <c r="T380" s="272">
        <v>-7252.7309999999998</v>
      </c>
      <c r="U380" s="272">
        <v>0</v>
      </c>
      <c r="V380" s="272">
        <v>0</v>
      </c>
      <c r="W380" s="272">
        <v>-6969.8950000000004</v>
      </c>
      <c r="X380" s="272">
        <v>-82.152000000000001</v>
      </c>
      <c r="Y380" s="272">
        <v>-200.684</v>
      </c>
      <c r="Z380" s="272">
        <v>0</v>
      </c>
      <c r="AA380" s="272">
        <v>-186.03299999999999</v>
      </c>
      <c r="AB380" s="272">
        <v>-47.293999999999997</v>
      </c>
      <c r="AC380" s="272">
        <v>-125.437</v>
      </c>
      <c r="AD380" s="272">
        <v>35459.665999999997</v>
      </c>
      <c r="AE380" s="272">
        <v>30707.451000000001</v>
      </c>
      <c r="AF380" s="272">
        <v>4752.2150000000001</v>
      </c>
      <c r="AG380" s="272">
        <v>4752.2150000000001</v>
      </c>
      <c r="AH380" s="272">
        <v>0</v>
      </c>
      <c r="AI380" s="272">
        <v>30868.06</v>
      </c>
      <c r="AJ380" s="272">
        <v>7438.1090000000004</v>
      </c>
      <c r="AK380" s="272">
        <v>13304.791999999999</v>
      </c>
      <c r="AL380" s="272">
        <v>9533.5310000000009</v>
      </c>
      <c r="AM380" s="272">
        <v>2973.127</v>
      </c>
      <c r="AN380" s="272">
        <v>846.85299999999995</v>
      </c>
      <c r="AO380" s="272">
        <v>541.92700000000002</v>
      </c>
      <c r="AP380" s="272">
        <v>0</v>
      </c>
      <c r="AQ380" s="272">
        <v>2404.3850000000002</v>
      </c>
      <c r="AR380" s="272">
        <v>-2049.2489999999998</v>
      </c>
      <c r="AS380" s="272">
        <v>0</v>
      </c>
      <c r="AT380" s="272">
        <v>0</v>
      </c>
      <c r="AU380" s="272">
        <v>-125.437</v>
      </c>
      <c r="AV380" s="272">
        <v>17586.482</v>
      </c>
      <c r="AW380" s="272">
        <v>8524.8989999999994</v>
      </c>
      <c r="AX380" s="272">
        <v>6801.1310000000003</v>
      </c>
      <c r="AY380" s="272">
        <v>0</v>
      </c>
      <c r="AZ380" s="272">
        <v>0</v>
      </c>
      <c r="BA380" s="272">
        <v>0</v>
      </c>
      <c r="BB380" s="272">
        <v>0</v>
      </c>
      <c r="BC380" s="272">
        <v>0</v>
      </c>
      <c r="BD380" s="272">
        <v>2260.4520000000002</v>
      </c>
      <c r="BE380" s="272">
        <v>-2950.8580000000002</v>
      </c>
      <c r="BF380" s="272">
        <v>-2389.0189999999998</v>
      </c>
      <c r="BG380" s="272">
        <v>-2389.0189999999998</v>
      </c>
      <c r="BH380" s="272">
        <v>0</v>
      </c>
      <c r="BI380" s="272">
        <v>-1989.8440000000001</v>
      </c>
      <c r="BJ380" s="272">
        <v>-125.161</v>
      </c>
      <c r="BK380" s="272">
        <v>-274.01400000000001</v>
      </c>
      <c r="BL380" s="272">
        <v>-121.70099999999999</v>
      </c>
      <c r="BM380" s="272">
        <v>-440.13799999999998</v>
      </c>
      <c r="BN380" s="272">
        <v>14635.624</v>
      </c>
      <c r="BO380" s="272">
        <v>1213.1369999999999</v>
      </c>
      <c r="BP380" s="272">
        <v>358.53100000000001</v>
      </c>
      <c r="BQ380" s="272">
        <v>230.80500000000001</v>
      </c>
      <c r="BR380" s="272">
        <v>0</v>
      </c>
      <c r="BS380" s="272">
        <v>8421.0390000000007</v>
      </c>
      <c r="BT380" s="272">
        <v>0</v>
      </c>
      <c r="BU380" s="272">
        <v>0</v>
      </c>
      <c r="BV380" s="272">
        <v>0</v>
      </c>
      <c r="BW380" s="272">
        <v>0</v>
      </c>
      <c r="BX380" s="272">
        <v>4412.1120000000001</v>
      </c>
      <c r="BY380" s="272">
        <v>0</v>
      </c>
      <c r="BZ380" s="272">
        <v>0</v>
      </c>
      <c r="CA380" s="272">
        <v>1815.13</v>
      </c>
      <c r="CB380" s="272">
        <v>-1092.1220000000001</v>
      </c>
      <c r="CC380" s="272">
        <v>-55.405999999999999</v>
      </c>
      <c r="CD380" s="272">
        <v>-1036.7159999999999</v>
      </c>
      <c r="CE380" s="272">
        <v>723.00800000000004</v>
      </c>
      <c r="CF380" s="272">
        <v>0</v>
      </c>
      <c r="CG380" s="272">
        <v>0</v>
      </c>
      <c r="CH380" s="272">
        <v>0</v>
      </c>
      <c r="CI380" s="272">
        <v>40427.163</v>
      </c>
      <c r="CJ380" s="272">
        <v>7994.0839999999998</v>
      </c>
      <c r="CK380" s="272">
        <v>32433.079000000002</v>
      </c>
      <c r="CL380" s="272">
        <v>15961.433999999999</v>
      </c>
      <c r="CM380" s="272">
        <v>16253.159</v>
      </c>
      <c r="CN380" s="272">
        <v>218.48599999999999</v>
      </c>
      <c r="CO380" s="272">
        <v>0</v>
      </c>
      <c r="CP380" s="272">
        <v>0</v>
      </c>
      <c r="CQ380" s="272">
        <v>218.48599999999999</v>
      </c>
      <c r="CR380" s="272">
        <v>-9692.5650000000005</v>
      </c>
      <c r="CS380" s="272">
        <v>-3654.8330000000001</v>
      </c>
      <c r="CT380" s="272">
        <v>-2912.4929999999999</v>
      </c>
      <c r="CU380" s="272">
        <v>-62.121000000000002</v>
      </c>
      <c r="CV380" s="272">
        <v>-21.9</v>
      </c>
      <c r="CW380" s="272">
        <v>-658.31899999999996</v>
      </c>
      <c r="CX380" s="272">
        <v>-4995.6490000000003</v>
      </c>
      <c r="CY380" s="272">
        <v>-3885.1350000000002</v>
      </c>
      <c r="CZ380" s="272">
        <v>-1077.17</v>
      </c>
      <c r="DA380" s="272">
        <v>-33.344000000000001</v>
      </c>
      <c r="DB380" s="272">
        <v>-827.66499999999996</v>
      </c>
      <c r="DC380" s="272">
        <v>-214.41800000000001</v>
      </c>
      <c r="DD380" s="272">
        <v>30734.598000000002</v>
      </c>
      <c r="DE380" s="272">
        <v>30734.598000000002</v>
      </c>
      <c r="DF380" s="272">
        <v>0</v>
      </c>
      <c r="DG380" s="272">
        <v>0</v>
      </c>
      <c r="DH380" s="272">
        <v>0</v>
      </c>
      <c r="DI380" s="272">
        <v>15846.621999999999</v>
      </c>
      <c r="DJ380" s="272">
        <v>780.83900000000006</v>
      </c>
      <c r="DK380" s="272">
        <v>194.88200000000001</v>
      </c>
      <c r="DL380" s="272">
        <v>20.082000000000001</v>
      </c>
      <c r="DM380" s="272">
        <v>8980.6119999999992</v>
      </c>
      <c r="DN380" s="272">
        <v>4063.6889999999999</v>
      </c>
      <c r="DO380" s="272">
        <v>614.74400000000003</v>
      </c>
      <c r="DP380" s="272"/>
      <c r="DQ380" s="272">
        <v>0</v>
      </c>
      <c r="DR380" s="272">
        <v>1191.7739999999999</v>
      </c>
      <c r="DS380" s="272">
        <v>-421.60500000000002</v>
      </c>
      <c r="DT380" s="272">
        <v>-65.680999999999997</v>
      </c>
      <c r="DU380" s="272">
        <v>-13.769</v>
      </c>
      <c r="DV380" s="272">
        <v>-0.26200000000000001</v>
      </c>
      <c r="DW380" s="272">
        <v>-37.988999999999997</v>
      </c>
      <c r="DX380" s="272">
        <v>0</v>
      </c>
      <c r="DY380" s="272">
        <v>0</v>
      </c>
      <c r="DZ380" s="272">
        <v>0</v>
      </c>
      <c r="EA380" s="272">
        <v>-252.24299999999999</v>
      </c>
      <c r="EB380" s="272">
        <v>-16.298999999999999</v>
      </c>
      <c r="EC380" s="272"/>
      <c r="ED380" s="272">
        <v>0</v>
      </c>
      <c r="EE380" s="272">
        <v>-35.362000000000002</v>
      </c>
      <c r="EF380" s="272">
        <v>15425.017</v>
      </c>
      <c r="EG380" s="272">
        <v>15425.017</v>
      </c>
      <c r="EH380" s="272">
        <v>0</v>
      </c>
      <c r="EI380" s="272">
        <v>0</v>
      </c>
      <c r="EJ380" s="272">
        <v>0</v>
      </c>
      <c r="EK380" s="272">
        <v>715.15800000000002</v>
      </c>
      <c r="EL380" s="272">
        <v>715.15800000000002</v>
      </c>
      <c r="EM380" s="272">
        <v>0</v>
      </c>
      <c r="EN380" s="272">
        <v>0</v>
      </c>
      <c r="EO380" s="272">
        <v>0</v>
      </c>
      <c r="EP380" s="272">
        <v>181.113</v>
      </c>
      <c r="EQ380" s="272">
        <v>181.113</v>
      </c>
      <c r="ER380" s="272">
        <v>0</v>
      </c>
      <c r="ES380" s="272">
        <v>0</v>
      </c>
      <c r="ET380" s="272">
        <v>0</v>
      </c>
      <c r="EU380" s="272">
        <v>19.82</v>
      </c>
      <c r="EV380" s="272">
        <v>19.82</v>
      </c>
      <c r="EW380" s="272">
        <v>0</v>
      </c>
      <c r="EX380" s="272">
        <v>0</v>
      </c>
      <c r="EY380" s="272">
        <v>0</v>
      </c>
      <c r="EZ380" s="272">
        <v>8942.6229999999996</v>
      </c>
      <c r="FA380" s="272">
        <v>8942.6229999999996</v>
      </c>
      <c r="FB380" s="272">
        <v>0</v>
      </c>
      <c r="FC380" s="272">
        <v>0</v>
      </c>
      <c r="FD380" s="272">
        <v>0</v>
      </c>
      <c r="FE380" s="272">
        <v>3811.4459999999999</v>
      </c>
      <c r="FF380" s="272">
        <v>3811.4459999999999</v>
      </c>
      <c r="FG380" s="272">
        <v>0</v>
      </c>
      <c r="FH380" s="272">
        <v>0</v>
      </c>
      <c r="FI380" s="272">
        <v>0</v>
      </c>
      <c r="FJ380" s="272">
        <v>598.44500000000005</v>
      </c>
      <c r="FK380" s="272">
        <v>598.44500000000005</v>
      </c>
      <c r="FL380" s="272">
        <v>0</v>
      </c>
      <c r="FM380" s="272">
        <v>0</v>
      </c>
      <c r="FN380" s="272"/>
      <c r="FO380" s="272"/>
      <c r="FP380" s="272">
        <v>0</v>
      </c>
      <c r="FQ380" s="272">
        <v>1156.412</v>
      </c>
      <c r="FR380" s="272">
        <v>3100.0050000000001</v>
      </c>
      <c r="FS380" s="272">
        <v>-110.166</v>
      </c>
      <c r="FT380" s="272">
        <v>2989.8389999999999</v>
      </c>
      <c r="FU380" s="272">
        <v>0</v>
      </c>
      <c r="FV380" s="272">
        <v>0</v>
      </c>
      <c r="FW380" s="272">
        <v>0</v>
      </c>
      <c r="FX380" s="272">
        <v>867.00199999999995</v>
      </c>
      <c r="FY380" s="272">
        <v>688.173</v>
      </c>
      <c r="FZ380" s="272"/>
      <c r="GA380" s="272"/>
      <c r="GB380" s="272">
        <v>0</v>
      </c>
      <c r="GC380" s="272">
        <v>604.05700000000002</v>
      </c>
      <c r="GD380" s="272">
        <v>0</v>
      </c>
      <c r="GE380" s="272">
        <v>0</v>
      </c>
      <c r="GF380" s="272">
        <v>0</v>
      </c>
      <c r="GG380" s="272">
        <v>830.60699999999997</v>
      </c>
      <c r="GH380" s="272">
        <v>284.05500000000001</v>
      </c>
      <c r="GI380" s="272">
        <v>67.581000000000003</v>
      </c>
      <c r="GJ380" s="272">
        <v>478.971</v>
      </c>
    </row>
    <row r="381" spans="1:192">
      <c r="A381" s="270" t="s">
        <v>18</v>
      </c>
      <c r="B381" s="271"/>
      <c r="C381" s="271"/>
      <c r="D381" s="272">
        <v>132615.22500000001</v>
      </c>
      <c r="E381" s="272">
        <v>-24723.088</v>
      </c>
      <c r="F381" s="272">
        <v>-127.92400000000001</v>
      </c>
      <c r="G381" s="272">
        <v>107764.213</v>
      </c>
      <c r="H381" s="272">
        <v>103117.69500000001</v>
      </c>
      <c r="I381" s="272">
        <v>4646.518</v>
      </c>
      <c r="J381" s="272">
        <v>4646.518</v>
      </c>
      <c r="K381" s="272">
        <v>0</v>
      </c>
      <c r="L381" s="272">
        <v>44415.324000000001</v>
      </c>
      <c r="M381" s="272">
        <v>32920.224999999999</v>
      </c>
      <c r="N381" s="272">
        <v>4453.8310000000001</v>
      </c>
      <c r="O381" s="272">
        <v>0</v>
      </c>
      <c r="P381" s="272">
        <v>0</v>
      </c>
      <c r="Q381" s="272">
        <v>0</v>
      </c>
      <c r="R381" s="272">
        <v>7041.268</v>
      </c>
      <c r="S381" s="272">
        <v>-7521.491</v>
      </c>
      <c r="T381" s="272">
        <v>-7324.8959999999997</v>
      </c>
      <c r="U381" s="272">
        <v>0</v>
      </c>
      <c r="V381" s="272">
        <v>0</v>
      </c>
      <c r="W381" s="272">
        <v>-6965.058</v>
      </c>
      <c r="X381" s="272">
        <v>-125.88800000000001</v>
      </c>
      <c r="Y381" s="272">
        <v>-233.95</v>
      </c>
      <c r="Z381" s="272">
        <v>0</v>
      </c>
      <c r="AA381" s="272">
        <v>-196.595</v>
      </c>
      <c r="AB381" s="272">
        <v>0</v>
      </c>
      <c r="AC381" s="272">
        <v>-127.92400000000001</v>
      </c>
      <c r="AD381" s="272">
        <v>36765.909</v>
      </c>
      <c r="AE381" s="272">
        <v>32119.391</v>
      </c>
      <c r="AF381" s="272">
        <v>4646.518</v>
      </c>
      <c r="AG381" s="272">
        <v>4646.518</v>
      </c>
      <c r="AH381" s="272">
        <v>0</v>
      </c>
      <c r="AI381" s="272">
        <v>32744.179</v>
      </c>
      <c r="AJ381" s="272">
        <v>6478.71</v>
      </c>
      <c r="AK381" s="272">
        <v>15580.184999999999</v>
      </c>
      <c r="AL381" s="272">
        <v>10124.467000000001</v>
      </c>
      <c r="AM381" s="272">
        <v>2722.248</v>
      </c>
      <c r="AN381" s="272">
        <v>928.92499999999995</v>
      </c>
      <c r="AO381" s="272">
        <v>943.16200000000003</v>
      </c>
      <c r="AP381" s="272">
        <v>0</v>
      </c>
      <c r="AQ381" s="272">
        <v>2426.384</v>
      </c>
      <c r="AR381" s="272">
        <v>-2871.0650000000001</v>
      </c>
      <c r="AS381" s="272">
        <v>0</v>
      </c>
      <c r="AT381" s="272">
        <v>0</v>
      </c>
      <c r="AU381" s="272">
        <v>-127.92400000000001</v>
      </c>
      <c r="AV381" s="272">
        <v>20416.592000000001</v>
      </c>
      <c r="AW381" s="272">
        <v>9931.348</v>
      </c>
      <c r="AX381" s="272">
        <v>7905.9449999999997</v>
      </c>
      <c r="AY381" s="272">
        <v>0</v>
      </c>
      <c r="AZ381" s="272">
        <v>0</v>
      </c>
      <c r="BA381" s="272">
        <v>0</v>
      </c>
      <c r="BB381" s="272">
        <v>0</v>
      </c>
      <c r="BC381" s="272">
        <v>0</v>
      </c>
      <c r="BD381" s="272">
        <v>2579.299</v>
      </c>
      <c r="BE381" s="272">
        <v>-3210.0329999999999</v>
      </c>
      <c r="BF381" s="272">
        <v>-2463.7809999999999</v>
      </c>
      <c r="BG381" s="272">
        <v>-2463.7809999999999</v>
      </c>
      <c r="BH381" s="272">
        <v>0</v>
      </c>
      <c r="BI381" s="272">
        <v>-1481.999</v>
      </c>
      <c r="BJ381" s="272">
        <v>-600.26800000000003</v>
      </c>
      <c r="BK381" s="272">
        <v>-381.51400000000001</v>
      </c>
      <c r="BL381" s="272">
        <v>-68.783000000000001</v>
      </c>
      <c r="BM381" s="272">
        <v>-677.46900000000005</v>
      </c>
      <c r="BN381" s="272">
        <v>17206.559000000001</v>
      </c>
      <c r="BO381" s="272">
        <v>1104.2629999999999</v>
      </c>
      <c r="BP381" s="272">
        <v>391.71499999999997</v>
      </c>
      <c r="BQ381" s="272">
        <v>401.125</v>
      </c>
      <c r="BR381" s="272">
        <v>0</v>
      </c>
      <c r="BS381" s="272">
        <v>9867.2919999999995</v>
      </c>
      <c r="BT381" s="272">
        <v>0</v>
      </c>
      <c r="BU381" s="272">
        <v>0</v>
      </c>
      <c r="BV381" s="272">
        <v>0</v>
      </c>
      <c r="BW381" s="272">
        <v>0</v>
      </c>
      <c r="BX381" s="272">
        <v>5442.1639999999998</v>
      </c>
      <c r="BY381" s="272">
        <v>0</v>
      </c>
      <c r="BZ381" s="272">
        <v>0</v>
      </c>
      <c r="CA381" s="272">
        <v>2132.9789999999998</v>
      </c>
      <c r="CB381" s="272">
        <v>-1034.4860000000001</v>
      </c>
      <c r="CC381" s="272">
        <v>-100.136</v>
      </c>
      <c r="CD381" s="272">
        <v>-934.35</v>
      </c>
      <c r="CE381" s="272">
        <v>1098.4929999999999</v>
      </c>
      <c r="CF381" s="272">
        <v>0</v>
      </c>
      <c r="CG381" s="272">
        <v>0</v>
      </c>
      <c r="CH381" s="272">
        <v>0</v>
      </c>
      <c r="CI381" s="272">
        <v>45826.389000000003</v>
      </c>
      <c r="CJ381" s="272">
        <v>10218.624</v>
      </c>
      <c r="CK381" s="272">
        <v>35607.764999999999</v>
      </c>
      <c r="CL381" s="272">
        <v>18612.741999999998</v>
      </c>
      <c r="CM381" s="272">
        <v>16710.072</v>
      </c>
      <c r="CN381" s="272">
        <v>284.95100000000002</v>
      </c>
      <c r="CO381" s="272">
        <v>0</v>
      </c>
      <c r="CP381" s="272">
        <v>40.988</v>
      </c>
      <c r="CQ381" s="272">
        <v>243.96299999999999</v>
      </c>
      <c r="CR381" s="272">
        <v>-12437.23</v>
      </c>
      <c r="CS381" s="272">
        <v>-4612.0159999999996</v>
      </c>
      <c r="CT381" s="272">
        <v>-3620.0160000000001</v>
      </c>
      <c r="CU381" s="272">
        <v>-48.591999999999999</v>
      </c>
      <c r="CV381" s="272">
        <v>-22.646000000000001</v>
      </c>
      <c r="CW381" s="272">
        <v>-920.76199999999994</v>
      </c>
      <c r="CX381" s="272">
        <v>-6515.5420000000004</v>
      </c>
      <c r="CY381" s="272">
        <v>-5250.3459999999995</v>
      </c>
      <c r="CZ381" s="272">
        <v>-1171.7750000000001</v>
      </c>
      <c r="DA381" s="272">
        <v>-93.421000000000006</v>
      </c>
      <c r="DB381" s="272">
        <v>-1040.49</v>
      </c>
      <c r="DC381" s="272">
        <v>-269.18200000000002</v>
      </c>
      <c r="DD381" s="272">
        <v>33389.159</v>
      </c>
      <c r="DE381" s="272">
        <v>33389.159</v>
      </c>
      <c r="DF381" s="272">
        <v>0</v>
      </c>
      <c r="DG381" s="272">
        <v>0</v>
      </c>
      <c r="DH381" s="272">
        <v>0</v>
      </c>
      <c r="DI381" s="272">
        <v>16495.907999999999</v>
      </c>
      <c r="DJ381" s="272">
        <v>897.06200000000001</v>
      </c>
      <c r="DK381" s="272">
        <v>210.875</v>
      </c>
      <c r="DL381" s="272">
        <v>17.942</v>
      </c>
      <c r="DM381" s="272">
        <v>9136.8590000000004</v>
      </c>
      <c r="DN381" s="272">
        <v>4368.6769999999997</v>
      </c>
      <c r="DO381" s="272">
        <v>649.30899999999997</v>
      </c>
      <c r="DP381" s="272"/>
      <c r="DQ381" s="272">
        <v>0</v>
      </c>
      <c r="DR381" s="272">
        <v>1215.184</v>
      </c>
      <c r="DS381" s="272">
        <v>-439.46499999999997</v>
      </c>
      <c r="DT381" s="272">
        <v>-141.71299999999999</v>
      </c>
      <c r="DU381" s="272">
        <v>-19.215</v>
      </c>
      <c r="DV381" s="272">
        <v>-0.373</v>
      </c>
      <c r="DW381" s="272">
        <v>-59.36</v>
      </c>
      <c r="DX381" s="272">
        <v>0</v>
      </c>
      <c r="DY381" s="272">
        <v>0</v>
      </c>
      <c r="DZ381" s="272">
        <v>0</v>
      </c>
      <c r="EA381" s="272">
        <v>-182.46899999999999</v>
      </c>
      <c r="EB381" s="272">
        <v>-0.37</v>
      </c>
      <c r="EC381" s="272"/>
      <c r="ED381" s="272">
        <v>0</v>
      </c>
      <c r="EE381" s="272">
        <v>-35.965000000000003</v>
      </c>
      <c r="EF381" s="272">
        <v>16056.442999999999</v>
      </c>
      <c r="EG381" s="272">
        <v>16056.442999999999</v>
      </c>
      <c r="EH381" s="272">
        <v>0</v>
      </c>
      <c r="EI381" s="272">
        <v>0</v>
      </c>
      <c r="EJ381" s="272">
        <v>0</v>
      </c>
      <c r="EK381" s="272">
        <v>755.34900000000005</v>
      </c>
      <c r="EL381" s="272">
        <v>755.34900000000005</v>
      </c>
      <c r="EM381" s="272">
        <v>0</v>
      </c>
      <c r="EN381" s="272">
        <v>0</v>
      </c>
      <c r="EO381" s="272">
        <v>0</v>
      </c>
      <c r="EP381" s="272">
        <v>191.66</v>
      </c>
      <c r="EQ381" s="272">
        <v>191.66</v>
      </c>
      <c r="ER381" s="272">
        <v>0</v>
      </c>
      <c r="ES381" s="272">
        <v>0</v>
      </c>
      <c r="ET381" s="272">
        <v>0</v>
      </c>
      <c r="EU381" s="272">
        <v>17.568999999999999</v>
      </c>
      <c r="EV381" s="272">
        <v>17.568999999999999</v>
      </c>
      <c r="EW381" s="272">
        <v>0</v>
      </c>
      <c r="EX381" s="272">
        <v>0</v>
      </c>
      <c r="EY381" s="272">
        <v>0</v>
      </c>
      <c r="EZ381" s="272">
        <v>9077.4989999999998</v>
      </c>
      <c r="FA381" s="272">
        <v>9077.4989999999998</v>
      </c>
      <c r="FB381" s="272">
        <v>0</v>
      </c>
      <c r="FC381" s="272">
        <v>0</v>
      </c>
      <c r="FD381" s="272">
        <v>0</v>
      </c>
      <c r="FE381" s="272">
        <v>4186.2079999999996</v>
      </c>
      <c r="FF381" s="272">
        <v>4186.2079999999996</v>
      </c>
      <c r="FG381" s="272">
        <v>0</v>
      </c>
      <c r="FH381" s="272">
        <v>0</v>
      </c>
      <c r="FI381" s="272">
        <v>0</v>
      </c>
      <c r="FJ381" s="272">
        <v>648.93899999999996</v>
      </c>
      <c r="FK381" s="272">
        <v>648.93899999999996</v>
      </c>
      <c r="FL381" s="272">
        <v>0</v>
      </c>
      <c r="FM381" s="272">
        <v>0</v>
      </c>
      <c r="FN381" s="272"/>
      <c r="FO381" s="272"/>
      <c r="FP381" s="272">
        <v>0</v>
      </c>
      <c r="FQ381" s="272">
        <v>1179.2190000000001</v>
      </c>
      <c r="FR381" s="272">
        <v>3328.0329999999999</v>
      </c>
      <c r="FS381" s="272">
        <v>-80.382999999999996</v>
      </c>
      <c r="FT381" s="272">
        <v>3247.65</v>
      </c>
      <c r="FU381" s="272">
        <v>0</v>
      </c>
      <c r="FV381" s="272">
        <v>0</v>
      </c>
      <c r="FW381" s="272">
        <v>0</v>
      </c>
      <c r="FX381" s="272">
        <v>969.21900000000005</v>
      </c>
      <c r="FY381" s="272">
        <v>789.16</v>
      </c>
      <c r="FZ381" s="272"/>
      <c r="GA381" s="272"/>
      <c r="GB381" s="272">
        <v>0</v>
      </c>
      <c r="GC381" s="272">
        <v>651.346</v>
      </c>
      <c r="GD381" s="272">
        <v>0</v>
      </c>
      <c r="GE381" s="272">
        <v>0</v>
      </c>
      <c r="GF381" s="272">
        <v>0</v>
      </c>
      <c r="GG381" s="272">
        <v>837.92499999999995</v>
      </c>
      <c r="GH381" s="272">
        <v>332.11599999999999</v>
      </c>
      <c r="GI381" s="272">
        <v>66.066999999999993</v>
      </c>
      <c r="GJ381" s="272">
        <v>439.74200000000002</v>
      </c>
    </row>
    <row r="382" spans="1:192">
      <c r="A382" s="270" t="s">
        <v>19</v>
      </c>
      <c r="B382" s="271"/>
      <c r="C382" s="271"/>
      <c r="D382" s="272">
        <v>142123.19200000001</v>
      </c>
      <c r="E382" s="272">
        <v>-27440.937999999998</v>
      </c>
      <c r="F382" s="272">
        <v>-130.483</v>
      </c>
      <c r="G382" s="272">
        <v>114551.77099999999</v>
      </c>
      <c r="H382" s="272">
        <v>109307.66499999999</v>
      </c>
      <c r="I382" s="272">
        <v>5244.1059999999998</v>
      </c>
      <c r="J382" s="272">
        <v>5244.1059999999998</v>
      </c>
      <c r="K382" s="272">
        <v>0</v>
      </c>
      <c r="L382" s="272">
        <v>49337.341999999997</v>
      </c>
      <c r="M382" s="272">
        <v>37504.574000000001</v>
      </c>
      <c r="N382" s="272">
        <v>4808.7740000000003</v>
      </c>
      <c r="O382" s="272">
        <v>0</v>
      </c>
      <c r="P382" s="272">
        <v>0</v>
      </c>
      <c r="Q382" s="272">
        <v>0</v>
      </c>
      <c r="R382" s="272">
        <v>7023.9939999999997</v>
      </c>
      <c r="S382" s="272">
        <v>-7835.424</v>
      </c>
      <c r="T382" s="272">
        <v>-7688.1109999999999</v>
      </c>
      <c r="U382" s="272">
        <v>0</v>
      </c>
      <c r="V382" s="272">
        <v>0</v>
      </c>
      <c r="W382" s="272">
        <v>-7306.2939999999999</v>
      </c>
      <c r="X382" s="272">
        <v>-205.26300000000001</v>
      </c>
      <c r="Y382" s="272">
        <v>-176.554</v>
      </c>
      <c r="Z382" s="272">
        <v>0</v>
      </c>
      <c r="AA382" s="272">
        <v>-147.31299999999999</v>
      </c>
      <c r="AB382" s="272">
        <v>0</v>
      </c>
      <c r="AC382" s="272">
        <v>-130.483</v>
      </c>
      <c r="AD382" s="272">
        <v>41371.434999999998</v>
      </c>
      <c r="AE382" s="272">
        <v>36127.328999999998</v>
      </c>
      <c r="AF382" s="272">
        <v>5244.1059999999998</v>
      </c>
      <c r="AG382" s="272">
        <v>5244.1059999999998</v>
      </c>
      <c r="AH382" s="272">
        <v>0</v>
      </c>
      <c r="AI382" s="272">
        <v>37382.762999999999</v>
      </c>
      <c r="AJ382" s="272">
        <v>7907.9120000000003</v>
      </c>
      <c r="AK382" s="272">
        <v>17643.241999999998</v>
      </c>
      <c r="AL382" s="272">
        <v>11248.13</v>
      </c>
      <c r="AM382" s="272">
        <v>3116.56</v>
      </c>
      <c r="AN382" s="272">
        <v>905.89099999999996</v>
      </c>
      <c r="AO382" s="272">
        <v>504.15</v>
      </c>
      <c r="AP382" s="272">
        <v>0</v>
      </c>
      <c r="AQ382" s="272">
        <v>2471.8910000000001</v>
      </c>
      <c r="AR382" s="272">
        <v>-2879.337</v>
      </c>
      <c r="AS382" s="272">
        <v>0</v>
      </c>
      <c r="AT382" s="272">
        <v>0</v>
      </c>
      <c r="AU382" s="272">
        <v>-130.483</v>
      </c>
      <c r="AV382" s="272">
        <v>20515.46</v>
      </c>
      <c r="AW382" s="272">
        <v>9890.652</v>
      </c>
      <c r="AX382" s="272">
        <v>7951.4009999999998</v>
      </c>
      <c r="AY382" s="272">
        <v>0</v>
      </c>
      <c r="AZ382" s="272">
        <v>0</v>
      </c>
      <c r="BA382" s="272">
        <v>0</v>
      </c>
      <c r="BB382" s="272">
        <v>0</v>
      </c>
      <c r="BC382" s="272">
        <v>0</v>
      </c>
      <c r="BD382" s="272">
        <v>2673.4070000000002</v>
      </c>
      <c r="BE382" s="272">
        <v>-3300.2559999999999</v>
      </c>
      <c r="BF382" s="272">
        <v>-2429.0309999999999</v>
      </c>
      <c r="BG382" s="272">
        <v>-2429.0309999999999</v>
      </c>
      <c r="BH382" s="272">
        <v>0</v>
      </c>
      <c r="BI382" s="272">
        <v>-1476.9970000000001</v>
      </c>
      <c r="BJ382" s="272">
        <v>-571.47400000000005</v>
      </c>
      <c r="BK382" s="272">
        <v>-380.56</v>
      </c>
      <c r="BL382" s="272">
        <v>-79.296000000000006</v>
      </c>
      <c r="BM382" s="272">
        <v>-791.92899999999997</v>
      </c>
      <c r="BN382" s="272">
        <v>17215.204000000002</v>
      </c>
      <c r="BO382" s="272">
        <v>1278.8920000000001</v>
      </c>
      <c r="BP382" s="272">
        <v>380.464</v>
      </c>
      <c r="BQ382" s="272">
        <v>214.614</v>
      </c>
      <c r="BR382" s="272">
        <v>0</v>
      </c>
      <c r="BS382" s="272">
        <v>9818.8639999999996</v>
      </c>
      <c r="BT382" s="272">
        <v>0</v>
      </c>
      <c r="BU382" s="272">
        <v>0</v>
      </c>
      <c r="BV382" s="272">
        <v>0</v>
      </c>
      <c r="BW382" s="272">
        <v>0</v>
      </c>
      <c r="BX382" s="272">
        <v>5522.37</v>
      </c>
      <c r="BY382" s="272">
        <v>0</v>
      </c>
      <c r="BZ382" s="272">
        <v>0</v>
      </c>
      <c r="CA382" s="272">
        <v>2108.1219999999998</v>
      </c>
      <c r="CB382" s="272">
        <v>-1202.433</v>
      </c>
      <c r="CC382" s="272">
        <v>-176.989</v>
      </c>
      <c r="CD382" s="272">
        <v>-1025.444</v>
      </c>
      <c r="CE382" s="272">
        <v>905.68899999999996</v>
      </c>
      <c r="CF382" s="272">
        <v>0</v>
      </c>
      <c r="CG382" s="272">
        <v>0</v>
      </c>
      <c r="CH382" s="272">
        <v>0</v>
      </c>
      <c r="CI382" s="272">
        <v>49373.678</v>
      </c>
      <c r="CJ382" s="272">
        <v>10695.97</v>
      </c>
      <c r="CK382" s="272">
        <v>38677.707999999999</v>
      </c>
      <c r="CL382" s="272">
        <v>20514.095000000001</v>
      </c>
      <c r="CM382" s="272">
        <v>17823.723000000002</v>
      </c>
      <c r="CN382" s="272">
        <v>339.89</v>
      </c>
      <c r="CO382" s="272">
        <v>6.5789999999999997</v>
      </c>
      <c r="CP382" s="272">
        <v>74.756</v>
      </c>
      <c r="CQ382" s="272">
        <v>258.55500000000001</v>
      </c>
      <c r="CR382" s="272">
        <v>-14700.985000000001</v>
      </c>
      <c r="CS382" s="272">
        <v>-6162.5630000000001</v>
      </c>
      <c r="CT382" s="272">
        <v>-4783.2089999999998</v>
      </c>
      <c r="CU382" s="272">
        <v>-76.346999999999994</v>
      </c>
      <c r="CV382" s="272">
        <v>-12.99</v>
      </c>
      <c r="CW382" s="272">
        <v>-1290.0170000000001</v>
      </c>
      <c r="CX382" s="272">
        <v>-7279.1989999999996</v>
      </c>
      <c r="CY382" s="272">
        <v>-5684.8950000000004</v>
      </c>
      <c r="CZ382" s="272">
        <v>-1494.2660000000001</v>
      </c>
      <c r="DA382" s="272">
        <v>-100.038</v>
      </c>
      <c r="DB382" s="272">
        <v>-1001.444</v>
      </c>
      <c r="DC382" s="272">
        <v>-257.779</v>
      </c>
      <c r="DD382" s="272">
        <v>34672.692999999999</v>
      </c>
      <c r="DE382" s="272">
        <v>34672.692999999999</v>
      </c>
      <c r="DF382" s="272">
        <v>0</v>
      </c>
      <c r="DG382" s="272">
        <v>0</v>
      </c>
      <c r="DH382" s="272">
        <v>0</v>
      </c>
      <c r="DI382" s="272">
        <v>16900.142</v>
      </c>
      <c r="DJ382" s="272">
        <v>881.06100000000004</v>
      </c>
      <c r="DK382" s="272">
        <v>212.07499999999999</v>
      </c>
      <c r="DL382" s="272">
        <v>18.106999999999999</v>
      </c>
      <c r="DM382" s="272">
        <v>9277.1980000000003</v>
      </c>
      <c r="DN382" s="272">
        <v>4598.1189999999997</v>
      </c>
      <c r="DO382" s="272">
        <v>659.322</v>
      </c>
      <c r="DP382" s="272"/>
      <c r="DQ382" s="272">
        <v>0</v>
      </c>
      <c r="DR382" s="272">
        <v>1254.26</v>
      </c>
      <c r="DS382" s="272">
        <v>-323.98</v>
      </c>
      <c r="DT382" s="272">
        <v>-102.527</v>
      </c>
      <c r="DU382" s="272">
        <v>-13.972</v>
      </c>
      <c r="DV382" s="272">
        <v>-1.4690000000000001</v>
      </c>
      <c r="DW382" s="272">
        <v>-33.063000000000002</v>
      </c>
      <c r="DX382" s="272">
        <v>0</v>
      </c>
      <c r="DY382" s="272">
        <v>0</v>
      </c>
      <c r="DZ382" s="272">
        <v>0</v>
      </c>
      <c r="EA382" s="272">
        <v>-120.943</v>
      </c>
      <c r="EB382" s="272">
        <v>-1.381</v>
      </c>
      <c r="EC382" s="272"/>
      <c r="ED382" s="272">
        <v>0</v>
      </c>
      <c r="EE382" s="272">
        <v>-50.625</v>
      </c>
      <c r="EF382" s="272">
        <v>16576.162</v>
      </c>
      <c r="EG382" s="272">
        <v>16576.162</v>
      </c>
      <c r="EH382" s="272">
        <v>0</v>
      </c>
      <c r="EI382" s="272">
        <v>0</v>
      </c>
      <c r="EJ382" s="272">
        <v>0</v>
      </c>
      <c r="EK382" s="272">
        <v>778.53399999999999</v>
      </c>
      <c r="EL382" s="272">
        <v>778.53399999999999</v>
      </c>
      <c r="EM382" s="272">
        <v>0</v>
      </c>
      <c r="EN382" s="272">
        <v>0</v>
      </c>
      <c r="EO382" s="272">
        <v>0</v>
      </c>
      <c r="EP382" s="272">
        <v>198.10300000000001</v>
      </c>
      <c r="EQ382" s="272">
        <v>198.10300000000001</v>
      </c>
      <c r="ER382" s="272">
        <v>0</v>
      </c>
      <c r="ES382" s="272">
        <v>0</v>
      </c>
      <c r="ET382" s="272">
        <v>0</v>
      </c>
      <c r="EU382" s="272">
        <v>16.638000000000002</v>
      </c>
      <c r="EV382" s="272">
        <v>16.638000000000002</v>
      </c>
      <c r="EW382" s="272">
        <v>0</v>
      </c>
      <c r="EX382" s="272">
        <v>0</v>
      </c>
      <c r="EY382" s="272">
        <v>0</v>
      </c>
      <c r="EZ382" s="272">
        <v>9244.1350000000002</v>
      </c>
      <c r="FA382" s="272">
        <v>9244.1350000000002</v>
      </c>
      <c r="FB382" s="272">
        <v>0</v>
      </c>
      <c r="FC382" s="272">
        <v>0</v>
      </c>
      <c r="FD382" s="272">
        <v>0</v>
      </c>
      <c r="FE382" s="272">
        <v>4477.1760000000004</v>
      </c>
      <c r="FF382" s="272">
        <v>4477.1760000000004</v>
      </c>
      <c r="FG382" s="272">
        <v>0</v>
      </c>
      <c r="FH382" s="272">
        <v>0</v>
      </c>
      <c r="FI382" s="272">
        <v>0</v>
      </c>
      <c r="FJ382" s="272">
        <v>657.94100000000003</v>
      </c>
      <c r="FK382" s="272">
        <v>657.94100000000003</v>
      </c>
      <c r="FL382" s="272">
        <v>0</v>
      </c>
      <c r="FM382" s="272">
        <v>0</v>
      </c>
      <c r="FN382" s="272"/>
      <c r="FO382" s="272"/>
      <c r="FP382" s="272">
        <v>0</v>
      </c>
      <c r="FQ382" s="272">
        <v>1203.635</v>
      </c>
      <c r="FR382" s="272">
        <v>3888.4479999999999</v>
      </c>
      <c r="FS382" s="272">
        <v>-77.86</v>
      </c>
      <c r="FT382" s="272">
        <v>3810.5880000000002</v>
      </c>
      <c r="FU382" s="272">
        <v>0</v>
      </c>
      <c r="FV382" s="272">
        <v>0</v>
      </c>
      <c r="FW382" s="272">
        <v>0</v>
      </c>
      <c r="FX382" s="272">
        <v>952.78399999999999</v>
      </c>
      <c r="FY382" s="272">
        <v>878.46</v>
      </c>
      <c r="FZ382" s="272"/>
      <c r="GA382" s="272"/>
      <c r="GB382" s="272">
        <v>0</v>
      </c>
      <c r="GC382" s="272">
        <v>1075.817</v>
      </c>
      <c r="GD382" s="272">
        <v>0</v>
      </c>
      <c r="GE382" s="272">
        <v>0</v>
      </c>
      <c r="GF382" s="272">
        <v>0</v>
      </c>
      <c r="GG382" s="272">
        <v>903.52700000000004</v>
      </c>
      <c r="GH382" s="272">
        <v>349.45699999999999</v>
      </c>
      <c r="GI382" s="272">
        <v>39.511000000000003</v>
      </c>
      <c r="GJ382" s="272">
        <v>514.55899999999997</v>
      </c>
    </row>
    <row r="383" spans="1:192">
      <c r="A383" s="270" t="s">
        <v>20</v>
      </c>
      <c r="B383" s="271"/>
      <c r="C383" s="271"/>
      <c r="D383" s="272">
        <v>151304.465</v>
      </c>
      <c r="E383" s="272">
        <v>-28027.668000000001</v>
      </c>
      <c r="F383" s="272">
        <v>-133.09200000000001</v>
      </c>
      <c r="G383" s="272">
        <v>123143.705</v>
      </c>
      <c r="H383" s="272">
        <v>94125.168999999994</v>
      </c>
      <c r="I383" s="272">
        <v>29018.536</v>
      </c>
      <c r="J383" s="272">
        <v>29018.536</v>
      </c>
      <c r="K383" s="272">
        <v>0</v>
      </c>
      <c r="L383" s="272">
        <v>52538.595000000001</v>
      </c>
      <c r="M383" s="272">
        <v>40636.603999999999</v>
      </c>
      <c r="N383" s="272">
        <v>5276.7079999999996</v>
      </c>
      <c r="O383" s="272">
        <v>0</v>
      </c>
      <c r="P383" s="272">
        <v>0</v>
      </c>
      <c r="Q383" s="272">
        <v>0</v>
      </c>
      <c r="R383" s="272">
        <v>6625.2830000000004</v>
      </c>
      <c r="S383" s="272">
        <v>-8061.9470000000001</v>
      </c>
      <c r="T383" s="272">
        <v>-7980.6480000000001</v>
      </c>
      <c r="U383" s="272">
        <v>0</v>
      </c>
      <c r="V383" s="272">
        <v>0</v>
      </c>
      <c r="W383" s="272">
        <v>-7715.3819999999996</v>
      </c>
      <c r="X383" s="272">
        <v>-129.14400000000001</v>
      </c>
      <c r="Y383" s="272">
        <v>-136.12200000000001</v>
      </c>
      <c r="Z383" s="272">
        <v>0</v>
      </c>
      <c r="AA383" s="272">
        <v>-81.299000000000007</v>
      </c>
      <c r="AB383" s="272">
        <v>0</v>
      </c>
      <c r="AC383" s="272">
        <v>-133.09200000000001</v>
      </c>
      <c r="AD383" s="272">
        <v>44343.555999999997</v>
      </c>
      <c r="AE383" s="272">
        <v>32276.841</v>
      </c>
      <c r="AF383" s="272">
        <v>12066.715</v>
      </c>
      <c r="AG383" s="272">
        <v>12066.715</v>
      </c>
      <c r="AH383" s="272">
        <v>0</v>
      </c>
      <c r="AI383" s="272">
        <v>40577.421999999999</v>
      </c>
      <c r="AJ383" s="272">
        <v>8330.5820000000003</v>
      </c>
      <c r="AK383" s="272">
        <v>19205.562000000002</v>
      </c>
      <c r="AL383" s="272">
        <v>12382.135</v>
      </c>
      <c r="AM383" s="272">
        <v>2644.902</v>
      </c>
      <c r="AN383" s="272">
        <v>984.19100000000003</v>
      </c>
      <c r="AO383" s="272">
        <v>404.10899999999998</v>
      </c>
      <c r="AP383" s="272">
        <v>0</v>
      </c>
      <c r="AQ383" s="272">
        <v>2569.9639999999999</v>
      </c>
      <c r="AR383" s="272">
        <v>-2703.94</v>
      </c>
      <c r="AS383" s="272">
        <v>0</v>
      </c>
      <c r="AT383" s="272">
        <v>0</v>
      </c>
      <c r="AU383" s="272">
        <v>-133.09200000000001</v>
      </c>
      <c r="AV383" s="272">
        <v>23876.080999999998</v>
      </c>
      <c r="AW383" s="272">
        <v>10858.249</v>
      </c>
      <c r="AX383" s="272">
        <v>9871.5540000000001</v>
      </c>
      <c r="AY383" s="272">
        <v>0</v>
      </c>
      <c r="AZ383" s="272">
        <v>0</v>
      </c>
      <c r="BA383" s="272">
        <v>0</v>
      </c>
      <c r="BB383" s="272">
        <v>0</v>
      </c>
      <c r="BC383" s="272">
        <v>0</v>
      </c>
      <c r="BD383" s="272">
        <v>3146.2779999999998</v>
      </c>
      <c r="BE383" s="272">
        <v>-2439.0410000000002</v>
      </c>
      <c r="BF383" s="272">
        <v>-1411.3040000000001</v>
      </c>
      <c r="BG383" s="272">
        <v>-1411.3040000000001</v>
      </c>
      <c r="BH383" s="272">
        <v>0</v>
      </c>
      <c r="BI383" s="272">
        <v>-329.57600000000002</v>
      </c>
      <c r="BJ383" s="272">
        <v>-712.39599999999996</v>
      </c>
      <c r="BK383" s="272">
        <v>-369.33199999999999</v>
      </c>
      <c r="BL383" s="272">
        <v>-44.054000000000002</v>
      </c>
      <c r="BM383" s="272">
        <v>-983.68299999999999</v>
      </c>
      <c r="BN383" s="272">
        <v>21437.040000000001</v>
      </c>
      <c r="BO383" s="272">
        <v>1570.3789999999999</v>
      </c>
      <c r="BP383" s="272">
        <v>412.15899999999999</v>
      </c>
      <c r="BQ383" s="272">
        <v>171.88900000000001</v>
      </c>
      <c r="BR383" s="272">
        <v>0</v>
      </c>
      <c r="BS383" s="272">
        <v>10822.362999999999</v>
      </c>
      <c r="BT383" s="272">
        <v>0</v>
      </c>
      <c r="BU383" s="272">
        <v>0</v>
      </c>
      <c r="BV383" s="272">
        <v>0</v>
      </c>
      <c r="BW383" s="272">
        <v>0</v>
      </c>
      <c r="BX383" s="272">
        <v>8460.25</v>
      </c>
      <c r="BY383" s="272">
        <v>0</v>
      </c>
      <c r="BZ383" s="272">
        <v>0</v>
      </c>
      <c r="CA383" s="272">
        <v>2261.4479999999999</v>
      </c>
      <c r="CB383" s="272">
        <v>-1209.819</v>
      </c>
      <c r="CC383" s="272">
        <v>-116.24</v>
      </c>
      <c r="CD383" s="272">
        <v>-1093.579</v>
      </c>
      <c r="CE383" s="272">
        <v>1051.6289999999999</v>
      </c>
      <c r="CF383" s="272">
        <v>0</v>
      </c>
      <c r="CG383" s="272">
        <v>0</v>
      </c>
      <c r="CH383" s="272">
        <v>0</v>
      </c>
      <c r="CI383" s="272">
        <v>52884.946000000004</v>
      </c>
      <c r="CJ383" s="272">
        <v>10727.29</v>
      </c>
      <c r="CK383" s="272">
        <v>42157.656000000003</v>
      </c>
      <c r="CL383" s="272">
        <v>22235.235000000001</v>
      </c>
      <c r="CM383" s="272">
        <v>18209.564999999999</v>
      </c>
      <c r="CN383" s="272">
        <v>1712.856</v>
      </c>
      <c r="CO383" s="272">
        <v>0</v>
      </c>
      <c r="CP383" s="272">
        <v>36.634999999999998</v>
      </c>
      <c r="CQ383" s="272">
        <v>1676.221</v>
      </c>
      <c r="CR383" s="272">
        <v>-15971.657999999999</v>
      </c>
      <c r="CS383" s="272">
        <v>-7140.1580000000004</v>
      </c>
      <c r="CT383" s="272">
        <v>-5453.9639999999999</v>
      </c>
      <c r="CU383" s="272">
        <v>-216.148</v>
      </c>
      <c r="CV383" s="272">
        <v>-3.1160000000000001</v>
      </c>
      <c r="CW383" s="272">
        <v>-1466.93</v>
      </c>
      <c r="CX383" s="272">
        <v>-7510.64</v>
      </c>
      <c r="CY383" s="272">
        <v>-5907.0829999999996</v>
      </c>
      <c r="CZ383" s="272">
        <v>-1582.8230000000001</v>
      </c>
      <c r="DA383" s="272">
        <v>-20.734000000000002</v>
      </c>
      <c r="DB383" s="272">
        <v>-1057.3989999999999</v>
      </c>
      <c r="DC383" s="272">
        <v>-263.46100000000001</v>
      </c>
      <c r="DD383" s="272">
        <v>36913.288</v>
      </c>
      <c r="DE383" s="272">
        <v>25728.923999999999</v>
      </c>
      <c r="DF383" s="272">
        <v>11184.364</v>
      </c>
      <c r="DG383" s="272">
        <v>11184.364</v>
      </c>
      <c r="DH383" s="272">
        <v>0</v>
      </c>
      <c r="DI383" s="272">
        <v>16397.282999999999</v>
      </c>
      <c r="DJ383" s="272">
        <v>878.76499999999999</v>
      </c>
      <c r="DK383" s="272">
        <v>221.48500000000001</v>
      </c>
      <c r="DL383" s="272">
        <v>17.873000000000001</v>
      </c>
      <c r="DM383" s="272">
        <v>9527.3700000000008</v>
      </c>
      <c r="DN383" s="272">
        <v>5040.2370000000001</v>
      </c>
      <c r="DO383" s="272">
        <v>691.89599999999996</v>
      </c>
      <c r="DP383" s="272"/>
      <c r="DQ383" s="272">
        <v>0</v>
      </c>
      <c r="DR383" s="272">
        <v>19.657</v>
      </c>
      <c r="DS383" s="272">
        <v>-246.87700000000001</v>
      </c>
      <c r="DT383" s="272">
        <v>-69.147999999999996</v>
      </c>
      <c r="DU383" s="272">
        <v>-13.41</v>
      </c>
      <c r="DV383" s="272">
        <v>-1.0149999999999999</v>
      </c>
      <c r="DW383" s="272">
        <v>-22.277000000000001</v>
      </c>
      <c r="DX383" s="272">
        <v>0</v>
      </c>
      <c r="DY383" s="272">
        <v>0</v>
      </c>
      <c r="DZ383" s="272">
        <v>0</v>
      </c>
      <c r="EA383" s="272">
        <v>-121.27800000000001</v>
      </c>
      <c r="EB383" s="272">
        <v>-0.17199999999999999</v>
      </c>
      <c r="EC383" s="272"/>
      <c r="ED383" s="272">
        <v>0</v>
      </c>
      <c r="EE383" s="272">
        <v>-19.577000000000002</v>
      </c>
      <c r="EF383" s="272">
        <v>16150.406000000001</v>
      </c>
      <c r="EG383" s="272">
        <v>10382.949000000001</v>
      </c>
      <c r="EH383" s="272">
        <v>5767.4570000000003</v>
      </c>
      <c r="EI383" s="272">
        <v>5767.4570000000003</v>
      </c>
      <c r="EJ383" s="272">
        <v>0</v>
      </c>
      <c r="EK383" s="272">
        <v>809.61699999999996</v>
      </c>
      <c r="EL383" s="272">
        <v>548.93899999999996</v>
      </c>
      <c r="EM383" s="272">
        <v>260.678</v>
      </c>
      <c r="EN383" s="272">
        <v>260.678</v>
      </c>
      <c r="EO383" s="272">
        <v>0</v>
      </c>
      <c r="EP383" s="272">
        <v>208.07499999999999</v>
      </c>
      <c r="EQ383" s="272">
        <v>140.239</v>
      </c>
      <c r="ER383" s="272">
        <v>67.835999999999999</v>
      </c>
      <c r="ES383" s="272">
        <v>67.835999999999999</v>
      </c>
      <c r="ET383" s="272">
        <v>0</v>
      </c>
      <c r="EU383" s="272">
        <v>16.858000000000001</v>
      </c>
      <c r="EV383" s="272">
        <v>10.891</v>
      </c>
      <c r="EW383" s="272">
        <v>5.9669999999999996</v>
      </c>
      <c r="EX383" s="272">
        <v>5.9669999999999996</v>
      </c>
      <c r="EY383" s="272">
        <v>0</v>
      </c>
      <c r="EZ383" s="272">
        <v>9505.0930000000008</v>
      </c>
      <c r="FA383" s="272">
        <v>6346.0659999999998</v>
      </c>
      <c r="FB383" s="272">
        <v>3159.027</v>
      </c>
      <c r="FC383" s="272">
        <v>3159.027</v>
      </c>
      <c r="FD383" s="272">
        <v>0</v>
      </c>
      <c r="FE383" s="272">
        <v>4918.9589999999998</v>
      </c>
      <c r="FF383" s="272">
        <v>3217.6770000000001</v>
      </c>
      <c r="FG383" s="272">
        <v>1701.2819999999999</v>
      </c>
      <c r="FH383" s="272">
        <v>1701.2819999999999</v>
      </c>
      <c r="FI383" s="272">
        <v>0</v>
      </c>
      <c r="FJ383" s="272">
        <v>691.72400000000005</v>
      </c>
      <c r="FK383" s="272">
        <v>119.057</v>
      </c>
      <c r="FL383" s="272">
        <v>572.66700000000003</v>
      </c>
      <c r="FM383" s="272">
        <v>572.66700000000003</v>
      </c>
      <c r="FN383" s="272"/>
      <c r="FO383" s="272"/>
      <c r="FP383" s="272">
        <v>0</v>
      </c>
      <c r="FQ383" s="272">
        <v>0.08</v>
      </c>
      <c r="FR383" s="272">
        <v>3346.1120000000001</v>
      </c>
      <c r="FS383" s="272">
        <v>-98.325999999999993</v>
      </c>
      <c r="FT383" s="272">
        <v>3247.7860000000001</v>
      </c>
      <c r="FU383" s="272">
        <v>0</v>
      </c>
      <c r="FV383" s="272">
        <v>0</v>
      </c>
      <c r="FW383" s="272">
        <v>0</v>
      </c>
      <c r="FX383" s="272">
        <v>923.08399999999995</v>
      </c>
      <c r="FY383" s="272">
        <v>1003.726</v>
      </c>
      <c r="FZ383" s="272"/>
      <c r="GA383" s="272"/>
      <c r="GB383" s="272">
        <v>0</v>
      </c>
      <c r="GC383" s="272">
        <v>766.6</v>
      </c>
      <c r="GD383" s="272">
        <v>0</v>
      </c>
      <c r="GE383" s="272">
        <v>0</v>
      </c>
      <c r="GF383" s="272">
        <v>0</v>
      </c>
      <c r="GG383" s="272">
        <v>554.37599999999998</v>
      </c>
      <c r="GH383" s="272">
        <v>40.835000000000001</v>
      </c>
      <c r="GI383" s="272">
        <v>34.061</v>
      </c>
      <c r="GJ383" s="272">
        <v>479.48</v>
      </c>
    </row>
    <row r="384" spans="1:192">
      <c r="A384" s="270" t="s">
        <v>21</v>
      </c>
      <c r="B384" s="271"/>
      <c r="C384" s="271"/>
      <c r="D384" s="272">
        <v>163156.981</v>
      </c>
      <c r="E384" s="272">
        <v>-32844.999000000003</v>
      </c>
      <c r="F384" s="272">
        <v>-135.75399999999999</v>
      </c>
      <c r="G384" s="272">
        <v>130176.228</v>
      </c>
      <c r="H384" s="272">
        <v>96049.656000000003</v>
      </c>
      <c r="I384" s="272">
        <v>34126.572</v>
      </c>
      <c r="J384" s="272">
        <v>34126.572</v>
      </c>
      <c r="K384" s="272">
        <v>0</v>
      </c>
      <c r="L384" s="272">
        <v>55685.728000000003</v>
      </c>
      <c r="M384" s="272">
        <v>43508.747000000003</v>
      </c>
      <c r="N384" s="272">
        <v>5793.1949999999997</v>
      </c>
      <c r="O384" s="272">
        <v>0</v>
      </c>
      <c r="P384" s="272">
        <v>0</v>
      </c>
      <c r="Q384" s="272">
        <v>0</v>
      </c>
      <c r="R384" s="272">
        <v>6383.7860000000001</v>
      </c>
      <c r="S384" s="272">
        <v>-9098.7019999999993</v>
      </c>
      <c r="T384" s="272">
        <v>-8967.2420000000002</v>
      </c>
      <c r="U384" s="272">
        <v>-500.18</v>
      </c>
      <c r="V384" s="272">
        <v>0</v>
      </c>
      <c r="W384" s="272">
        <v>-8094.973</v>
      </c>
      <c r="X384" s="272">
        <v>-211.268</v>
      </c>
      <c r="Y384" s="272">
        <v>-160.821</v>
      </c>
      <c r="Z384" s="272">
        <v>0</v>
      </c>
      <c r="AA384" s="272">
        <v>-131.46</v>
      </c>
      <c r="AB384" s="272">
        <v>0</v>
      </c>
      <c r="AC384" s="272">
        <v>-135.75399999999999</v>
      </c>
      <c r="AD384" s="272">
        <v>46451.271999999997</v>
      </c>
      <c r="AE384" s="272">
        <v>32829.478000000003</v>
      </c>
      <c r="AF384" s="272">
        <v>13621.794</v>
      </c>
      <c r="AG384" s="272">
        <v>13621.794</v>
      </c>
      <c r="AH384" s="272">
        <v>0</v>
      </c>
      <c r="AI384" s="272">
        <v>43416.932999999997</v>
      </c>
      <c r="AJ384" s="272">
        <v>9697.4490000000005</v>
      </c>
      <c r="AK384" s="272">
        <v>20899.921999999999</v>
      </c>
      <c r="AL384" s="272">
        <v>11938.694</v>
      </c>
      <c r="AM384" s="272">
        <v>2274.3649999999998</v>
      </c>
      <c r="AN384" s="272">
        <v>1099.1590000000001</v>
      </c>
      <c r="AO384" s="272">
        <v>242.53100000000001</v>
      </c>
      <c r="AP384" s="272">
        <v>0</v>
      </c>
      <c r="AQ384" s="272">
        <v>2728.085</v>
      </c>
      <c r="AR384" s="272">
        <v>-3174.047</v>
      </c>
      <c r="AS384" s="272">
        <v>0</v>
      </c>
      <c r="AT384" s="272">
        <v>0</v>
      </c>
      <c r="AU384" s="272">
        <v>-135.75399999999999</v>
      </c>
      <c r="AV384" s="272">
        <v>25784.093000000001</v>
      </c>
      <c r="AW384" s="272">
        <v>13281.605</v>
      </c>
      <c r="AX384" s="272">
        <v>9754.8310000000001</v>
      </c>
      <c r="AY384" s="272">
        <v>0</v>
      </c>
      <c r="AZ384" s="272">
        <v>0</v>
      </c>
      <c r="BA384" s="272">
        <v>0</v>
      </c>
      <c r="BB384" s="272">
        <v>0</v>
      </c>
      <c r="BC384" s="272">
        <v>0</v>
      </c>
      <c r="BD384" s="272">
        <v>2747.6570000000002</v>
      </c>
      <c r="BE384" s="272">
        <v>-3864.5309999999999</v>
      </c>
      <c r="BF384" s="272">
        <v>-2895.1909999999998</v>
      </c>
      <c r="BG384" s="272">
        <v>-2895.1909999999998</v>
      </c>
      <c r="BH384" s="272">
        <v>0</v>
      </c>
      <c r="BI384" s="272">
        <v>-1088.789</v>
      </c>
      <c r="BJ384" s="272">
        <v>-1352.846</v>
      </c>
      <c r="BK384" s="272">
        <v>-453.55599999999998</v>
      </c>
      <c r="BL384" s="272">
        <v>-58.53</v>
      </c>
      <c r="BM384" s="272">
        <v>-910.81</v>
      </c>
      <c r="BN384" s="272">
        <v>21919.562000000002</v>
      </c>
      <c r="BO384" s="272">
        <v>1267.354</v>
      </c>
      <c r="BP384" s="272">
        <v>458.58800000000002</v>
      </c>
      <c r="BQ384" s="272">
        <v>103.16200000000001</v>
      </c>
      <c r="BR384" s="272">
        <v>0</v>
      </c>
      <c r="BS384" s="272">
        <v>13230.817999999999</v>
      </c>
      <c r="BT384" s="272">
        <v>0</v>
      </c>
      <c r="BU384" s="272">
        <v>0</v>
      </c>
      <c r="BV384" s="272">
        <v>0</v>
      </c>
      <c r="BW384" s="272">
        <v>0</v>
      </c>
      <c r="BX384" s="272">
        <v>6859.64</v>
      </c>
      <c r="BY384" s="272">
        <v>0</v>
      </c>
      <c r="BZ384" s="272">
        <v>0</v>
      </c>
      <c r="CA384" s="272">
        <v>1970.614</v>
      </c>
      <c r="CB384" s="272">
        <v>-1022.78</v>
      </c>
      <c r="CC384" s="272">
        <v>-110.898</v>
      </c>
      <c r="CD384" s="272">
        <v>-911.88199999999995</v>
      </c>
      <c r="CE384" s="272">
        <v>947.83399999999995</v>
      </c>
      <c r="CF384" s="272">
        <v>0</v>
      </c>
      <c r="CG384" s="272">
        <v>0</v>
      </c>
      <c r="CH384" s="272">
        <v>0</v>
      </c>
      <c r="CI384" s="272">
        <v>59082.267</v>
      </c>
      <c r="CJ384" s="272">
        <v>11602.933000000001</v>
      </c>
      <c r="CK384" s="272">
        <v>47479.334000000003</v>
      </c>
      <c r="CL384" s="272">
        <v>25037.331999999999</v>
      </c>
      <c r="CM384" s="272">
        <v>20226.921999999999</v>
      </c>
      <c r="CN384" s="272">
        <v>2215.08</v>
      </c>
      <c r="CO384" s="272">
        <v>0</v>
      </c>
      <c r="CP384" s="272">
        <v>114.068</v>
      </c>
      <c r="CQ384" s="272">
        <v>2101.0120000000002</v>
      </c>
      <c r="CR384" s="272">
        <v>-18502.833999999999</v>
      </c>
      <c r="CS384" s="272">
        <v>-7879.8239999999996</v>
      </c>
      <c r="CT384" s="272">
        <v>-6950.8090000000002</v>
      </c>
      <c r="CU384" s="272">
        <v>-264.541</v>
      </c>
      <c r="CV384" s="272">
        <v>-8.9489999999999998</v>
      </c>
      <c r="CW384" s="272">
        <v>-655.52499999999998</v>
      </c>
      <c r="CX384" s="272">
        <v>-9166.8140000000003</v>
      </c>
      <c r="CY384" s="272">
        <v>-6922.6859999999997</v>
      </c>
      <c r="CZ384" s="272">
        <v>-2179.3470000000002</v>
      </c>
      <c r="DA384" s="272">
        <v>-64.781000000000006</v>
      </c>
      <c r="DB384" s="272">
        <v>-1163.4949999999999</v>
      </c>
      <c r="DC384" s="272">
        <v>-292.70100000000002</v>
      </c>
      <c r="DD384" s="272">
        <v>40579.432999999997</v>
      </c>
      <c r="DE384" s="272">
        <v>27140.383999999998</v>
      </c>
      <c r="DF384" s="272">
        <v>13439.049000000001</v>
      </c>
      <c r="DG384" s="272">
        <v>13439.049000000001</v>
      </c>
      <c r="DH384" s="272">
        <v>0</v>
      </c>
      <c r="DI384" s="272">
        <v>17109.048999999999</v>
      </c>
      <c r="DJ384" s="272">
        <v>878.36</v>
      </c>
      <c r="DK384" s="272">
        <v>242.38900000000001</v>
      </c>
      <c r="DL384" s="272">
        <v>18.547000000000001</v>
      </c>
      <c r="DM384" s="272">
        <v>9829.7430000000004</v>
      </c>
      <c r="DN384" s="272">
        <v>5378.5709999999999</v>
      </c>
      <c r="DO384" s="272">
        <v>759.31600000000003</v>
      </c>
      <c r="DP384" s="272"/>
      <c r="DQ384" s="272">
        <v>0</v>
      </c>
      <c r="DR384" s="272">
        <v>2.1230000000000002</v>
      </c>
      <c r="DS384" s="272">
        <v>-256.41899999999998</v>
      </c>
      <c r="DT384" s="272">
        <v>-63.853999999999999</v>
      </c>
      <c r="DU384" s="272">
        <v>-13.382</v>
      </c>
      <c r="DV384" s="272">
        <v>-0.28999999999999998</v>
      </c>
      <c r="DW384" s="272">
        <v>-39.781999999999996</v>
      </c>
      <c r="DX384" s="272">
        <v>0</v>
      </c>
      <c r="DY384" s="272">
        <v>0</v>
      </c>
      <c r="DZ384" s="272">
        <v>0</v>
      </c>
      <c r="EA384" s="272">
        <v>-135.72200000000001</v>
      </c>
      <c r="EB384" s="272">
        <v>-0.79900000000000004</v>
      </c>
      <c r="EC384" s="272"/>
      <c r="ED384" s="272">
        <v>0</v>
      </c>
      <c r="EE384" s="272">
        <v>-2.59</v>
      </c>
      <c r="EF384" s="272">
        <v>16852.63</v>
      </c>
      <c r="EG384" s="272">
        <v>9786.9009999999998</v>
      </c>
      <c r="EH384" s="272">
        <v>7065.7290000000003</v>
      </c>
      <c r="EI384" s="272">
        <v>7065.7290000000003</v>
      </c>
      <c r="EJ384" s="272">
        <v>0</v>
      </c>
      <c r="EK384" s="272">
        <v>814.50599999999997</v>
      </c>
      <c r="EL384" s="272">
        <v>453.16</v>
      </c>
      <c r="EM384" s="272">
        <v>361.346</v>
      </c>
      <c r="EN384" s="272">
        <v>361.346</v>
      </c>
      <c r="EO384" s="272">
        <v>0</v>
      </c>
      <c r="EP384" s="272">
        <v>229.00700000000001</v>
      </c>
      <c r="EQ384" s="272">
        <v>140.68899999999999</v>
      </c>
      <c r="ER384" s="272">
        <v>88.317999999999998</v>
      </c>
      <c r="ES384" s="272">
        <v>88.317999999999998</v>
      </c>
      <c r="ET384" s="272">
        <v>0</v>
      </c>
      <c r="EU384" s="272">
        <v>18.257000000000001</v>
      </c>
      <c r="EV384" s="272">
        <v>11.632</v>
      </c>
      <c r="EW384" s="272">
        <v>6.625</v>
      </c>
      <c r="EX384" s="272">
        <v>6.625</v>
      </c>
      <c r="EY384" s="272">
        <v>0</v>
      </c>
      <c r="EZ384" s="272">
        <v>9789.9609999999993</v>
      </c>
      <c r="FA384" s="272">
        <v>5948.518</v>
      </c>
      <c r="FB384" s="272">
        <v>3841.4430000000002</v>
      </c>
      <c r="FC384" s="272">
        <v>3841.4430000000002</v>
      </c>
      <c r="FD384" s="272">
        <v>0</v>
      </c>
      <c r="FE384" s="272">
        <v>5242.8490000000002</v>
      </c>
      <c r="FF384" s="272">
        <v>3180.498</v>
      </c>
      <c r="FG384" s="272">
        <v>2062.3510000000001</v>
      </c>
      <c r="FH384" s="272">
        <v>2062.3510000000001</v>
      </c>
      <c r="FI384" s="272">
        <v>0</v>
      </c>
      <c r="FJ384" s="272">
        <v>758.51700000000005</v>
      </c>
      <c r="FK384" s="272">
        <v>52.871000000000002</v>
      </c>
      <c r="FL384" s="272">
        <v>705.64599999999996</v>
      </c>
      <c r="FM384" s="272">
        <v>705.64599999999996</v>
      </c>
      <c r="FN384" s="272"/>
      <c r="FO384" s="272"/>
      <c r="FP384" s="272">
        <v>0</v>
      </c>
      <c r="FQ384" s="272">
        <v>-0.46700000000000003</v>
      </c>
      <c r="FR384" s="272">
        <v>3525.23</v>
      </c>
      <c r="FS384" s="272">
        <v>-99.733000000000004</v>
      </c>
      <c r="FT384" s="272">
        <v>3425.4969999999998</v>
      </c>
      <c r="FU384" s="272">
        <v>0</v>
      </c>
      <c r="FV384" s="272">
        <v>0</v>
      </c>
      <c r="FW384" s="272">
        <v>0</v>
      </c>
      <c r="FX384" s="272">
        <v>1020.192</v>
      </c>
      <c r="FY384" s="272">
        <v>1125.7429999999999</v>
      </c>
      <c r="FZ384" s="272"/>
      <c r="GA384" s="272"/>
      <c r="GB384" s="272">
        <v>0</v>
      </c>
      <c r="GC384" s="272">
        <v>635.16</v>
      </c>
      <c r="GD384" s="272">
        <v>245.27699999999999</v>
      </c>
      <c r="GE384" s="272">
        <v>0</v>
      </c>
      <c r="GF384" s="272">
        <v>389.88299999999998</v>
      </c>
      <c r="GG384" s="272">
        <v>644.40200000000004</v>
      </c>
      <c r="GH384" s="272">
        <v>48.597000000000001</v>
      </c>
      <c r="GI384" s="272">
        <v>22.786999999999999</v>
      </c>
      <c r="GJ384" s="272">
        <v>573.01800000000003</v>
      </c>
    </row>
    <row r="385" spans="1:192">
      <c r="A385" s="270" t="s">
        <v>22</v>
      </c>
      <c r="B385" s="271"/>
      <c r="C385" s="271"/>
      <c r="D385" s="272">
        <v>175362.217</v>
      </c>
      <c r="E385" s="272">
        <v>-34370.002999999997</v>
      </c>
      <c r="F385" s="272">
        <v>-138.46899999999999</v>
      </c>
      <c r="G385" s="272">
        <v>140853.745</v>
      </c>
      <c r="H385" s="272">
        <v>100396.954</v>
      </c>
      <c r="I385" s="272">
        <v>40456.791000000005</v>
      </c>
      <c r="J385" s="272">
        <v>39179.035000000003</v>
      </c>
      <c r="K385" s="272">
        <v>1277.7560000000001</v>
      </c>
      <c r="L385" s="272">
        <v>57585.587</v>
      </c>
      <c r="M385" s="272">
        <v>45152.618999999999</v>
      </c>
      <c r="N385" s="272">
        <v>5870.299</v>
      </c>
      <c r="O385" s="272">
        <v>0</v>
      </c>
      <c r="P385" s="272">
        <v>0</v>
      </c>
      <c r="Q385" s="272">
        <v>0</v>
      </c>
      <c r="R385" s="272">
        <v>6562.6689999999999</v>
      </c>
      <c r="S385" s="272">
        <v>-9724.7819999999992</v>
      </c>
      <c r="T385" s="272">
        <v>-9664.0529999999999</v>
      </c>
      <c r="U385" s="272">
        <v>-535.39099999999996</v>
      </c>
      <c r="V385" s="272">
        <v>-46.722000000000001</v>
      </c>
      <c r="W385" s="272">
        <v>-8724.2469999999994</v>
      </c>
      <c r="X385" s="272">
        <v>-194.745</v>
      </c>
      <c r="Y385" s="272">
        <v>-162.94800000000001</v>
      </c>
      <c r="Z385" s="272">
        <v>0</v>
      </c>
      <c r="AA385" s="272">
        <v>-60.728999999999999</v>
      </c>
      <c r="AB385" s="272">
        <v>0</v>
      </c>
      <c r="AC385" s="272">
        <v>-138.46899999999999</v>
      </c>
      <c r="AD385" s="272">
        <v>47722.336000000003</v>
      </c>
      <c r="AE385" s="272">
        <v>30412.080999999998</v>
      </c>
      <c r="AF385" s="272">
        <v>17310.254999999997</v>
      </c>
      <c r="AG385" s="272">
        <v>16677.884999999998</v>
      </c>
      <c r="AH385" s="272">
        <v>632.37</v>
      </c>
      <c r="AI385" s="272">
        <v>45106.436000000002</v>
      </c>
      <c r="AJ385" s="272">
        <v>9429.5540000000001</v>
      </c>
      <c r="AK385" s="272">
        <v>22621.505000000001</v>
      </c>
      <c r="AL385" s="272">
        <v>12415.181</v>
      </c>
      <c r="AM385" s="272">
        <v>2205.7579999999998</v>
      </c>
      <c r="AN385" s="272">
        <v>1191.998</v>
      </c>
      <c r="AO385" s="272">
        <v>267.07600000000002</v>
      </c>
      <c r="AP385" s="272">
        <v>0</v>
      </c>
      <c r="AQ385" s="272">
        <v>2883.2910000000002</v>
      </c>
      <c r="AR385" s="272">
        <v>-3793.7539999999999</v>
      </c>
      <c r="AS385" s="272">
        <v>0</v>
      </c>
      <c r="AT385" s="272">
        <v>0</v>
      </c>
      <c r="AU385" s="272">
        <v>-138.46899999999999</v>
      </c>
      <c r="AV385" s="272">
        <v>29710.859</v>
      </c>
      <c r="AW385" s="272">
        <v>15482.471</v>
      </c>
      <c r="AX385" s="272">
        <v>11578.516</v>
      </c>
      <c r="AY385" s="272">
        <v>0</v>
      </c>
      <c r="AZ385" s="272">
        <v>0</v>
      </c>
      <c r="BA385" s="272">
        <v>0</v>
      </c>
      <c r="BB385" s="272">
        <v>0</v>
      </c>
      <c r="BC385" s="272">
        <v>0</v>
      </c>
      <c r="BD385" s="272">
        <v>2649.8719999999998</v>
      </c>
      <c r="BE385" s="272">
        <v>-3690.9459999999999</v>
      </c>
      <c r="BF385" s="272">
        <v>-2732.3760000000002</v>
      </c>
      <c r="BG385" s="272">
        <v>-2732.3760000000002</v>
      </c>
      <c r="BH385" s="272">
        <v>0</v>
      </c>
      <c r="BI385" s="272">
        <v>-1312.1030000000001</v>
      </c>
      <c r="BJ385" s="272">
        <v>-1060.662</v>
      </c>
      <c r="BK385" s="272">
        <v>-359.61099999999999</v>
      </c>
      <c r="BL385" s="272">
        <v>-32.021999999999998</v>
      </c>
      <c r="BM385" s="272">
        <v>-926.548</v>
      </c>
      <c r="BN385" s="272">
        <v>26019.913</v>
      </c>
      <c r="BO385" s="272">
        <v>1107.625</v>
      </c>
      <c r="BP385" s="272">
        <v>496.83</v>
      </c>
      <c r="BQ385" s="272">
        <v>113.685</v>
      </c>
      <c r="BR385" s="272">
        <v>0</v>
      </c>
      <c r="BS385" s="272">
        <v>15455.633</v>
      </c>
      <c r="BT385" s="272">
        <v>0</v>
      </c>
      <c r="BU385" s="272">
        <v>0</v>
      </c>
      <c r="BV385" s="272">
        <v>0</v>
      </c>
      <c r="BW385" s="272">
        <v>0</v>
      </c>
      <c r="BX385" s="272">
        <v>8846.14</v>
      </c>
      <c r="BY385" s="272">
        <v>0</v>
      </c>
      <c r="BZ385" s="272">
        <v>0</v>
      </c>
      <c r="CA385" s="272">
        <v>2386.2750000000001</v>
      </c>
      <c r="CB385" s="272">
        <v>-990.846</v>
      </c>
      <c r="CC385" s="272">
        <v>-102.843</v>
      </c>
      <c r="CD385" s="272">
        <v>-888.00300000000004</v>
      </c>
      <c r="CE385" s="272">
        <v>1395.4290000000001</v>
      </c>
      <c r="CF385" s="272">
        <v>0</v>
      </c>
      <c r="CG385" s="272">
        <v>0</v>
      </c>
      <c r="CH385" s="272">
        <v>0</v>
      </c>
      <c r="CI385" s="272">
        <v>64103.875999999997</v>
      </c>
      <c r="CJ385" s="272">
        <v>12672.779</v>
      </c>
      <c r="CK385" s="272">
        <v>51431.097000000002</v>
      </c>
      <c r="CL385" s="272">
        <v>27354.240000000002</v>
      </c>
      <c r="CM385" s="272">
        <v>21996.661</v>
      </c>
      <c r="CN385" s="272">
        <v>2080.1959999999999</v>
      </c>
      <c r="CO385" s="272">
        <v>0</v>
      </c>
      <c r="CP385" s="272">
        <v>91.177000000000007</v>
      </c>
      <c r="CQ385" s="272">
        <v>1989.019</v>
      </c>
      <c r="CR385" s="272">
        <v>-19596.531999999999</v>
      </c>
      <c r="CS385" s="272">
        <v>-8690.0650000000005</v>
      </c>
      <c r="CT385" s="272">
        <v>-7742.35</v>
      </c>
      <c r="CU385" s="272">
        <v>-548.39599999999996</v>
      </c>
      <c r="CV385" s="272">
        <v>-3.6070000000000002</v>
      </c>
      <c r="CW385" s="272">
        <v>-395.71199999999999</v>
      </c>
      <c r="CX385" s="272">
        <v>-9355.5110000000004</v>
      </c>
      <c r="CY385" s="272">
        <v>-7194.2110000000002</v>
      </c>
      <c r="CZ385" s="272">
        <v>-2028</v>
      </c>
      <c r="DA385" s="272">
        <v>-133.30000000000001</v>
      </c>
      <c r="DB385" s="272">
        <v>-1241.3</v>
      </c>
      <c r="DC385" s="272">
        <v>-309.65600000000001</v>
      </c>
      <c r="DD385" s="272">
        <v>44507.343999999997</v>
      </c>
      <c r="DE385" s="272">
        <v>29123.538</v>
      </c>
      <c r="DF385" s="272">
        <v>15383.806</v>
      </c>
      <c r="DG385" s="272">
        <v>14928.62</v>
      </c>
      <c r="DH385" s="272">
        <v>455.18599999999998</v>
      </c>
      <c r="DI385" s="272">
        <v>17775.821</v>
      </c>
      <c r="DJ385" s="272">
        <v>911.55799999999999</v>
      </c>
      <c r="DK385" s="272">
        <v>246.97</v>
      </c>
      <c r="DL385" s="272">
        <v>18.602</v>
      </c>
      <c r="DM385" s="272">
        <v>10171.379999999999</v>
      </c>
      <c r="DN385" s="272">
        <v>5609.3159999999998</v>
      </c>
      <c r="DO385" s="272">
        <v>815.06299999999999</v>
      </c>
      <c r="DP385" s="272"/>
      <c r="DQ385" s="272">
        <v>0</v>
      </c>
      <c r="DR385" s="272">
        <v>2.9319999999999999</v>
      </c>
      <c r="DS385" s="272">
        <v>-262.13200000000001</v>
      </c>
      <c r="DT385" s="272">
        <v>-69.230999999999995</v>
      </c>
      <c r="DU385" s="272">
        <v>-13.727</v>
      </c>
      <c r="DV385" s="272">
        <v>-0.26500000000000001</v>
      </c>
      <c r="DW385" s="272">
        <v>-48.587000000000003</v>
      </c>
      <c r="DX385" s="272">
        <v>0</v>
      </c>
      <c r="DY385" s="272">
        <v>0</v>
      </c>
      <c r="DZ385" s="272">
        <v>0</v>
      </c>
      <c r="EA385" s="272">
        <v>-122.279</v>
      </c>
      <c r="EB385" s="272">
        <v>-6.0469999999999997</v>
      </c>
      <c r="EC385" s="272"/>
      <c r="ED385" s="272">
        <v>0</v>
      </c>
      <c r="EE385" s="272">
        <v>-1.996</v>
      </c>
      <c r="EF385" s="272">
        <v>17513.688999999998</v>
      </c>
      <c r="EG385" s="272">
        <v>9750.9590000000007</v>
      </c>
      <c r="EH385" s="272">
        <v>7762.73</v>
      </c>
      <c r="EI385" s="272">
        <v>7572.53</v>
      </c>
      <c r="EJ385" s="272">
        <v>190.2</v>
      </c>
      <c r="EK385" s="272">
        <v>842.327</v>
      </c>
      <c r="EL385" s="272">
        <v>467.80799999999999</v>
      </c>
      <c r="EM385" s="272">
        <v>374.51900000000001</v>
      </c>
      <c r="EN385" s="272">
        <v>365.21100000000001</v>
      </c>
      <c r="EO385" s="272">
        <v>9.3079999999999998</v>
      </c>
      <c r="EP385" s="272">
        <v>233.24299999999999</v>
      </c>
      <c r="EQ385" s="272">
        <v>135.68</v>
      </c>
      <c r="ER385" s="272">
        <v>97.563000000000002</v>
      </c>
      <c r="ES385" s="272">
        <v>95.094999999999999</v>
      </c>
      <c r="ET385" s="272">
        <v>2.468</v>
      </c>
      <c r="EU385" s="272">
        <v>18.337</v>
      </c>
      <c r="EV385" s="272">
        <v>10.36</v>
      </c>
      <c r="EW385" s="272">
        <v>7.9769999999999994</v>
      </c>
      <c r="EX385" s="272">
        <v>7.7489999999999997</v>
      </c>
      <c r="EY385" s="272">
        <v>0.22800000000000001</v>
      </c>
      <c r="EZ385" s="272">
        <v>10122.793</v>
      </c>
      <c r="FA385" s="272">
        <v>5949.616</v>
      </c>
      <c r="FB385" s="272">
        <v>4173.1769999999997</v>
      </c>
      <c r="FC385" s="272">
        <v>4059.1819999999998</v>
      </c>
      <c r="FD385" s="272">
        <v>113.995</v>
      </c>
      <c r="FE385" s="272">
        <v>5487.0370000000003</v>
      </c>
      <c r="FF385" s="272">
        <v>3199.2950000000001</v>
      </c>
      <c r="FG385" s="272">
        <v>2287.7420000000002</v>
      </c>
      <c r="FH385" s="272">
        <v>2223.5410000000002</v>
      </c>
      <c r="FI385" s="272">
        <v>64.200999999999993</v>
      </c>
      <c r="FJ385" s="272">
        <v>809.01599999999996</v>
      </c>
      <c r="FK385" s="272">
        <v>-12.736000000000001</v>
      </c>
      <c r="FL385" s="272">
        <v>821.75199999999995</v>
      </c>
      <c r="FM385" s="272">
        <v>821.75199999999995</v>
      </c>
      <c r="FN385" s="272"/>
      <c r="FO385" s="272"/>
      <c r="FP385" s="272">
        <v>0</v>
      </c>
      <c r="FQ385" s="272">
        <v>0.93600000000000005</v>
      </c>
      <c r="FR385" s="272">
        <v>3799.799</v>
      </c>
      <c r="FS385" s="272">
        <v>-104.765</v>
      </c>
      <c r="FT385" s="272">
        <v>3695.0340000000001</v>
      </c>
      <c r="FU385" s="272">
        <v>0</v>
      </c>
      <c r="FV385" s="272">
        <v>0</v>
      </c>
      <c r="FW385" s="272">
        <v>0</v>
      </c>
      <c r="FX385" s="272">
        <v>1231.96</v>
      </c>
      <c r="FY385" s="272">
        <v>1233.1510000000001</v>
      </c>
      <c r="FZ385" s="272"/>
      <c r="GA385" s="272"/>
      <c r="GB385" s="272">
        <v>0</v>
      </c>
      <c r="GC385" s="272">
        <v>638.64400000000001</v>
      </c>
      <c r="GD385" s="272">
        <v>226.54300000000001</v>
      </c>
      <c r="GE385" s="272">
        <v>0</v>
      </c>
      <c r="GF385" s="272">
        <v>412.101</v>
      </c>
      <c r="GG385" s="272">
        <v>591.279</v>
      </c>
      <c r="GH385" s="272">
        <v>49.045999999999999</v>
      </c>
      <c r="GI385" s="272">
        <v>28.05</v>
      </c>
      <c r="GJ385" s="272">
        <v>514.18299999999999</v>
      </c>
    </row>
    <row r="386" spans="1:192">
      <c r="A386" s="270" t="s">
        <v>23</v>
      </c>
      <c r="B386" s="271"/>
      <c r="C386" s="271"/>
      <c r="D386" s="272">
        <v>196837.549</v>
      </c>
      <c r="E386" s="272">
        <v>-35991.550999999999</v>
      </c>
      <c r="F386" s="272">
        <v>-141.239</v>
      </c>
      <c r="G386" s="272">
        <v>160704.75899999999</v>
      </c>
      <c r="H386" s="272">
        <v>115846.916</v>
      </c>
      <c r="I386" s="272">
        <v>44857.843000000001</v>
      </c>
      <c r="J386" s="272">
        <v>43617.213000000003</v>
      </c>
      <c r="K386" s="272">
        <v>1240.6300000000001</v>
      </c>
      <c r="L386" s="272">
        <v>65091.243000000002</v>
      </c>
      <c r="M386" s="272">
        <v>50840.419000000002</v>
      </c>
      <c r="N386" s="272">
        <v>6615.2839999999997</v>
      </c>
      <c r="O386" s="272">
        <v>0</v>
      </c>
      <c r="P386" s="272">
        <v>0</v>
      </c>
      <c r="Q386" s="272">
        <v>460.14299999999997</v>
      </c>
      <c r="R386" s="272">
        <v>7175.3969999999999</v>
      </c>
      <c r="S386" s="272">
        <v>-10227.4</v>
      </c>
      <c r="T386" s="272">
        <v>-10127.973</v>
      </c>
      <c r="U386" s="272">
        <v>-564.6</v>
      </c>
      <c r="V386" s="272">
        <v>-49.932000000000002</v>
      </c>
      <c r="W386" s="272">
        <v>-9041.3559999999998</v>
      </c>
      <c r="X386" s="272">
        <v>-279.62599999999998</v>
      </c>
      <c r="Y386" s="272">
        <v>-192.459</v>
      </c>
      <c r="Z386" s="272">
        <v>-37.015999999999998</v>
      </c>
      <c r="AA386" s="272">
        <v>-62.411000000000001</v>
      </c>
      <c r="AB386" s="272">
        <v>0</v>
      </c>
      <c r="AC386" s="272">
        <v>-141.239</v>
      </c>
      <c r="AD386" s="272">
        <v>54722.603999999999</v>
      </c>
      <c r="AE386" s="272">
        <v>35952.947999999997</v>
      </c>
      <c r="AF386" s="272">
        <v>18769.656000000003</v>
      </c>
      <c r="AG386" s="272">
        <v>18221.025000000001</v>
      </c>
      <c r="AH386" s="272">
        <v>548.63099999999997</v>
      </c>
      <c r="AI386" s="272">
        <v>50789.536999999997</v>
      </c>
      <c r="AJ386" s="272">
        <v>11262.977999999999</v>
      </c>
      <c r="AK386" s="272">
        <v>25157.007000000001</v>
      </c>
      <c r="AL386" s="272">
        <v>13914.687</v>
      </c>
      <c r="AM386" s="272">
        <v>2476.6089999999999</v>
      </c>
      <c r="AN386" s="272">
        <v>1313.1030000000001</v>
      </c>
      <c r="AO386" s="272">
        <v>360.101</v>
      </c>
      <c r="AP386" s="272">
        <v>0</v>
      </c>
      <c r="AQ386" s="272">
        <v>3013.2930000000001</v>
      </c>
      <c r="AR386" s="272">
        <v>-3512.6889999999999</v>
      </c>
      <c r="AS386" s="272">
        <v>423.12700000000001</v>
      </c>
      <c r="AT386" s="272">
        <v>0.76200000000000001</v>
      </c>
      <c r="AU386" s="272">
        <v>-141.239</v>
      </c>
      <c r="AV386" s="272">
        <v>35979.161999999997</v>
      </c>
      <c r="AW386" s="272">
        <v>18856.001</v>
      </c>
      <c r="AX386" s="272">
        <v>13476.499</v>
      </c>
      <c r="AY386" s="272">
        <v>0</v>
      </c>
      <c r="AZ386" s="272">
        <v>0</v>
      </c>
      <c r="BA386" s="272">
        <v>0</v>
      </c>
      <c r="BB386" s="272">
        <v>0</v>
      </c>
      <c r="BC386" s="272">
        <v>773.54899999999998</v>
      </c>
      <c r="BD386" s="272">
        <v>2873.1129999999998</v>
      </c>
      <c r="BE386" s="272">
        <v>-3483.8870000000002</v>
      </c>
      <c r="BF386" s="272">
        <v>-2493.6190000000001</v>
      </c>
      <c r="BG386" s="272">
        <v>-2389.3580000000002</v>
      </c>
      <c r="BH386" s="272">
        <v>-104.261</v>
      </c>
      <c r="BI386" s="272">
        <v>-1793.259</v>
      </c>
      <c r="BJ386" s="272">
        <v>-524.62900000000002</v>
      </c>
      <c r="BK386" s="272">
        <v>-175.73099999999999</v>
      </c>
      <c r="BL386" s="272">
        <v>-44.537999999999997</v>
      </c>
      <c r="BM386" s="272">
        <v>-945.73</v>
      </c>
      <c r="BN386" s="272">
        <v>32495.275000000001</v>
      </c>
      <c r="BO386" s="272">
        <v>1220.5730000000001</v>
      </c>
      <c r="BP386" s="272">
        <v>547.22500000000002</v>
      </c>
      <c r="BQ386" s="272">
        <v>153.27699999999999</v>
      </c>
      <c r="BR386" s="272">
        <v>0</v>
      </c>
      <c r="BS386" s="272">
        <v>18821.172999999999</v>
      </c>
      <c r="BT386" s="272">
        <v>0</v>
      </c>
      <c r="BU386" s="272">
        <v>0</v>
      </c>
      <c r="BV386" s="272">
        <v>0</v>
      </c>
      <c r="BW386" s="272">
        <v>0</v>
      </c>
      <c r="BX386" s="272">
        <v>11087.141</v>
      </c>
      <c r="BY386" s="272">
        <v>669.28800000000001</v>
      </c>
      <c r="BZ386" s="272">
        <v>-3.4020000000000001</v>
      </c>
      <c r="CA386" s="272">
        <v>2313.3879999999999</v>
      </c>
      <c r="CB386" s="272">
        <v>-962.85900000000004</v>
      </c>
      <c r="CC386" s="272">
        <v>-89.587000000000003</v>
      </c>
      <c r="CD386" s="272">
        <v>-873.27200000000005</v>
      </c>
      <c r="CE386" s="272">
        <v>1350.529</v>
      </c>
      <c r="CF386" s="272">
        <v>1079.3620000000001</v>
      </c>
      <c r="CG386" s="272">
        <v>68.019000000000005</v>
      </c>
      <c r="CH386" s="272">
        <v>203.148</v>
      </c>
      <c r="CI386" s="272">
        <v>70814.483999999997</v>
      </c>
      <c r="CJ386" s="272">
        <v>9712.7090000000007</v>
      </c>
      <c r="CK386" s="272">
        <v>61101.775000000001</v>
      </c>
      <c r="CL386" s="272">
        <v>34533.319000000003</v>
      </c>
      <c r="CM386" s="272">
        <v>24328.572</v>
      </c>
      <c r="CN386" s="272">
        <v>2239.884</v>
      </c>
      <c r="CO386" s="272">
        <v>0</v>
      </c>
      <c r="CP386" s="272">
        <v>79.316999999999993</v>
      </c>
      <c r="CQ386" s="272">
        <v>2160.567</v>
      </c>
      <c r="CR386" s="272">
        <v>-20944.124</v>
      </c>
      <c r="CS386" s="272">
        <v>-9958.7960000000003</v>
      </c>
      <c r="CT386" s="272">
        <v>-9017.4480000000003</v>
      </c>
      <c r="CU386" s="272">
        <v>-461.21100000000001</v>
      </c>
      <c r="CV386" s="272">
        <v>-3.6819999999999999</v>
      </c>
      <c r="CW386" s="272">
        <v>-476.45499999999998</v>
      </c>
      <c r="CX386" s="272">
        <v>-9474.19</v>
      </c>
      <c r="CY386" s="272">
        <v>-7648.8159999999998</v>
      </c>
      <c r="CZ386" s="272">
        <v>-1771.825</v>
      </c>
      <c r="DA386" s="272">
        <v>-53.548999999999999</v>
      </c>
      <c r="DB386" s="272">
        <v>-1212.7460000000001</v>
      </c>
      <c r="DC386" s="272">
        <v>-298.392</v>
      </c>
      <c r="DD386" s="272">
        <v>49870.36</v>
      </c>
      <c r="DE386" s="272">
        <v>32009.38</v>
      </c>
      <c r="DF386" s="272">
        <v>17860.98</v>
      </c>
      <c r="DG386" s="272">
        <v>17367.182000000001</v>
      </c>
      <c r="DH386" s="272">
        <v>493.798</v>
      </c>
      <c r="DI386" s="272">
        <v>18262.061000000002</v>
      </c>
      <c r="DJ386" s="272">
        <v>972.298</v>
      </c>
      <c r="DK386" s="272">
        <v>259.584</v>
      </c>
      <c r="DL386" s="272">
        <v>19.521999999999998</v>
      </c>
      <c r="DM386" s="272">
        <v>10246.209000000001</v>
      </c>
      <c r="DN386" s="272">
        <v>5902.6549999999997</v>
      </c>
      <c r="DO386" s="272">
        <v>855.63499999999999</v>
      </c>
      <c r="DP386" s="272"/>
      <c r="DQ386" s="272">
        <v>0</v>
      </c>
      <c r="DR386" s="272">
        <v>6.1580000000000004</v>
      </c>
      <c r="DS386" s="272">
        <v>-239.81200000000001</v>
      </c>
      <c r="DT386" s="272">
        <v>-72.620999999999995</v>
      </c>
      <c r="DU386" s="272">
        <v>-16.411999999999999</v>
      </c>
      <c r="DV386" s="272">
        <v>-1.3859999999999999</v>
      </c>
      <c r="DW386" s="272">
        <v>-36.198999999999998</v>
      </c>
      <c r="DX386" s="272">
        <v>0</v>
      </c>
      <c r="DY386" s="272">
        <v>0</v>
      </c>
      <c r="DZ386" s="272">
        <v>0</v>
      </c>
      <c r="EA386" s="272">
        <v>-110.629</v>
      </c>
      <c r="EB386" s="272">
        <v>-0.748</v>
      </c>
      <c r="EC386" s="272"/>
      <c r="ED386" s="272">
        <v>0</v>
      </c>
      <c r="EE386" s="272">
        <v>-1.8169999999999999</v>
      </c>
      <c r="EF386" s="272">
        <v>18022.249</v>
      </c>
      <c r="EG386" s="272">
        <v>9795.0419999999995</v>
      </c>
      <c r="EH386" s="272">
        <v>8227.2070000000003</v>
      </c>
      <c r="EI386" s="272">
        <v>8029.0060000000003</v>
      </c>
      <c r="EJ386" s="272">
        <v>198.20099999999999</v>
      </c>
      <c r="EK386" s="272">
        <v>899.67700000000002</v>
      </c>
      <c r="EL386" s="272">
        <v>575.42200000000003</v>
      </c>
      <c r="EM386" s="272">
        <v>324.255</v>
      </c>
      <c r="EN386" s="272">
        <v>313.7</v>
      </c>
      <c r="EO386" s="272">
        <v>10.555</v>
      </c>
      <c r="EP386" s="272">
        <v>243.172</v>
      </c>
      <c r="EQ386" s="272">
        <v>141.19300000000001</v>
      </c>
      <c r="ER386" s="272">
        <v>101.979</v>
      </c>
      <c r="ES386" s="272">
        <v>99.320999999999998</v>
      </c>
      <c r="ET386" s="272">
        <v>2.6579999999999999</v>
      </c>
      <c r="EU386" s="272">
        <v>18.135999999999999</v>
      </c>
      <c r="EV386" s="272">
        <v>9.2690000000000001</v>
      </c>
      <c r="EW386" s="272">
        <v>8.8669999999999991</v>
      </c>
      <c r="EX386" s="272">
        <v>8.6539999999999999</v>
      </c>
      <c r="EY386" s="272">
        <v>0.21299999999999999</v>
      </c>
      <c r="EZ386" s="272">
        <v>10210.01</v>
      </c>
      <c r="FA386" s="272">
        <v>5832.7169999999996</v>
      </c>
      <c r="FB386" s="272">
        <v>4377.2929999999997</v>
      </c>
      <c r="FC386" s="272">
        <v>4259.8040000000001</v>
      </c>
      <c r="FD386" s="272">
        <v>117.489</v>
      </c>
      <c r="FE386" s="272">
        <v>5792.0259999999998</v>
      </c>
      <c r="FF386" s="272">
        <v>3299.2919999999999</v>
      </c>
      <c r="FG386" s="272">
        <v>2492.7339999999999</v>
      </c>
      <c r="FH386" s="272">
        <v>2425.4479999999999</v>
      </c>
      <c r="FI386" s="272">
        <v>67.286000000000001</v>
      </c>
      <c r="FJ386" s="272">
        <v>854.88699999999994</v>
      </c>
      <c r="FK386" s="272">
        <v>-67.191999999999993</v>
      </c>
      <c r="FL386" s="272">
        <v>922.07899999999995</v>
      </c>
      <c r="FM386" s="272">
        <v>922.07899999999995</v>
      </c>
      <c r="FN386" s="272"/>
      <c r="FO386" s="272"/>
      <c r="FP386" s="272">
        <v>0</v>
      </c>
      <c r="FQ386" s="272">
        <v>4.3410000000000002</v>
      </c>
      <c r="FR386" s="272">
        <v>4377.2110000000002</v>
      </c>
      <c r="FS386" s="272">
        <v>-133.46899999999999</v>
      </c>
      <c r="FT386" s="272">
        <v>4243.7420000000002</v>
      </c>
      <c r="FU386" s="272">
        <v>0</v>
      </c>
      <c r="FV386" s="272">
        <v>0</v>
      </c>
      <c r="FW386" s="272">
        <v>0</v>
      </c>
      <c r="FX386" s="272">
        <v>1458.471</v>
      </c>
      <c r="FY386" s="272">
        <v>1314.002</v>
      </c>
      <c r="FZ386" s="272"/>
      <c r="GA386" s="272"/>
      <c r="GB386" s="272">
        <v>0</v>
      </c>
      <c r="GC386" s="272">
        <v>787.678</v>
      </c>
      <c r="GD386" s="272">
        <v>243.06299999999999</v>
      </c>
      <c r="GE386" s="272">
        <v>0</v>
      </c>
      <c r="GF386" s="272">
        <v>544.61500000000001</v>
      </c>
      <c r="GG386" s="272">
        <v>683.59100000000001</v>
      </c>
      <c r="GH386" s="272">
        <v>62.881</v>
      </c>
      <c r="GI386" s="272">
        <v>40.523000000000003</v>
      </c>
      <c r="GJ386" s="272">
        <v>580.18700000000001</v>
      </c>
    </row>
    <row r="387" spans="1:192">
      <c r="A387" s="270" t="s">
        <v>24</v>
      </c>
      <c r="B387" s="271"/>
      <c r="C387" s="271"/>
      <c r="D387" s="272">
        <v>221413.82399999999</v>
      </c>
      <c r="E387" s="272">
        <v>-41890.262000000002</v>
      </c>
      <c r="F387" s="272">
        <v>-144.012</v>
      </c>
      <c r="G387" s="272">
        <v>179379.55</v>
      </c>
      <c r="H387" s="272">
        <v>130126.548</v>
      </c>
      <c r="I387" s="272">
        <v>49253.002</v>
      </c>
      <c r="J387" s="272">
        <v>47826.620999999999</v>
      </c>
      <c r="K387" s="272">
        <v>1426.3810000000001</v>
      </c>
      <c r="L387" s="272">
        <v>73576.570999999996</v>
      </c>
      <c r="M387" s="272">
        <v>56534.38</v>
      </c>
      <c r="N387" s="272">
        <v>8183.0069999999996</v>
      </c>
      <c r="O387" s="272">
        <v>0</v>
      </c>
      <c r="P387" s="272">
        <v>0</v>
      </c>
      <c r="Q387" s="272">
        <v>402.637</v>
      </c>
      <c r="R387" s="272">
        <v>8456.5470000000005</v>
      </c>
      <c r="S387" s="272">
        <v>-10619.5</v>
      </c>
      <c r="T387" s="272">
        <v>-10558.286</v>
      </c>
      <c r="U387" s="272">
        <v>-598.95600000000002</v>
      </c>
      <c r="V387" s="272">
        <v>-50.445</v>
      </c>
      <c r="W387" s="272">
        <v>-9487.7579999999998</v>
      </c>
      <c r="X387" s="272">
        <v>-208.262</v>
      </c>
      <c r="Y387" s="272">
        <v>-212.86500000000001</v>
      </c>
      <c r="Z387" s="272">
        <v>-29.84</v>
      </c>
      <c r="AA387" s="272">
        <v>-31.373999999999999</v>
      </c>
      <c r="AB387" s="272">
        <v>0</v>
      </c>
      <c r="AC387" s="272">
        <v>-144.012</v>
      </c>
      <c r="AD387" s="272">
        <v>62813.059000000001</v>
      </c>
      <c r="AE387" s="272">
        <v>41495.383999999998</v>
      </c>
      <c r="AF387" s="272">
        <v>21317.675000000003</v>
      </c>
      <c r="AG387" s="272">
        <v>20751.686000000002</v>
      </c>
      <c r="AH387" s="272">
        <v>565.98900000000003</v>
      </c>
      <c r="AI387" s="272">
        <v>56525.462</v>
      </c>
      <c r="AJ387" s="272">
        <v>12336.338</v>
      </c>
      <c r="AK387" s="272">
        <v>27943.066999999999</v>
      </c>
      <c r="AL387" s="272">
        <v>15728.254999999999</v>
      </c>
      <c r="AM387" s="272">
        <v>3291.375</v>
      </c>
      <c r="AN387" s="272">
        <v>1449.6880000000001</v>
      </c>
      <c r="AO387" s="272">
        <v>525.10299999999995</v>
      </c>
      <c r="AP387" s="272">
        <v>0</v>
      </c>
      <c r="AQ387" s="272">
        <v>3167.623</v>
      </c>
      <c r="AR387" s="272">
        <v>-2375.279</v>
      </c>
      <c r="AS387" s="272">
        <v>372.79700000000003</v>
      </c>
      <c r="AT387" s="272">
        <v>0.30199999999999999</v>
      </c>
      <c r="AU387" s="272">
        <v>-144.012</v>
      </c>
      <c r="AV387" s="272">
        <v>41881.942999999999</v>
      </c>
      <c r="AW387" s="272">
        <v>21989.05</v>
      </c>
      <c r="AX387" s="272">
        <v>15464.174999999999</v>
      </c>
      <c r="AY387" s="272">
        <v>0</v>
      </c>
      <c r="AZ387" s="272">
        <v>0</v>
      </c>
      <c r="BA387" s="272">
        <v>0</v>
      </c>
      <c r="BB387" s="272">
        <v>0</v>
      </c>
      <c r="BC387" s="272">
        <v>1093.2619999999999</v>
      </c>
      <c r="BD387" s="272">
        <v>3335.4560000000001</v>
      </c>
      <c r="BE387" s="272">
        <v>-4674.3410000000003</v>
      </c>
      <c r="BF387" s="272">
        <v>-3619.4140000000002</v>
      </c>
      <c r="BG387" s="272">
        <v>-3304.1840000000002</v>
      </c>
      <c r="BH387" s="272">
        <v>-315.23</v>
      </c>
      <c r="BI387" s="272">
        <v>-2752.0990000000002</v>
      </c>
      <c r="BJ387" s="272">
        <v>-455.62</v>
      </c>
      <c r="BK387" s="272">
        <v>-411.69499999999999</v>
      </c>
      <c r="BL387" s="272">
        <v>-80.049000000000007</v>
      </c>
      <c r="BM387" s="272">
        <v>-974.87800000000004</v>
      </c>
      <c r="BN387" s="272">
        <v>37207.601999999999</v>
      </c>
      <c r="BO387" s="272">
        <v>1524.001</v>
      </c>
      <c r="BP387" s="272">
        <v>603.54499999999996</v>
      </c>
      <c r="BQ387" s="272">
        <v>223.434</v>
      </c>
      <c r="BR387" s="272">
        <v>0</v>
      </c>
      <c r="BS387" s="272">
        <v>21919.316999999999</v>
      </c>
      <c r="BT387" s="272">
        <v>0</v>
      </c>
      <c r="BU387" s="272">
        <v>0</v>
      </c>
      <c r="BV387" s="272">
        <v>0</v>
      </c>
      <c r="BW387" s="272">
        <v>0</v>
      </c>
      <c r="BX387" s="272">
        <v>12159.991</v>
      </c>
      <c r="BY387" s="272">
        <v>778.03200000000004</v>
      </c>
      <c r="BZ387" s="272">
        <v>-0.71799999999999997</v>
      </c>
      <c r="CA387" s="272">
        <v>2479.75</v>
      </c>
      <c r="CB387" s="272">
        <v>-981.79200000000003</v>
      </c>
      <c r="CC387" s="272">
        <v>-119.88</v>
      </c>
      <c r="CD387" s="272">
        <v>-861.91200000000003</v>
      </c>
      <c r="CE387" s="272">
        <v>1497.9580000000001</v>
      </c>
      <c r="CF387" s="272">
        <v>1298.046</v>
      </c>
      <c r="CG387" s="272">
        <v>78.625</v>
      </c>
      <c r="CH387" s="272">
        <v>121.28700000000001</v>
      </c>
      <c r="CI387" s="272">
        <v>79722.021999999997</v>
      </c>
      <c r="CJ387" s="272">
        <v>8651.0339999999997</v>
      </c>
      <c r="CK387" s="272">
        <v>71070.987999999998</v>
      </c>
      <c r="CL387" s="272">
        <v>41681.000999999997</v>
      </c>
      <c r="CM387" s="272">
        <v>27029.183000000001</v>
      </c>
      <c r="CN387" s="272">
        <v>2360.8040000000001</v>
      </c>
      <c r="CO387" s="272">
        <v>0</v>
      </c>
      <c r="CP387" s="272">
        <v>49.216999999999999</v>
      </c>
      <c r="CQ387" s="272">
        <v>2311.587</v>
      </c>
      <c r="CR387" s="272">
        <v>-25070.219000000001</v>
      </c>
      <c r="CS387" s="272">
        <v>-12582.422</v>
      </c>
      <c r="CT387" s="272">
        <v>-10957.534</v>
      </c>
      <c r="CU387" s="272">
        <v>-573.50099999999998</v>
      </c>
      <c r="CV387" s="272">
        <v>-4.1449999999999996</v>
      </c>
      <c r="CW387" s="272">
        <v>-1047.242</v>
      </c>
      <c r="CX387" s="272">
        <v>-10965.723</v>
      </c>
      <c r="CY387" s="272">
        <v>-8797.7160000000003</v>
      </c>
      <c r="CZ387" s="272">
        <v>-2068.3470000000002</v>
      </c>
      <c r="DA387" s="272">
        <v>-99.66</v>
      </c>
      <c r="DB387" s="272">
        <v>-1208.903</v>
      </c>
      <c r="DC387" s="272">
        <v>-313.17099999999999</v>
      </c>
      <c r="DD387" s="272">
        <v>54651.803</v>
      </c>
      <c r="DE387" s="272">
        <v>35423.921000000002</v>
      </c>
      <c r="DF387" s="272">
        <v>19227.881999999998</v>
      </c>
      <c r="DG387" s="272">
        <v>18625.670999999998</v>
      </c>
      <c r="DH387" s="272">
        <v>602.21100000000001</v>
      </c>
      <c r="DI387" s="272">
        <v>18992.204000000002</v>
      </c>
      <c r="DJ387" s="272">
        <v>1025.9290000000001</v>
      </c>
      <c r="DK387" s="272">
        <v>311.50099999999998</v>
      </c>
      <c r="DL387" s="272">
        <v>21.006</v>
      </c>
      <c r="DM387" s="272">
        <v>10472.186</v>
      </c>
      <c r="DN387" s="272">
        <v>6131.3040000000001</v>
      </c>
      <c r="DO387" s="272">
        <v>1026.9829999999999</v>
      </c>
      <c r="DP387" s="272"/>
      <c r="DQ387" s="272">
        <v>0</v>
      </c>
      <c r="DR387" s="272">
        <v>3.2949999999999999</v>
      </c>
      <c r="DS387" s="272">
        <v>-389.93299999999999</v>
      </c>
      <c r="DT387" s="272">
        <v>-111.94</v>
      </c>
      <c r="DU387" s="272">
        <v>-32.045000000000002</v>
      </c>
      <c r="DV387" s="272">
        <v>-0.35899999999999999</v>
      </c>
      <c r="DW387" s="272">
        <v>-58.404000000000003</v>
      </c>
      <c r="DX387" s="272">
        <v>0</v>
      </c>
      <c r="DY387" s="272">
        <v>0</v>
      </c>
      <c r="DZ387" s="272">
        <v>0</v>
      </c>
      <c r="EA387" s="272">
        <v>-131.732</v>
      </c>
      <c r="EB387" s="272">
        <v>-53.628</v>
      </c>
      <c r="EC387" s="272"/>
      <c r="ED387" s="272">
        <v>0</v>
      </c>
      <c r="EE387" s="272">
        <v>-1.825</v>
      </c>
      <c r="EF387" s="272">
        <v>18602.271000000001</v>
      </c>
      <c r="EG387" s="272">
        <v>9894.8259999999991</v>
      </c>
      <c r="EH387" s="272">
        <v>8707.4449999999997</v>
      </c>
      <c r="EI387" s="272">
        <v>8449.2639999999992</v>
      </c>
      <c r="EJ387" s="272">
        <v>258.18099999999998</v>
      </c>
      <c r="EK387" s="272">
        <v>913.98900000000003</v>
      </c>
      <c r="EL387" s="272">
        <v>510.01799999999997</v>
      </c>
      <c r="EM387" s="272">
        <v>403.971</v>
      </c>
      <c r="EN387" s="272">
        <v>392.10199999999998</v>
      </c>
      <c r="EO387" s="272">
        <v>11.869</v>
      </c>
      <c r="EP387" s="272">
        <v>279.45600000000002</v>
      </c>
      <c r="EQ387" s="272">
        <v>160.732</v>
      </c>
      <c r="ER387" s="272">
        <v>118.724</v>
      </c>
      <c r="ES387" s="272">
        <v>115.27200000000001</v>
      </c>
      <c r="ET387" s="272">
        <v>3.452</v>
      </c>
      <c r="EU387" s="272">
        <v>20.646999999999998</v>
      </c>
      <c r="EV387" s="272">
        <v>12.518000000000001</v>
      </c>
      <c r="EW387" s="272">
        <v>8.1289999999999996</v>
      </c>
      <c r="EX387" s="272">
        <v>7.89</v>
      </c>
      <c r="EY387" s="272">
        <v>0.23899999999999999</v>
      </c>
      <c r="EZ387" s="272">
        <v>10413.781999999999</v>
      </c>
      <c r="FA387" s="272">
        <v>5871.2759999999998</v>
      </c>
      <c r="FB387" s="272">
        <v>4542.5059999999994</v>
      </c>
      <c r="FC387" s="272">
        <v>4405.4229999999998</v>
      </c>
      <c r="FD387" s="272">
        <v>137.083</v>
      </c>
      <c r="FE387" s="272">
        <v>5999.5720000000001</v>
      </c>
      <c r="FF387" s="272">
        <v>3343.5189999999998</v>
      </c>
      <c r="FG387" s="272">
        <v>2656.0529999999999</v>
      </c>
      <c r="FH387" s="272">
        <v>2550.5149999999999</v>
      </c>
      <c r="FI387" s="272">
        <v>105.538</v>
      </c>
      <c r="FJ387" s="272">
        <v>973.35500000000002</v>
      </c>
      <c r="FK387" s="272">
        <v>-4.7069999999999999</v>
      </c>
      <c r="FL387" s="272">
        <v>978.06200000000001</v>
      </c>
      <c r="FM387" s="272">
        <v>978.06200000000001</v>
      </c>
      <c r="FN387" s="272"/>
      <c r="FO387" s="272"/>
      <c r="FP387" s="272">
        <v>0</v>
      </c>
      <c r="FQ387" s="272">
        <v>1.47</v>
      </c>
      <c r="FR387" s="272">
        <v>4761.3339999999998</v>
      </c>
      <c r="FS387" s="272">
        <v>-154.477</v>
      </c>
      <c r="FT387" s="272">
        <v>4606.857</v>
      </c>
      <c r="FU387" s="272">
        <v>0</v>
      </c>
      <c r="FV387" s="272">
        <v>0</v>
      </c>
      <c r="FW387" s="272">
        <v>0</v>
      </c>
      <c r="FX387" s="272">
        <v>1595.3910000000001</v>
      </c>
      <c r="FY387" s="272">
        <v>1387.056</v>
      </c>
      <c r="FZ387" s="272"/>
      <c r="GA387" s="272"/>
      <c r="GB387" s="272">
        <v>0</v>
      </c>
      <c r="GC387" s="272">
        <v>874.05700000000002</v>
      </c>
      <c r="GD387" s="272">
        <v>351.03300000000002</v>
      </c>
      <c r="GE387" s="272">
        <v>0</v>
      </c>
      <c r="GF387" s="272">
        <v>523.024</v>
      </c>
      <c r="GG387" s="272">
        <v>750.35299999999995</v>
      </c>
      <c r="GH387" s="272">
        <v>76.881</v>
      </c>
      <c r="GI387" s="272">
        <v>24.957000000000001</v>
      </c>
      <c r="GJ387" s="272">
        <v>648.51499999999999</v>
      </c>
    </row>
    <row r="388" spans="1:192">
      <c r="A388" s="270" t="s">
        <v>25</v>
      </c>
      <c r="B388" s="271"/>
      <c r="C388" s="271"/>
      <c r="D388" s="272">
        <v>250038.82800000001</v>
      </c>
      <c r="E388" s="272">
        <v>-49210.493000000002</v>
      </c>
      <c r="F388" s="272">
        <v>-152.30500000000001</v>
      </c>
      <c r="G388" s="272">
        <v>200676.03</v>
      </c>
      <c r="H388" s="272">
        <v>146270.60399999999</v>
      </c>
      <c r="I388" s="272">
        <v>54405.425999999999</v>
      </c>
      <c r="J388" s="272">
        <v>52857.620999999999</v>
      </c>
      <c r="K388" s="272">
        <v>1547.8050000000001</v>
      </c>
      <c r="L388" s="272">
        <v>84310.684999999998</v>
      </c>
      <c r="M388" s="272">
        <v>61627.285000000003</v>
      </c>
      <c r="N388" s="272">
        <v>11315.834999999999</v>
      </c>
      <c r="O388" s="272">
        <v>0</v>
      </c>
      <c r="P388" s="272">
        <v>0</v>
      </c>
      <c r="Q388" s="272">
        <v>551.82500000000005</v>
      </c>
      <c r="R388" s="272">
        <v>10815.74</v>
      </c>
      <c r="S388" s="272">
        <v>-11544.114</v>
      </c>
      <c r="T388" s="272">
        <v>-11434.315000000001</v>
      </c>
      <c r="U388" s="272">
        <v>-989.59799999999996</v>
      </c>
      <c r="V388" s="272">
        <v>-54.691000000000003</v>
      </c>
      <c r="W388" s="272">
        <v>-9942.8060000000005</v>
      </c>
      <c r="X388" s="272">
        <v>-229.511</v>
      </c>
      <c r="Y388" s="272">
        <v>-217.709</v>
      </c>
      <c r="Z388" s="272">
        <v>-45.551000000000002</v>
      </c>
      <c r="AA388" s="272">
        <v>-64.248000000000005</v>
      </c>
      <c r="AB388" s="272">
        <v>0</v>
      </c>
      <c r="AC388" s="272">
        <v>-152.30500000000001</v>
      </c>
      <c r="AD388" s="272">
        <v>72614.266000000003</v>
      </c>
      <c r="AE388" s="272">
        <v>48625.79</v>
      </c>
      <c r="AF388" s="272">
        <v>23988.476000000002</v>
      </c>
      <c r="AG388" s="272">
        <v>23269.559000000001</v>
      </c>
      <c r="AH388" s="272">
        <v>718.91700000000003</v>
      </c>
      <c r="AI388" s="272">
        <v>61581.642</v>
      </c>
      <c r="AJ388" s="272">
        <v>14194.031000000001</v>
      </c>
      <c r="AK388" s="272">
        <v>29657.516</v>
      </c>
      <c r="AL388" s="272">
        <v>17176.931</v>
      </c>
      <c r="AM388" s="272">
        <v>4775.0110000000004</v>
      </c>
      <c r="AN388" s="272">
        <v>1849.8430000000001</v>
      </c>
      <c r="AO388" s="272">
        <v>883.29899999999998</v>
      </c>
      <c r="AP388" s="272">
        <v>0</v>
      </c>
      <c r="AQ388" s="272">
        <v>3288.8409999999999</v>
      </c>
      <c r="AR388" s="272">
        <v>-118.48</v>
      </c>
      <c r="AS388" s="272">
        <v>506.274</v>
      </c>
      <c r="AT388" s="272">
        <v>0.14099999999999999</v>
      </c>
      <c r="AU388" s="272">
        <v>-152.30500000000001</v>
      </c>
      <c r="AV388" s="272">
        <v>49477.622000000003</v>
      </c>
      <c r="AW388" s="272">
        <v>23099.984</v>
      </c>
      <c r="AX388" s="272">
        <v>20859.001</v>
      </c>
      <c r="AY388" s="272">
        <v>0</v>
      </c>
      <c r="AZ388" s="272">
        <v>0</v>
      </c>
      <c r="BA388" s="272">
        <v>0</v>
      </c>
      <c r="BB388" s="272">
        <v>0</v>
      </c>
      <c r="BC388" s="272">
        <v>1072.8230000000001</v>
      </c>
      <c r="BD388" s="272">
        <v>4445.8140000000003</v>
      </c>
      <c r="BE388" s="272">
        <v>-4654.4480000000003</v>
      </c>
      <c r="BF388" s="272">
        <v>-3432.413</v>
      </c>
      <c r="BG388" s="272">
        <v>-3326.9769999999999</v>
      </c>
      <c r="BH388" s="272">
        <v>-105.43600000000001</v>
      </c>
      <c r="BI388" s="272">
        <v>-2645.348</v>
      </c>
      <c r="BJ388" s="272">
        <v>-553.06899999999996</v>
      </c>
      <c r="BK388" s="272">
        <v>-233.99600000000001</v>
      </c>
      <c r="BL388" s="272">
        <v>-41.311999999999998</v>
      </c>
      <c r="BM388" s="272">
        <v>-1180.723</v>
      </c>
      <c r="BN388" s="272">
        <v>44823.173999999999</v>
      </c>
      <c r="BO388" s="272">
        <v>2109.1669999999999</v>
      </c>
      <c r="BP388" s="272">
        <v>771.16300000000001</v>
      </c>
      <c r="BQ388" s="272">
        <v>375.887</v>
      </c>
      <c r="BR388" s="272">
        <v>0</v>
      </c>
      <c r="BS388" s="272">
        <v>23067.678</v>
      </c>
      <c r="BT388" s="272">
        <v>0</v>
      </c>
      <c r="BU388" s="272">
        <v>0</v>
      </c>
      <c r="BV388" s="272">
        <v>0</v>
      </c>
      <c r="BW388" s="272">
        <v>0</v>
      </c>
      <c r="BX388" s="272">
        <v>17532.024000000001</v>
      </c>
      <c r="BY388" s="272">
        <v>967.38699999999994</v>
      </c>
      <c r="BZ388" s="272">
        <v>-0.13200000000000001</v>
      </c>
      <c r="CA388" s="272">
        <v>3567.6170000000002</v>
      </c>
      <c r="CB388" s="272">
        <v>-1140.3620000000001</v>
      </c>
      <c r="CC388" s="272">
        <v>-126.76</v>
      </c>
      <c r="CD388" s="272">
        <v>-1013.602</v>
      </c>
      <c r="CE388" s="272">
        <v>2427.2550000000001</v>
      </c>
      <c r="CF388" s="272">
        <v>1900.174</v>
      </c>
      <c r="CG388" s="272">
        <v>79.570999999999998</v>
      </c>
      <c r="CH388" s="272">
        <v>447.51</v>
      </c>
      <c r="CI388" s="272">
        <v>87139.577000000005</v>
      </c>
      <c r="CJ388" s="272">
        <v>9377.3019999999997</v>
      </c>
      <c r="CK388" s="272">
        <v>77762.274999999994</v>
      </c>
      <c r="CL388" s="272">
        <v>46086.368999999999</v>
      </c>
      <c r="CM388" s="272">
        <v>29126.136999999999</v>
      </c>
      <c r="CN388" s="272">
        <v>2549.7689999999998</v>
      </c>
      <c r="CO388" s="272">
        <v>19.635999999999999</v>
      </c>
      <c r="CP388" s="272">
        <v>37.049999999999997</v>
      </c>
      <c r="CQ388" s="272">
        <v>2493.0830000000001</v>
      </c>
      <c r="CR388" s="272">
        <v>-31288.870999999999</v>
      </c>
      <c r="CS388" s="272">
        <v>-16559.385999999999</v>
      </c>
      <c r="CT388" s="272">
        <v>-14464.145</v>
      </c>
      <c r="CU388" s="272">
        <v>-601.61099999999999</v>
      </c>
      <c r="CV388" s="272">
        <v>-6.1950000000000003</v>
      </c>
      <c r="CW388" s="272">
        <v>-1487.4349999999999</v>
      </c>
      <c r="CX388" s="272">
        <v>-13217.045</v>
      </c>
      <c r="CY388" s="272">
        <v>-9798.6620000000003</v>
      </c>
      <c r="CZ388" s="272">
        <v>-3040.1529999999998</v>
      </c>
      <c r="DA388" s="272">
        <v>-378.23</v>
      </c>
      <c r="DB388" s="272">
        <v>-1196.4639999999999</v>
      </c>
      <c r="DC388" s="272">
        <v>-315.976</v>
      </c>
      <c r="DD388" s="272">
        <v>55850.705999999998</v>
      </c>
      <c r="DE388" s="272">
        <v>33752.375</v>
      </c>
      <c r="DF388" s="272">
        <v>22098.330999999998</v>
      </c>
      <c r="DG388" s="272">
        <v>21442.588</v>
      </c>
      <c r="DH388" s="272">
        <v>655.74300000000005</v>
      </c>
      <c r="DI388" s="272">
        <v>20143.326000000001</v>
      </c>
      <c r="DJ388" s="272">
        <v>1018.795</v>
      </c>
      <c r="DK388" s="272">
        <v>301.88400000000001</v>
      </c>
      <c r="DL388" s="272">
        <v>21.222999999999999</v>
      </c>
      <c r="DM388" s="272">
        <v>10863.047</v>
      </c>
      <c r="DN388" s="272">
        <v>6869.29</v>
      </c>
      <c r="DO388" s="272">
        <v>1066.2149999999999</v>
      </c>
      <c r="DP388" s="272"/>
      <c r="DQ388" s="272">
        <v>0</v>
      </c>
      <c r="DR388" s="272">
        <v>2.8719999999999999</v>
      </c>
      <c r="DS388" s="272">
        <v>-356.88900000000001</v>
      </c>
      <c r="DT388" s="272">
        <v>-84.152000000000001</v>
      </c>
      <c r="DU388" s="272">
        <v>-15.528</v>
      </c>
      <c r="DV388" s="272">
        <v>-0.39300000000000002</v>
      </c>
      <c r="DW388" s="272">
        <v>-148.09200000000001</v>
      </c>
      <c r="DX388" s="272">
        <v>-94.376999999999995</v>
      </c>
      <c r="DY388" s="272">
        <v>-14.657</v>
      </c>
      <c r="DZ388" s="272">
        <v>-38.125999999999998</v>
      </c>
      <c r="EA388" s="272">
        <v>-103.98</v>
      </c>
      <c r="EB388" s="272">
        <v>-0.73299999999999998</v>
      </c>
      <c r="EC388" s="272"/>
      <c r="ED388" s="272">
        <v>0</v>
      </c>
      <c r="EE388" s="272">
        <v>-4.0110000000000001</v>
      </c>
      <c r="EF388" s="272">
        <v>19786.437000000002</v>
      </c>
      <c r="EG388" s="272">
        <v>11467.817999999999</v>
      </c>
      <c r="EH388" s="272">
        <v>8318.6190000000006</v>
      </c>
      <c r="EI388" s="272">
        <v>8145.4740000000002</v>
      </c>
      <c r="EJ388" s="272">
        <v>173.14500000000001</v>
      </c>
      <c r="EK388" s="272">
        <v>934.64300000000003</v>
      </c>
      <c r="EL388" s="272">
        <v>499.36</v>
      </c>
      <c r="EM388" s="272">
        <v>435.28300000000002</v>
      </c>
      <c r="EN388" s="272">
        <v>423.18</v>
      </c>
      <c r="EO388" s="272">
        <v>12.103</v>
      </c>
      <c r="EP388" s="272">
        <v>286.35599999999999</v>
      </c>
      <c r="EQ388" s="272">
        <v>170.85900000000001</v>
      </c>
      <c r="ER388" s="272">
        <v>115.497</v>
      </c>
      <c r="ES388" s="272">
        <v>112.292</v>
      </c>
      <c r="ET388" s="272">
        <v>3.2050000000000001</v>
      </c>
      <c r="EU388" s="272">
        <v>20.83</v>
      </c>
      <c r="EV388" s="272">
        <v>12.805999999999999</v>
      </c>
      <c r="EW388" s="272">
        <v>8.0239999999999991</v>
      </c>
      <c r="EX388" s="272">
        <v>7.8029999999999999</v>
      </c>
      <c r="EY388" s="272">
        <v>0.221</v>
      </c>
      <c r="EZ388" s="272">
        <v>10714.955</v>
      </c>
      <c r="FA388" s="272">
        <v>6394.9269999999997</v>
      </c>
      <c r="FB388" s="272">
        <v>4320.0280000000002</v>
      </c>
      <c r="FC388" s="272">
        <v>4202.2370000000001</v>
      </c>
      <c r="FD388" s="272">
        <v>117.791</v>
      </c>
      <c r="FE388" s="272">
        <v>6765.31</v>
      </c>
      <c r="FF388" s="272">
        <v>4309.1360000000004</v>
      </c>
      <c r="FG388" s="272">
        <v>2456.174</v>
      </c>
      <c r="FH388" s="272">
        <v>2416.3490000000002</v>
      </c>
      <c r="FI388" s="272">
        <v>39.825000000000003</v>
      </c>
      <c r="FJ388" s="272">
        <v>1065.482</v>
      </c>
      <c r="FK388" s="272">
        <v>81.869</v>
      </c>
      <c r="FL388" s="272">
        <v>983.61300000000006</v>
      </c>
      <c r="FM388" s="272">
        <v>983.61300000000006</v>
      </c>
      <c r="FN388" s="272"/>
      <c r="FO388" s="272"/>
      <c r="FP388" s="272">
        <v>0</v>
      </c>
      <c r="FQ388" s="272">
        <v>-1.139</v>
      </c>
      <c r="FR388" s="272">
        <v>5400.0010000000002</v>
      </c>
      <c r="FS388" s="272">
        <v>-225.809</v>
      </c>
      <c r="FT388" s="272">
        <v>5174.192</v>
      </c>
      <c r="FU388" s="272">
        <v>0</v>
      </c>
      <c r="FV388" s="272">
        <v>0</v>
      </c>
      <c r="FW388" s="272">
        <v>0</v>
      </c>
      <c r="FX388" s="272">
        <v>1720.4259999999999</v>
      </c>
      <c r="FY388" s="272">
        <v>1491.3209999999999</v>
      </c>
      <c r="FZ388" s="272"/>
      <c r="GA388" s="272"/>
      <c r="GB388" s="272">
        <v>0</v>
      </c>
      <c r="GC388" s="272">
        <v>1146.3910000000001</v>
      </c>
      <c r="GD388" s="272">
        <v>524.59900000000005</v>
      </c>
      <c r="GE388" s="272">
        <v>0</v>
      </c>
      <c r="GF388" s="272">
        <v>621.79200000000003</v>
      </c>
      <c r="GG388" s="272">
        <v>816.05399999999997</v>
      </c>
      <c r="GH388" s="272">
        <v>114.306</v>
      </c>
      <c r="GI388" s="272">
        <v>12.539</v>
      </c>
      <c r="GJ388" s="272">
        <v>689.20899999999995</v>
      </c>
    </row>
    <row r="389" spans="1:192">
      <c r="A389" s="270" t="s">
        <v>26</v>
      </c>
      <c r="B389" s="271"/>
      <c r="C389" s="271"/>
      <c r="D389" s="272">
        <v>227588.87100000001</v>
      </c>
      <c r="E389" s="272">
        <v>-53982.792999999998</v>
      </c>
      <c r="F389" s="272">
        <v>-152.76300000000001</v>
      </c>
      <c r="G389" s="272">
        <v>173453.315</v>
      </c>
      <c r="H389" s="272">
        <v>114082.92200000001</v>
      </c>
      <c r="I389" s="272">
        <v>59370.392999999996</v>
      </c>
      <c r="J389" s="272">
        <v>57621.964999999997</v>
      </c>
      <c r="K389" s="272">
        <v>1748.4280000000001</v>
      </c>
      <c r="L389" s="272">
        <v>85158.758000000002</v>
      </c>
      <c r="M389" s="272">
        <v>63058.868000000002</v>
      </c>
      <c r="N389" s="272">
        <v>9760.2759999999998</v>
      </c>
      <c r="O389" s="272">
        <v>0</v>
      </c>
      <c r="P389" s="272">
        <v>0</v>
      </c>
      <c r="Q389" s="272">
        <v>409.274</v>
      </c>
      <c r="R389" s="272">
        <v>11930.34</v>
      </c>
      <c r="S389" s="272">
        <v>-13664.851000000001</v>
      </c>
      <c r="T389" s="272">
        <v>-13553.932000000001</v>
      </c>
      <c r="U389" s="272">
        <v>-1610.933</v>
      </c>
      <c r="V389" s="272">
        <v>-217.75899999999999</v>
      </c>
      <c r="W389" s="272">
        <v>-11213.26</v>
      </c>
      <c r="X389" s="272">
        <v>-249.64</v>
      </c>
      <c r="Y389" s="272">
        <v>-262.33999999999997</v>
      </c>
      <c r="Z389" s="272">
        <v>-34.064</v>
      </c>
      <c r="AA389" s="272">
        <v>-76.855000000000004</v>
      </c>
      <c r="AB389" s="272">
        <v>0</v>
      </c>
      <c r="AC389" s="272">
        <v>-152.76300000000001</v>
      </c>
      <c r="AD389" s="272">
        <v>71341.144</v>
      </c>
      <c r="AE389" s="272">
        <v>43413.076999999997</v>
      </c>
      <c r="AF389" s="272">
        <v>27928.067000000003</v>
      </c>
      <c r="AG389" s="272">
        <v>27073.791000000001</v>
      </c>
      <c r="AH389" s="272">
        <v>854.27599999999995</v>
      </c>
      <c r="AI389" s="272">
        <v>63003.506000000001</v>
      </c>
      <c r="AJ389" s="272">
        <v>15015.298000000001</v>
      </c>
      <c r="AK389" s="272">
        <v>30720.120999999999</v>
      </c>
      <c r="AL389" s="272">
        <v>16661.266</v>
      </c>
      <c r="AM389" s="272">
        <v>6125.59</v>
      </c>
      <c r="AN389" s="272">
        <v>2071.3829999999998</v>
      </c>
      <c r="AO389" s="272">
        <v>944.64099999999996</v>
      </c>
      <c r="AP389" s="272">
        <v>0</v>
      </c>
      <c r="AQ389" s="272">
        <v>2767.1190000000001</v>
      </c>
      <c r="AR389" s="272">
        <v>-3793.6559999999999</v>
      </c>
      <c r="AS389" s="272">
        <v>375.21</v>
      </c>
      <c r="AT389" s="272">
        <v>0.114</v>
      </c>
      <c r="AU389" s="272">
        <v>-152.76300000000001</v>
      </c>
      <c r="AV389" s="272">
        <v>33936.536</v>
      </c>
      <c r="AW389" s="272">
        <v>13572.352999999999</v>
      </c>
      <c r="AX389" s="272">
        <v>14078.922</v>
      </c>
      <c r="AY389" s="272">
        <v>0</v>
      </c>
      <c r="AZ389" s="272">
        <v>0</v>
      </c>
      <c r="BA389" s="272">
        <v>0</v>
      </c>
      <c r="BB389" s="272">
        <v>0</v>
      </c>
      <c r="BC389" s="272">
        <v>1133.52</v>
      </c>
      <c r="BD389" s="272">
        <v>5151.741</v>
      </c>
      <c r="BE389" s="272">
        <v>-6635.1329999999998</v>
      </c>
      <c r="BF389" s="272">
        <v>-5370.8559999999998</v>
      </c>
      <c r="BG389" s="272">
        <v>-5195.4390000000003</v>
      </c>
      <c r="BH389" s="272">
        <v>-175.417</v>
      </c>
      <c r="BI389" s="272">
        <v>-4251.2</v>
      </c>
      <c r="BJ389" s="272">
        <v>-641.19000000000005</v>
      </c>
      <c r="BK389" s="272">
        <v>-478.46600000000001</v>
      </c>
      <c r="BL389" s="272">
        <v>-43.951000000000001</v>
      </c>
      <c r="BM389" s="272">
        <v>-1220.326</v>
      </c>
      <c r="BN389" s="272">
        <v>27301.402999999998</v>
      </c>
      <c r="BO389" s="272">
        <v>2657.6880000000001</v>
      </c>
      <c r="BP389" s="272">
        <v>860.45699999999999</v>
      </c>
      <c r="BQ389" s="272">
        <v>401.89299999999997</v>
      </c>
      <c r="BR389" s="272">
        <v>0</v>
      </c>
      <c r="BS389" s="272">
        <v>13536.418</v>
      </c>
      <c r="BT389" s="272">
        <v>0</v>
      </c>
      <c r="BU389" s="272">
        <v>0</v>
      </c>
      <c r="BV389" s="272">
        <v>0</v>
      </c>
      <c r="BW389" s="272">
        <v>0</v>
      </c>
      <c r="BX389" s="272">
        <v>8883.4830000000002</v>
      </c>
      <c r="BY389" s="272">
        <v>958.10299999999995</v>
      </c>
      <c r="BZ389" s="272">
        <v>3.3610000000000002</v>
      </c>
      <c r="CA389" s="272">
        <v>3451.4090000000001</v>
      </c>
      <c r="CB389" s="272">
        <v>-1189.2829999999999</v>
      </c>
      <c r="CC389" s="272">
        <v>-163.595</v>
      </c>
      <c r="CD389" s="272">
        <v>-1025.6880000000001</v>
      </c>
      <c r="CE389" s="272">
        <v>2262.1260000000002</v>
      </c>
      <c r="CF389" s="272">
        <v>2015.952</v>
      </c>
      <c r="CG389" s="272">
        <v>50.631</v>
      </c>
      <c r="CH389" s="272">
        <v>195.54300000000001</v>
      </c>
      <c r="CI389" s="272">
        <v>80000.487999999998</v>
      </c>
      <c r="CJ389" s="272">
        <v>9254.4699999999993</v>
      </c>
      <c r="CK389" s="272">
        <v>70746.017999999996</v>
      </c>
      <c r="CL389" s="272">
        <v>43560.544999999998</v>
      </c>
      <c r="CM389" s="272">
        <v>24454.657999999999</v>
      </c>
      <c r="CN389" s="272">
        <v>2730.8150000000001</v>
      </c>
      <c r="CO389" s="272">
        <v>1.6E-2</v>
      </c>
      <c r="CP389" s="272">
        <v>63.930999999999997</v>
      </c>
      <c r="CQ389" s="272">
        <v>2666.8679999999999</v>
      </c>
      <c r="CR389" s="272">
        <v>-31979.698</v>
      </c>
      <c r="CS389" s="272">
        <v>-18629.154999999999</v>
      </c>
      <c r="CT389" s="272">
        <v>-16798.138999999999</v>
      </c>
      <c r="CU389" s="272">
        <v>-412.88200000000001</v>
      </c>
      <c r="CV389" s="272">
        <v>-10.144</v>
      </c>
      <c r="CW389" s="272">
        <v>-1407.99</v>
      </c>
      <c r="CX389" s="272">
        <v>-11978.003000000001</v>
      </c>
      <c r="CY389" s="272">
        <v>-9573.1970000000001</v>
      </c>
      <c r="CZ389" s="272">
        <v>-2271.2449999999999</v>
      </c>
      <c r="DA389" s="272">
        <v>-133.56100000000001</v>
      </c>
      <c r="DB389" s="272">
        <v>-1092.586</v>
      </c>
      <c r="DC389" s="272">
        <v>-279.95400000000001</v>
      </c>
      <c r="DD389" s="272">
        <v>48020.79</v>
      </c>
      <c r="DE389" s="272">
        <v>24928.444</v>
      </c>
      <c r="DF389" s="272">
        <v>23092.346000000001</v>
      </c>
      <c r="DG389" s="272">
        <v>22392.754000000001</v>
      </c>
      <c r="DH389" s="272">
        <v>699.59199999999998</v>
      </c>
      <c r="DI389" s="272">
        <v>19892.561000000002</v>
      </c>
      <c r="DJ389" s="272">
        <v>978.58199999999999</v>
      </c>
      <c r="DK389" s="272">
        <v>303.08999999999997</v>
      </c>
      <c r="DL389" s="272">
        <v>20.036999999999999</v>
      </c>
      <c r="DM389" s="272">
        <v>10326.24</v>
      </c>
      <c r="DN389" s="272">
        <v>7075.4870000000001</v>
      </c>
      <c r="DO389" s="272">
        <v>1187.579</v>
      </c>
      <c r="DP389" s="272"/>
      <c r="DQ389" s="272">
        <v>0</v>
      </c>
      <c r="DR389" s="272">
        <v>1.546</v>
      </c>
      <c r="DS389" s="272">
        <v>-322.61099999999999</v>
      </c>
      <c r="DT389" s="272">
        <v>-75.622</v>
      </c>
      <c r="DU389" s="272">
        <v>-18.099</v>
      </c>
      <c r="DV389" s="272">
        <v>-0.27300000000000002</v>
      </c>
      <c r="DW389" s="272">
        <v>-174.27699999999999</v>
      </c>
      <c r="DX389" s="272">
        <v>-97.078999999999994</v>
      </c>
      <c r="DY389" s="272">
        <v>-24.957999999999998</v>
      </c>
      <c r="DZ389" s="272">
        <v>-52.24</v>
      </c>
      <c r="EA389" s="272">
        <v>-51.798999999999999</v>
      </c>
      <c r="EB389" s="272">
        <v>-0.222</v>
      </c>
      <c r="EC389" s="272"/>
      <c r="ED389" s="272">
        <v>0</v>
      </c>
      <c r="EE389" s="272">
        <v>-2.319</v>
      </c>
      <c r="EF389" s="272">
        <v>19569.95</v>
      </c>
      <c r="EG389" s="272">
        <v>11219.97</v>
      </c>
      <c r="EH389" s="272">
        <v>8349.98</v>
      </c>
      <c r="EI389" s="272">
        <v>8155.42</v>
      </c>
      <c r="EJ389" s="272">
        <v>194.56</v>
      </c>
      <c r="EK389" s="272">
        <v>902.96</v>
      </c>
      <c r="EL389" s="272">
        <v>518.49</v>
      </c>
      <c r="EM389" s="272">
        <v>384.47</v>
      </c>
      <c r="EN389" s="272">
        <v>373.721</v>
      </c>
      <c r="EO389" s="272">
        <v>10.749000000000001</v>
      </c>
      <c r="EP389" s="272">
        <v>284.99099999999999</v>
      </c>
      <c r="EQ389" s="272">
        <v>163.571</v>
      </c>
      <c r="ER389" s="272">
        <v>121.42</v>
      </c>
      <c r="ES389" s="272">
        <v>118.032</v>
      </c>
      <c r="ET389" s="272">
        <v>3.3879999999999999</v>
      </c>
      <c r="EU389" s="272">
        <v>19.763999999999999</v>
      </c>
      <c r="EV389" s="272">
        <v>10.629</v>
      </c>
      <c r="EW389" s="272">
        <v>9.1349999999999998</v>
      </c>
      <c r="EX389" s="272">
        <v>8.8789999999999996</v>
      </c>
      <c r="EY389" s="272">
        <v>0.25600000000000001</v>
      </c>
      <c r="EZ389" s="272">
        <v>10151.963</v>
      </c>
      <c r="FA389" s="272">
        <v>5956.5950000000003</v>
      </c>
      <c r="FB389" s="272">
        <v>4195.3679999999995</v>
      </c>
      <c r="FC389" s="272">
        <v>4077.3359999999998</v>
      </c>
      <c r="FD389" s="272">
        <v>118.032</v>
      </c>
      <c r="FE389" s="272">
        <v>7023.6880000000001</v>
      </c>
      <c r="FF389" s="272">
        <v>4537.1819999999998</v>
      </c>
      <c r="FG389" s="272">
        <v>2486.5060000000003</v>
      </c>
      <c r="FH389" s="272">
        <v>2424.3710000000001</v>
      </c>
      <c r="FI389" s="272">
        <v>62.134999999999998</v>
      </c>
      <c r="FJ389" s="272">
        <v>1187.357</v>
      </c>
      <c r="FK389" s="272">
        <v>34.276000000000003</v>
      </c>
      <c r="FL389" s="272">
        <v>1153.0809999999999</v>
      </c>
      <c r="FM389" s="272">
        <v>1153.0809999999999</v>
      </c>
      <c r="FN389" s="272"/>
      <c r="FO389" s="272"/>
      <c r="FP389" s="272">
        <v>0</v>
      </c>
      <c r="FQ389" s="272">
        <v>-0.77300000000000002</v>
      </c>
      <c r="FR389" s="272">
        <v>5149.1189999999997</v>
      </c>
      <c r="FS389" s="272">
        <v>-191.21700000000001</v>
      </c>
      <c r="FT389" s="272">
        <v>4957.902</v>
      </c>
      <c r="FU389" s="272">
        <v>0</v>
      </c>
      <c r="FV389" s="272">
        <v>0</v>
      </c>
      <c r="FW389" s="272">
        <v>0</v>
      </c>
      <c r="FX389" s="272">
        <v>1566.05</v>
      </c>
      <c r="FY389" s="272">
        <v>1501.702</v>
      </c>
      <c r="FZ389" s="272"/>
      <c r="GA389" s="272"/>
      <c r="GB389" s="272">
        <v>0</v>
      </c>
      <c r="GC389" s="272">
        <v>1021.831</v>
      </c>
      <c r="GD389" s="272">
        <v>321.92500000000001</v>
      </c>
      <c r="GE389" s="272">
        <v>0</v>
      </c>
      <c r="GF389" s="272">
        <v>699.90599999999995</v>
      </c>
      <c r="GG389" s="272">
        <v>868.31899999999996</v>
      </c>
      <c r="GH389" s="272">
        <v>106.846</v>
      </c>
      <c r="GI389" s="272">
        <v>18.013000000000002</v>
      </c>
      <c r="GJ389" s="272">
        <v>743.46</v>
      </c>
    </row>
    <row r="390" spans="1:192">
      <c r="A390" s="270" t="s">
        <v>27</v>
      </c>
      <c r="B390" s="271"/>
      <c r="C390" s="271"/>
      <c r="D390" s="272">
        <v>205319.79399999999</v>
      </c>
      <c r="E390" s="272">
        <v>-61048.485999999997</v>
      </c>
      <c r="F390" s="272">
        <v>-247.90700000000001</v>
      </c>
      <c r="G390" s="272">
        <v>144023.40100000001</v>
      </c>
      <c r="H390" s="272">
        <v>83601.483999999997</v>
      </c>
      <c r="I390" s="272">
        <v>60421.917000000001</v>
      </c>
      <c r="J390" s="272">
        <v>58622.955999999998</v>
      </c>
      <c r="K390" s="272">
        <v>1798.961</v>
      </c>
      <c r="L390" s="272">
        <v>78857.831999999995</v>
      </c>
      <c r="M390" s="272">
        <v>61134.207000000002</v>
      </c>
      <c r="N390" s="272">
        <v>7140.1040000000003</v>
      </c>
      <c r="O390" s="272">
        <v>0</v>
      </c>
      <c r="P390" s="272">
        <v>0</v>
      </c>
      <c r="Q390" s="272">
        <v>375.11799999999999</v>
      </c>
      <c r="R390" s="272">
        <v>10208.403</v>
      </c>
      <c r="S390" s="272">
        <v>-14753.001</v>
      </c>
      <c r="T390" s="272">
        <v>-14541.852999999999</v>
      </c>
      <c r="U390" s="272">
        <v>-1581.7550000000001</v>
      </c>
      <c r="V390" s="272">
        <v>-178.88399999999999</v>
      </c>
      <c r="W390" s="272">
        <v>-12169.26</v>
      </c>
      <c r="X390" s="272">
        <v>-308.55599999999998</v>
      </c>
      <c r="Y390" s="272">
        <v>-303.39800000000002</v>
      </c>
      <c r="Z390" s="272">
        <v>-118.932</v>
      </c>
      <c r="AA390" s="272">
        <v>-92.215999999999994</v>
      </c>
      <c r="AB390" s="272">
        <v>0</v>
      </c>
      <c r="AC390" s="272">
        <v>-247.90700000000001</v>
      </c>
      <c r="AD390" s="272">
        <v>63856.923999999999</v>
      </c>
      <c r="AE390" s="272">
        <v>30432.291000000001</v>
      </c>
      <c r="AF390" s="272">
        <v>33424.633000000002</v>
      </c>
      <c r="AG390" s="272">
        <v>32392.593000000001</v>
      </c>
      <c r="AH390" s="272">
        <v>1032.04</v>
      </c>
      <c r="AI390" s="272">
        <v>61067.947</v>
      </c>
      <c r="AJ390" s="272">
        <v>16198.054</v>
      </c>
      <c r="AK390" s="272">
        <v>29268.268</v>
      </c>
      <c r="AL390" s="272">
        <v>14497.335999999999</v>
      </c>
      <c r="AM390" s="272">
        <v>5472.8909999999996</v>
      </c>
      <c r="AN390" s="272">
        <v>2005.8140000000001</v>
      </c>
      <c r="AO390" s="272">
        <v>464.50700000000001</v>
      </c>
      <c r="AP390" s="272">
        <v>0</v>
      </c>
      <c r="AQ390" s="272">
        <v>2239.2310000000002</v>
      </c>
      <c r="AR390" s="272">
        <v>-7401.7489999999998</v>
      </c>
      <c r="AS390" s="272">
        <v>256.18599999999998</v>
      </c>
      <c r="AT390" s="272">
        <v>4.0000000000000001E-3</v>
      </c>
      <c r="AU390" s="272">
        <v>-247.90700000000001</v>
      </c>
      <c r="AV390" s="272">
        <v>28150.388999999999</v>
      </c>
      <c r="AW390" s="272">
        <v>13083.679</v>
      </c>
      <c r="AX390" s="272">
        <v>9141.0630000000001</v>
      </c>
      <c r="AY390" s="272">
        <v>0</v>
      </c>
      <c r="AZ390" s="272">
        <v>0</v>
      </c>
      <c r="BA390" s="272">
        <v>0</v>
      </c>
      <c r="BB390" s="272">
        <v>0</v>
      </c>
      <c r="BC390" s="272">
        <v>1142.2239999999999</v>
      </c>
      <c r="BD390" s="272">
        <v>4783.4229999999998</v>
      </c>
      <c r="BE390" s="272">
        <v>-7961.9350000000004</v>
      </c>
      <c r="BF390" s="272">
        <v>-6514.3469999999998</v>
      </c>
      <c r="BG390" s="272">
        <v>-5786.4179999999997</v>
      </c>
      <c r="BH390" s="272">
        <v>-727.92899999999997</v>
      </c>
      <c r="BI390" s="272">
        <v>-4306.7879999999996</v>
      </c>
      <c r="BJ390" s="272">
        <v>-1302.6179999999999</v>
      </c>
      <c r="BK390" s="272">
        <v>-904.94099999999958</v>
      </c>
      <c r="BL390" s="272">
        <v>-33.619999999999997</v>
      </c>
      <c r="BM390" s="272">
        <v>-1413.9680000000001</v>
      </c>
      <c r="BN390" s="272">
        <v>20188.454000000002</v>
      </c>
      <c r="BO390" s="272">
        <v>2351.0529999999999</v>
      </c>
      <c r="BP390" s="272">
        <v>808.71699999999998</v>
      </c>
      <c r="BQ390" s="272">
        <v>197.65100000000001</v>
      </c>
      <c r="BR390" s="272">
        <v>0</v>
      </c>
      <c r="BS390" s="272">
        <v>13060.49</v>
      </c>
      <c r="BT390" s="272">
        <v>0</v>
      </c>
      <c r="BU390" s="272">
        <v>0</v>
      </c>
      <c r="BV390" s="272">
        <v>0</v>
      </c>
      <c r="BW390" s="272">
        <v>0</v>
      </c>
      <c r="BX390" s="272">
        <v>3354.645</v>
      </c>
      <c r="BY390" s="272">
        <v>414.29500000000002</v>
      </c>
      <c r="BZ390" s="272">
        <v>1.603</v>
      </c>
      <c r="CA390" s="272">
        <v>3716.6529999999998</v>
      </c>
      <c r="CB390" s="272">
        <v>-1374.992</v>
      </c>
      <c r="CC390" s="272">
        <v>-186.297</v>
      </c>
      <c r="CD390" s="272">
        <v>-1188.6949999999999</v>
      </c>
      <c r="CE390" s="272">
        <v>2341.6610000000001</v>
      </c>
      <c r="CF390" s="272">
        <v>2122.4760000000001</v>
      </c>
      <c r="CG390" s="272">
        <v>38.338999999999999</v>
      </c>
      <c r="CH390" s="272">
        <v>180.846</v>
      </c>
      <c r="CI390" s="272">
        <v>69892.793000000005</v>
      </c>
      <c r="CJ390" s="272">
        <v>6253.2870000000003</v>
      </c>
      <c r="CK390" s="272">
        <v>63639.506000000001</v>
      </c>
      <c r="CL390" s="272">
        <v>39348.112999999998</v>
      </c>
      <c r="CM390" s="272">
        <v>20734.562000000002</v>
      </c>
      <c r="CN390" s="272">
        <v>3556.8310000000001</v>
      </c>
      <c r="CO390" s="272">
        <v>11.111000000000001</v>
      </c>
      <c r="CP390" s="272">
        <v>3.444</v>
      </c>
      <c r="CQ390" s="272">
        <v>3542.2759999999998</v>
      </c>
      <c r="CR390" s="272">
        <v>-36326.142</v>
      </c>
      <c r="CS390" s="272">
        <v>-19882.740000000002</v>
      </c>
      <c r="CT390" s="272">
        <v>-17696.524000000001</v>
      </c>
      <c r="CU390" s="272">
        <v>-348.37299999999999</v>
      </c>
      <c r="CV390" s="272">
        <v>-18.536999999999999</v>
      </c>
      <c r="CW390" s="272">
        <v>-1819.306</v>
      </c>
      <c r="CX390" s="272">
        <v>-15486.097</v>
      </c>
      <c r="CY390" s="272">
        <v>-13001.227000000001</v>
      </c>
      <c r="CZ390" s="272">
        <v>-2407.9470000000001</v>
      </c>
      <c r="DA390" s="272">
        <v>-76.923000000000002</v>
      </c>
      <c r="DB390" s="272">
        <v>-768.91099999999994</v>
      </c>
      <c r="DC390" s="272">
        <v>-188.39400000000001</v>
      </c>
      <c r="DD390" s="272">
        <v>33566.650999999998</v>
      </c>
      <c r="DE390" s="272">
        <v>15777.659</v>
      </c>
      <c r="DF390" s="272">
        <v>17788.992000000002</v>
      </c>
      <c r="DG390" s="272">
        <v>17245.598000000002</v>
      </c>
      <c r="DH390" s="272">
        <v>543.39400000000001</v>
      </c>
      <c r="DI390" s="272">
        <v>19772.123</v>
      </c>
      <c r="DJ390" s="272">
        <v>871.12</v>
      </c>
      <c r="DK390" s="272">
        <v>294.36599999999999</v>
      </c>
      <c r="DL390" s="272">
        <v>18.396999999999998</v>
      </c>
      <c r="DM390" s="272">
        <v>10094.41</v>
      </c>
      <c r="DN390" s="272">
        <v>7221.5550000000003</v>
      </c>
      <c r="DO390" s="272">
        <v>1271.3689999999999</v>
      </c>
      <c r="DP390" s="272"/>
      <c r="DQ390" s="272">
        <v>0</v>
      </c>
      <c r="DR390" s="272">
        <v>0.90600000000000003</v>
      </c>
      <c r="DS390" s="272">
        <v>-423.10199999999998</v>
      </c>
      <c r="DT390" s="272">
        <v>-68.701999999999998</v>
      </c>
      <c r="DU390" s="272">
        <v>-17.707000000000001</v>
      </c>
      <c r="DV390" s="272">
        <v>-0.19800000000000001</v>
      </c>
      <c r="DW390" s="272">
        <v>-243.131</v>
      </c>
      <c r="DX390" s="272">
        <v>-124.21899999999999</v>
      </c>
      <c r="DY390" s="272">
        <v>-42.567999999999998</v>
      </c>
      <c r="DZ390" s="272">
        <v>-76.343999999999994</v>
      </c>
      <c r="EA390" s="272">
        <v>-90.548000000000002</v>
      </c>
      <c r="EB390" s="272">
        <v>-0.64700000000000002</v>
      </c>
      <c r="EC390" s="272"/>
      <c r="ED390" s="272">
        <v>0</v>
      </c>
      <c r="EE390" s="272">
        <v>-2.169</v>
      </c>
      <c r="EF390" s="272">
        <v>19349.021000000001</v>
      </c>
      <c r="EG390" s="272">
        <v>10140.728999999999</v>
      </c>
      <c r="EH390" s="272">
        <v>9208.2919999999995</v>
      </c>
      <c r="EI390" s="272">
        <v>8984.7649999999994</v>
      </c>
      <c r="EJ390" s="272">
        <v>223.52699999999999</v>
      </c>
      <c r="EK390" s="272">
        <v>802.41800000000001</v>
      </c>
      <c r="EL390" s="272">
        <v>457.76499999999999</v>
      </c>
      <c r="EM390" s="272">
        <v>344.65300000000002</v>
      </c>
      <c r="EN390" s="272">
        <v>334.88499999999999</v>
      </c>
      <c r="EO390" s="272">
        <v>9.7680000000000007</v>
      </c>
      <c r="EP390" s="272">
        <v>276.65899999999999</v>
      </c>
      <c r="EQ390" s="272">
        <v>155.28</v>
      </c>
      <c r="ER390" s="272">
        <v>121.379</v>
      </c>
      <c r="ES390" s="272">
        <v>117.949</v>
      </c>
      <c r="ET390" s="272">
        <v>3.43</v>
      </c>
      <c r="EU390" s="272">
        <v>18.199000000000002</v>
      </c>
      <c r="EV390" s="272">
        <v>9.9190000000000005</v>
      </c>
      <c r="EW390" s="272">
        <v>8.2799999999999994</v>
      </c>
      <c r="EX390" s="272">
        <v>8.0449999999999999</v>
      </c>
      <c r="EY390" s="272">
        <v>0.23499999999999999</v>
      </c>
      <c r="EZ390" s="272">
        <v>9851.2790000000005</v>
      </c>
      <c r="FA390" s="272">
        <v>5637.2179999999998</v>
      </c>
      <c r="FB390" s="272">
        <v>4214.0609999999997</v>
      </c>
      <c r="FC390" s="272">
        <v>4092.998</v>
      </c>
      <c r="FD390" s="272">
        <v>121.063</v>
      </c>
      <c r="FE390" s="272">
        <v>7131.0069999999996</v>
      </c>
      <c r="FF390" s="272">
        <v>3904.8629999999998</v>
      </c>
      <c r="FG390" s="272">
        <v>3226.1439999999998</v>
      </c>
      <c r="FH390" s="272">
        <v>3137.1129999999998</v>
      </c>
      <c r="FI390" s="272">
        <v>89.031000000000006</v>
      </c>
      <c r="FJ390" s="272">
        <v>1270.722</v>
      </c>
      <c r="FK390" s="272">
        <v>-23.053000000000001</v>
      </c>
      <c r="FL390" s="272">
        <v>1293.7750000000001</v>
      </c>
      <c r="FM390" s="272">
        <v>1293.7750000000001</v>
      </c>
      <c r="FN390" s="272"/>
      <c r="FO390" s="272"/>
      <c r="FP390" s="272">
        <v>0</v>
      </c>
      <c r="FQ390" s="272">
        <v>-1.2629999999999999</v>
      </c>
      <c r="FR390" s="272">
        <v>4930.0039999999999</v>
      </c>
      <c r="FS390" s="272">
        <v>-209.31399999999999</v>
      </c>
      <c r="FT390" s="272">
        <v>4720.6899999999996</v>
      </c>
      <c r="FU390" s="272">
        <v>0</v>
      </c>
      <c r="FV390" s="272">
        <v>0</v>
      </c>
      <c r="FW390" s="272">
        <v>0</v>
      </c>
      <c r="FX390" s="272">
        <v>1318.5350000000001</v>
      </c>
      <c r="FY390" s="272">
        <v>1406.097</v>
      </c>
      <c r="FZ390" s="272"/>
      <c r="GA390" s="272"/>
      <c r="GB390" s="272">
        <v>0</v>
      </c>
      <c r="GC390" s="272">
        <v>1062.5319999999999</v>
      </c>
      <c r="GD390" s="272">
        <v>315.71800000000002</v>
      </c>
      <c r="GE390" s="272">
        <v>0</v>
      </c>
      <c r="GF390" s="272">
        <v>746.81399999999996</v>
      </c>
      <c r="GG390" s="272">
        <v>933.52599999999995</v>
      </c>
      <c r="GH390" s="272">
        <v>74.11</v>
      </c>
      <c r="GI390" s="272">
        <v>14.747999999999999</v>
      </c>
      <c r="GJ390" s="272">
        <v>844.66800000000001</v>
      </c>
    </row>
    <row r="391" spans="1:192">
      <c r="A391" s="270" t="s">
        <v>28</v>
      </c>
      <c r="B391" s="271"/>
      <c r="C391" s="271"/>
      <c r="D391" s="272">
        <v>209075.908</v>
      </c>
      <c r="E391" s="272">
        <v>-49280.326000000001</v>
      </c>
      <c r="F391" s="272">
        <v>-259.34500000000003</v>
      </c>
      <c r="G391" s="272">
        <v>159536.23699999999</v>
      </c>
      <c r="H391" s="272">
        <v>111824.38499999999</v>
      </c>
      <c r="I391" s="272">
        <v>47711.851999999999</v>
      </c>
      <c r="J391" s="272">
        <v>46264.163999999997</v>
      </c>
      <c r="K391" s="272">
        <v>1447.6880000000001</v>
      </c>
      <c r="L391" s="272">
        <v>81101.91</v>
      </c>
      <c r="M391" s="272">
        <v>64236.673999999999</v>
      </c>
      <c r="N391" s="272">
        <v>6767.7190000000001</v>
      </c>
      <c r="O391" s="272">
        <v>5828.6980000000003</v>
      </c>
      <c r="P391" s="272">
        <v>939.02099999999996</v>
      </c>
      <c r="Q391" s="272">
        <v>579.08500000000004</v>
      </c>
      <c r="R391" s="272">
        <v>9518.4320000000007</v>
      </c>
      <c r="S391" s="272">
        <v>-13865.507</v>
      </c>
      <c r="T391" s="272">
        <v>-13698.325000000001</v>
      </c>
      <c r="U391" s="272">
        <v>-1599.4639999999999</v>
      </c>
      <c r="V391" s="272">
        <v>-186.52099999999999</v>
      </c>
      <c r="W391" s="272">
        <v>-11310.116</v>
      </c>
      <c r="X391" s="272">
        <v>-309.64100000000002</v>
      </c>
      <c r="Y391" s="272">
        <v>-292.58300000000003</v>
      </c>
      <c r="Z391" s="272">
        <v>-90.394999999999996</v>
      </c>
      <c r="AA391" s="272">
        <v>-76.787000000000006</v>
      </c>
      <c r="AB391" s="272">
        <v>0</v>
      </c>
      <c r="AC391" s="272">
        <v>-259.34500000000003</v>
      </c>
      <c r="AD391" s="272">
        <v>66977.058000000005</v>
      </c>
      <c r="AE391" s="272">
        <v>39326.250999999997</v>
      </c>
      <c r="AF391" s="272">
        <v>27650.807000000001</v>
      </c>
      <c r="AG391" s="272">
        <v>26815.673999999999</v>
      </c>
      <c r="AH391" s="272">
        <v>835.13300000000004</v>
      </c>
      <c r="AI391" s="272">
        <v>64173.756000000001</v>
      </c>
      <c r="AJ391" s="272">
        <v>18032.217000000001</v>
      </c>
      <c r="AK391" s="272">
        <v>29981.634999999998</v>
      </c>
      <c r="AL391" s="272">
        <v>14830.855</v>
      </c>
      <c r="AM391" s="272">
        <v>4790.0649999999996</v>
      </c>
      <c r="AN391" s="272">
        <v>2017.201</v>
      </c>
      <c r="AO391" s="272">
        <v>405.21899999999999</v>
      </c>
      <c r="AP391" s="272">
        <v>0</v>
      </c>
      <c r="AQ391" s="272">
        <v>2292.5390000000002</v>
      </c>
      <c r="AR391" s="272">
        <v>-6930.6059999999998</v>
      </c>
      <c r="AS391" s="272">
        <v>488.69</v>
      </c>
      <c r="AT391" s="272">
        <v>-0.46100000000000002</v>
      </c>
      <c r="AU391" s="272">
        <v>-259.34500000000003</v>
      </c>
      <c r="AV391" s="272">
        <v>23863.33</v>
      </c>
      <c r="AW391" s="272">
        <v>10441.136</v>
      </c>
      <c r="AX391" s="272">
        <v>6651.5129999999999</v>
      </c>
      <c r="AY391" s="272">
        <v>2360.4029999999998</v>
      </c>
      <c r="AZ391" s="272">
        <v>1366.4659999999999</v>
      </c>
      <c r="BA391" s="272">
        <v>2191.2890000000002</v>
      </c>
      <c r="BB391" s="272">
        <v>733.35500000000002</v>
      </c>
      <c r="BC391" s="272">
        <v>1953.107</v>
      </c>
      <c r="BD391" s="272">
        <v>4817.5739999999996</v>
      </c>
      <c r="BE391" s="272">
        <v>-7665.5630000000001</v>
      </c>
      <c r="BF391" s="272">
        <v>-5853.75</v>
      </c>
      <c r="BG391" s="272">
        <v>-5223.5469999999996</v>
      </c>
      <c r="BH391" s="272">
        <v>-630.20299999999997</v>
      </c>
      <c r="BI391" s="272">
        <v>-3812.82</v>
      </c>
      <c r="BJ391" s="272">
        <v>-1540.4929999999999</v>
      </c>
      <c r="BK391" s="272">
        <v>-500.43699999999995</v>
      </c>
      <c r="BL391" s="272">
        <v>-22.628</v>
      </c>
      <c r="BM391" s="272">
        <v>-1789.1849999999999</v>
      </c>
      <c r="BN391" s="272">
        <v>16197.767</v>
      </c>
      <c r="BO391" s="272">
        <v>2047.529</v>
      </c>
      <c r="BP391" s="272">
        <v>801.98500000000001</v>
      </c>
      <c r="BQ391" s="272">
        <v>172.40700000000001</v>
      </c>
      <c r="BR391" s="272">
        <v>0</v>
      </c>
      <c r="BS391" s="272">
        <v>10423.493</v>
      </c>
      <c r="BT391" s="272">
        <v>3436.1170000000002</v>
      </c>
      <c r="BU391" s="272">
        <v>4581.6570000000002</v>
      </c>
      <c r="BV391" s="272">
        <v>2188.0030000000002</v>
      </c>
      <c r="BW391" s="272">
        <v>217.71600000000001</v>
      </c>
      <c r="BX391" s="272">
        <v>1427.9659999999999</v>
      </c>
      <c r="BY391" s="272">
        <v>1322.904</v>
      </c>
      <c r="BZ391" s="272">
        <v>1.4830000000000001</v>
      </c>
      <c r="CA391" s="272">
        <v>4167.723</v>
      </c>
      <c r="CB391" s="272">
        <v>-1603.7560000000001</v>
      </c>
      <c r="CC391" s="272">
        <v>-130.96600000000001</v>
      </c>
      <c r="CD391" s="272">
        <v>-1472.79</v>
      </c>
      <c r="CE391" s="272">
        <v>2563.9670000000001</v>
      </c>
      <c r="CF391" s="272">
        <v>2162.0509999999999</v>
      </c>
      <c r="CG391" s="272">
        <v>33.869</v>
      </c>
      <c r="CH391" s="272">
        <v>368.04700000000003</v>
      </c>
      <c r="CI391" s="272">
        <v>74349.724000000002</v>
      </c>
      <c r="CJ391" s="272">
        <v>7842.607</v>
      </c>
      <c r="CK391" s="272">
        <v>66507.116999999998</v>
      </c>
      <c r="CL391" s="272">
        <v>41834.212</v>
      </c>
      <c r="CM391" s="272">
        <v>20216.918000000001</v>
      </c>
      <c r="CN391" s="272">
        <v>4455.9870000000001</v>
      </c>
      <c r="CO391" s="272">
        <v>1.2569999999999999</v>
      </c>
      <c r="CP391" s="272">
        <v>156.95400000000001</v>
      </c>
      <c r="CQ391" s="272">
        <v>4297.7759999999998</v>
      </c>
      <c r="CR391" s="272">
        <v>-25263.37</v>
      </c>
      <c r="CS391" s="272">
        <v>-8215.5910000000003</v>
      </c>
      <c r="CT391" s="272">
        <v>-6341.8649999999998</v>
      </c>
      <c r="CU391" s="272">
        <v>-657.90599999999995</v>
      </c>
      <c r="CV391" s="272">
        <v>-12.855</v>
      </c>
      <c r="CW391" s="272">
        <v>-1202.9649999999999</v>
      </c>
      <c r="CX391" s="272">
        <v>-15748.989</v>
      </c>
      <c r="CY391" s="272">
        <v>-12021.999</v>
      </c>
      <c r="CZ391" s="272">
        <v>-3673.95</v>
      </c>
      <c r="DA391" s="272">
        <v>-53.04</v>
      </c>
      <c r="DB391" s="272">
        <v>-1038.25</v>
      </c>
      <c r="DC391" s="272">
        <v>-260.54000000000002</v>
      </c>
      <c r="DD391" s="272">
        <v>49086.353999999999</v>
      </c>
      <c r="DE391" s="272">
        <v>38493.14</v>
      </c>
      <c r="DF391" s="272">
        <v>10593.214</v>
      </c>
      <c r="DG391" s="272">
        <v>10207.448</v>
      </c>
      <c r="DH391" s="272">
        <v>385.76600000000002</v>
      </c>
      <c r="DI391" s="272">
        <v>20270.021000000001</v>
      </c>
      <c r="DJ391" s="272">
        <v>872.39300000000003</v>
      </c>
      <c r="DK391" s="272">
        <v>298.56900000000002</v>
      </c>
      <c r="DL391" s="272">
        <v>18.196000000000002</v>
      </c>
      <c r="DM391" s="272">
        <v>10161.023999999999</v>
      </c>
      <c r="DN391" s="272">
        <v>7540.9719999999998</v>
      </c>
      <c r="DO391" s="272">
        <v>1377.914</v>
      </c>
      <c r="DP391" s="272"/>
      <c r="DQ391" s="272">
        <v>0</v>
      </c>
      <c r="DR391" s="272">
        <v>0.95299999999999996</v>
      </c>
      <c r="DS391" s="272">
        <v>-463.822</v>
      </c>
      <c r="DT391" s="272">
        <v>-62.427999999999997</v>
      </c>
      <c r="DU391" s="272">
        <v>-19.815999999999999</v>
      </c>
      <c r="DV391" s="272">
        <v>-0.157</v>
      </c>
      <c r="DW391" s="272">
        <v>-248.09899999999999</v>
      </c>
      <c r="DX391" s="272">
        <v>-95.134</v>
      </c>
      <c r="DY391" s="272">
        <v>-102.259</v>
      </c>
      <c r="DZ391" s="272">
        <v>-50.706000000000003</v>
      </c>
      <c r="EA391" s="272">
        <v>-118.005</v>
      </c>
      <c r="EB391" s="272">
        <v>-14.500999999999999</v>
      </c>
      <c r="EC391" s="272"/>
      <c r="ED391" s="272">
        <v>0</v>
      </c>
      <c r="EE391" s="272">
        <v>-0.81599999999999995</v>
      </c>
      <c r="EF391" s="272">
        <v>19806.199000000001</v>
      </c>
      <c r="EG391" s="272">
        <v>10338.368</v>
      </c>
      <c r="EH391" s="272">
        <v>9467.8310000000001</v>
      </c>
      <c r="EI391" s="272">
        <v>9241.0419999999995</v>
      </c>
      <c r="EJ391" s="272">
        <v>226.78899999999999</v>
      </c>
      <c r="EK391" s="272">
        <v>809.96500000000003</v>
      </c>
      <c r="EL391" s="272">
        <v>528.23099999999999</v>
      </c>
      <c r="EM391" s="272">
        <v>281.73399999999998</v>
      </c>
      <c r="EN391" s="272">
        <v>273.77</v>
      </c>
      <c r="EO391" s="272">
        <v>7.9640000000000004</v>
      </c>
      <c r="EP391" s="272">
        <v>278.75299999999999</v>
      </c>
      <c r="EQ391" s="272">
        <v>176.381</v>
      </c>
      <c r="ER391" s="272">
        <v>102.372</v>
      </c>
      <c r="ES391" s="272">
        <v>99.492000000000004</v>
      </c>
      <c r="ET391" s="272">
        <v>2.88</v>
      </c>
      <c r="EU391" s="272">
        <v>18.039000000000001</v>
      </c>
      <c r="EV391" s="272">
        <v>11.922000000000001</v>
      </c>
      <c r="EW391" s="272">
        <v>6.117</v>
      </c>
      <c r="EX391" s="272">
        <v>5.9450000000000003</v>
      </c>
      <c r="EY391" s="272">
        <v>0.17199999999999999</v>
      </c>
      <c r="EZ391" s="272">
        <v>9912.9249999999993</v>
      </c>
      <c r="FA391" s="272">
        <v>5889.1890000000003</v>
      </c>
      <c r="FB391" s="272">
        <v>4023.7359999999999</v>
      </c>
      <c r="FC391" s="272">
        <v>3909.0819999999999</v>
      </c>
      <c r="FD391" s="272">
        <v>114.654</v>
      </c>
      <c r="FE391" s="272">
        <v>7422.9669999999996</v>
      </c>
      <c r="FF391" s="272">
        <v>3788.3490000000002</v>
      </c>
      <c r="FG391" s="272">
        <v>3634.6179999999999</v>
      </c>
      <c r="FH391" s="272">
        <v>3533.4989999999998</v>
      </c>
      <c r="FI391" s="272">
        <v>101.119</v>
      </c>
      <c r="FJ391" s="272">
        <v>1363.413</v>
      </c>
      <c r="FK391" s="272">
        <v>-55.841000000000001</v>
      </c>
      <c r="FL391" s="272">
        <v>1419.2539999999999</v>
      </c>
      <c r="FM391" s="272">
        <v>1419.2539999999999</v>
      </c>
      <c r="FN391" s="272"/>
      <c r="FO391" s="272"/>
      <c r="FP391" s="272">
        <v>0</v>
      </c>
      <c r="FQ391" s="272">
        <v>0.13700000000000001</v>
      </c>
      <c r="FR391" s="272">
        <v>5323.2</v>
      </c>
      <c r="FS391" s="272">
        <v>-418.30799999999999</v>
      </c>
      <c r="FT391" s="272">
        <v>4904.8919999999998</v>
      </c>
      <c r="FU391" s="272">
        <v>0</v>
      </c>
      <c r="FV391" s="272">
        <v>0</v>
      </c>
      <c r="FW391" s="272">
        <v>0</v>
      </c>
      <c r="FX391" s="272">
        <v>1521.59</v>
      </c>
      <c r="FY391" s="272">
        <v>1435.0039999999999</v>
      </c>
      <c r="FZ391" s="272"/>
      <c r="GA391" s="272"/>
      <c r="GB391" s="272">
        <v>0</v>
      </c>
      <c r="GC391" s="272">
        <v>781.88099999999997</v>
      </c>
      <c r="GD391" s="272">
        <v>64.736999999999995</v>
      </c>
      <c r="GE391" s="272">
        <v>0</v>
      </c>
      <c r="GF391" s="272">
        <v>717.14400000000001</v>
      </c>
      <c r="GG391" s="272">
        <v>1166.4169999999999</v>
      </c>
      <c r="GH391" s="272">
        <v>88.466999999999999</v>
      </c>
      <c r="GI391" s="272">
        <v>44.103000000000002</v>
      </c>
      <c r="GJ391" s="272">
        <v>1033.847</v>
      </c>
    </row>
    <row r="392" spans="1:192">
      <c r="A392" s="270" t="s">
        <v>29</v>
      </c>
      <c r="B392" s="271"/>
      <c r="C392" s="271"/>
      <c r="D392" s="272">
        <v>209908.89499999999</v>
      </c>
      <c r="E392" s="272">
        <v>-47806.697</v>
      </c>
      <c r="F392" s="272">
        <v>-342.20400000000001</v>
      </c>
      <c r="G392" s="272">
        <v>161759.99400000001</v>
      </c>
      <c r="H392" s="272">
        <v>88905.100999999995</v>
      </c>
      <c r="I392" s="272">
        <v>72854.892999999996</v>
      </c>
      <c r="J392" s="272">
        <v>71362.558999999994</v>
      </c>
      <c r="K392" s="272">
        <v>1492.3340000000001</v>
      </c>
      <c r="L392" s="272">
        <v>82266.411999999997</v>
      </c>
      <c r="M392" s="272">
        <v>64929.529000000002</v>
      </c>
      <c r="N392" s="272">
        <v>7071.4769999999999</v>
      </c>
      <c r="O392" s="272">
        <v>6180.607</v>
      </c>
      <c r="P392" s="272">
        <v>890.87</v>
      </c>
      <c r="Q392" s="272">
        <v>580.44600000000003</v>
      </c>
      <c r="R392" s="272">
        <v>9684.9599999999991</v>
      </c>
      <c r="S392" s="272">
        <v>-12120.888999999999</v>
      </c>
      <c r="T392" s="272">
        <v>-11968.391</v>
      </c>
      <c r="U392" s="272">
        <v>-681.08</v>
      </c>
      <c r="V392" s="272">
        <v>-170.512</v>
      </c>
      <c r="W392" s="272">
        <v>-10431.58</v>
      </c>
      <c r="X392" s="272">
        <v>-353.68599999999998</v>
      </c>
      <c r="Y392" s="272">
        <v>-331.53300000000002</v>
      </c>
      <c r="Z392" s="272">
        <v>-56.445</v>
      </c>
      <c r="AA392" s="272">
        <v>-96.052999999999997</v>
      </c>
      <c r="AB392" s="272">
        <v>0</v>
      </c>
      <c r="AC392" s="272">
        <v>-342.20400000000001</v>
      </c>
      <c r="AD392" s="272">
        <v>69803.319000000003</v>
      </c>
      <c r="AE392" s="272">
        <v>33544.601000000002</v>
      </c>
      <c r="AF392" s="272">
        <v>36258.718000000001</v>
      </c>
      <c r="AG392" s="272">
        <v>35477.767</v>
      </c>
      <c r="AH392" s="272">
        <v>780.95100000000002</v>
      </c>
      <c r="AI392" s="272">
        <v>64874.811999999998</v>
      </c>
      <c r="AJ392" s="272">
        <v>17980.416000000001</v>
      </c>
      <c r="AK392" s="272">
        <v>30498.63</v>
      </c>
      <c r="AL392" s="272">
        <v>14750.822</v>
      </c>
      <c r="AM392" s="272">
        <v>5157.4399999999996</v>
      </c>
      <c r="AN392" s="272">
        <v>1990.462</v>
      </c>
      <c r="AO392" s="272">
        <v>337.53199999999998</v>
      </c>
      <c r="AP392" s="272">
        <v>0</v>
      </c>
      <c r="AQ392" s="272">
        <v>2158.19</v>
      </c>
      <c r="AR392" s="272">
        <v>-4896.9139999999998</v>
      </c>
      <c r="AS392" s="272">
        <v>524.00099999999998</v>
      </c>
      <c r="AT392" s="272">
        <v>0</v>
      </c>
      <c r="AU392" s="272">
        <v>-342.20400000000001</v>
      </c>
      <c r="AV392" s="272">
        <v>22719.323</v>
      </c>
      <c r="AW392" s="272">
        <v>9652.1859999999997</v>
      </c>
      <c r="AX392" s="272">
        <v>5715.8720000000003</v>
      </c>
      <c r="AY392" s="272">
        <v>2117.527</v>
      </c>
      <c r="AZ392" s="272">
        <v>1067.2639999999999</v>
      </c>
      <c r="BA392" s="272">
        <v>2012.2533200000003</v>
      </c>
      <c r="BB392" s="272">
        <v>518.82767999999965</v>
      </c>
      <c r="BC392" s="272">
        <v>2155.558</v>
      </c>
      <c r="BD392" s="272">
        <v>5195.7070000000003</v>
      </c>
      <c r="BE392" s="272">
        <v>-6108.6360000000004</v>
      </c>
      <c r="BF392" s="272">
        <v>-4038.2750000000001</v>
      </c>
      <c r="BG392" s="272">
        <v>-3637.9380000000001</v>
      </c>
      <c r="BH392" s="272">
        <v>-400.33699999999999</v>
      </c>
      <c r="BI392" s="272">
        <v>-2157.7849999999999</v>
      </c>
      <c r="BJ392" s="272">
        <v>-1210.2650000000001</v>
      </c>
      <c r="BK392" s="272">
        <v>-670.22500000000002</v>
      </c>
      <c r="BL392" s="272">
        <v>-34.584000000000003</v>
      </c>
      <c r="BM392" s="272">
        <v>-2035.777</v>
      </c>
      <c r="BN392" s="272">
        <v>16610.687000000002</v>
      </c>
      <c r="BO392" s="272">
        <v>2216.931</v>
      </c>
      <c r="BP392" s="272">
        <v>782.00199999999995</v>
      </c>
      <c r="BQ392" s="272">
        <v>143.64400000000001</v>
      </c>
      <c r="BR392" s="272">
        <v>0</v>
      </c>
      <c r="BS392" s="272">
        <v>9634.4410000000007</v>
      </c>
      <c r="BT392" s="272">
        <v>4196.2190000000001</v>
      </c>
      <c r="BU392" s="272">
        <v>3430.1469999999999</v>
      </c>
      <c r="BV392" s="272">
        <v>1872.2660000000001</v>
      </c>
      <c r="BW392" s="272">
        <v>135.809</v>
      </c>
      <c r="BX392" s="272">
        <v>2077.9340000000002</v>
      </c>
      <c r="BY392" s="272">
        <v>1755.221</v>
      </c>
      <c r="BZ392" s="272">
        <v>0.51400000000000001</v>
      </c>
      <c r="CA392" s="272">
        <v>4039.8389999999999</v>
      </c>
      <c r="CB392" s="272">
        <v>-1999.5509999999999</v>
      </c>
      <c r="CC392" s="272">
        <v>-323.74799999999999</v>
      </c>
      <c r="CD392" s="272">
        <v>-1675.8030000000001</v>
      </c>
      <c r="CE392" s="272">
        <v>2040.288</v>
      </c>
      <c r="CF392" s="272">
        <v>1942.5530000000001</v>
      </c>
      <c r="CG392" s="272">
        <v>36.545000000000002</v>
      </c>
      <c r="CH392" s="272">
        <v>61.19</v>
      </c>
      <c r="CI392" s="272">
        <v>75759.051999999996</v>
      </c>
      <c r="CJ392" s="272">
        <v>8842.7739999999994</v>
      </c>
      <c r="CK392" s="272">
        <v>66916.278000000006</v>
      </c>
      <c r="CL392" s="272">
        <v>41936.214999999997</v>
      </c>
      <c r="CM392" s="272">
        <v>19995.081999999999</v>
      </c>
      <c r="CN392" s="272">
        <v>4984.9809999999998</v>
      </c>
      <c r="CO392" s="272">
        <v>5.798</v>
      </c>
      <c r="CP392" s="272">
        <v>110.694</v>
      </c>
      <c r="CQ392" s="272">
        <v>4868.4889999999996</v>
      </c>
      <c r="CR392" s="272">
        <v>-26457.061000000002</v>
      </c>
      <c r="CS392" s="272">
        <v>-7872.2610000000004</v>
      </c>
      <c r="CT392" s="272">
        <v>-5647.0209999999997</v>
      </c>
      <c r="CU392" s="272">
        <v>-628.73800000000006</v>
      </c>
      <c r="CV392" s="272">
        <v>-9.6470000000000002</v>
      </c>
      <c r="CW392" s="272">
        <v>-1586.855</v>
      </c>
      <c r="CX392" s="272">
        <v>-17150.605</v>
      </c>
      <c r="CY392" s="272">
        <v>-13037.663</v>
      </c>
      <c r="CZ392" s="272">
        <v>-4005.3049999999998</v>
      </c>
      <c r="DA392" s="272">
        <v>-107.637</v>
      </c>
      <c r="DB392" s="272">
        <v>-1152.3409999999999</v>
      </c>
      <c r="DC392" s="272">
        <v>-281.85399999999998</v>
      </c>
      <c r="DD392" s="272">
        <v>49301.991000000002</v>
      </c>
      <c r="DE392" s="272">
        <v>25354.605</v>
      </c>
      <c r="DF392" s="272">
        <v>23947.386000000002</v>
      </c>
      <c r="DG392" s="272">
        <v>23454.416000000001</v>
      </c>
      <c r="DH392" s="272">
        <v>492.97</v>
      </c>
      <c r="DI392" s="272">
        <v>19531.911</v>
      </c>
      <c r="DJ392" s="272">
        <v>844.33299999999997</v>
      </c>
      <c r="DK392" s="272">
        <v>299.21499999999997</v>
      </c>
      <c r="DL392" s="272">
        <v>17.434000000000001</v>
      </c>
      <c r="DM392" s="272">
        <v>9525.0280000000002</v>
      </c>
      <c r="DN392" s="272">
        <v>7433.9719999999998</v>
      </c>
      <c r="DO392" s="272">
        <v>1410.346</v>
      </c>
      <c r="DP392" s="272"/>
      <c r="DQ392" s="272">
        <v>0</v>
      </c>
      <c r="DR392" s="272">
        <v>1.583</v>
      </c>
      <c r="DS392" s="272">
        <v>-548.67700000000002</v>
      </c>
      <c r="DT392" s="272">
        <v>-72.320999999999998</v>
      </c>
      <c r="DU392" s="272">
        <v>-20.29</v>
      </c>
      <c r="DV392" s="272">
        <v>-0.17799999999999999</v>
      </c>
      <c r="DW392" s="272">
        <v>-235.97900000000001</v>
      </c>
      <c r="DX392" s="272">
        <v>-92.822000000000003</v>
      </c>
      <c r="DY392" s="272">
        <v>-102.259</v>
      </c>
      <c r="DZ392" s="272">
        <v>-40.898000000000003</v>
      </c>
      <c r="EA392" s="272">
        <v>-181.02600000000001</v>
      </c>
      <c r="EB392" s="272">
        <v>-38.01</v>
      </c>
      <c r="EC392" s="272"/>
      <c r="ED392" s="272">
        <v>0</v>
      </c>
      <c r="EE392" s="272">
        <v>-0.873</v>
      </c>
      <c r="EF392" s="272">
        <v>18983.234</v>
      </c>
      <c r="EG392" s="272">
        <v>6334.4449999999997</v>
      </c>
      <c r="EH392" s="272">
        <v>12648.789000000001</v>
      </c>
      <c r="EI392" s="272">
        <v>12430.376</v>
      </c>
      <c r="EJ392" s="272">
        <v>218.41300000000001</v>
      </c>
      <c r="EK392" s="272">
        <v>772.01199999999994</v>
      </c>
      <c r="EL392" s="272">
        <v>314.31599999999997</v>
      </c>
      <c r="EM392" s="272">
        <v>457.69599999999997</v>
      </c>
      <c r="EN392" s="272">
        <v>448.47899999999998</v>
      </c>
      <c r="EO392" s="272">
        <v>9.2170000000000005</v>
      </c>
      <c r="EP392" s="272">
        <v>278.92500000000001</v>
      </c>
      <c r="EQ392" s="272">
        <v>111.44</v>
      </c>
      <c r="ER392" s="272">
        <v>167.48499999999999</v>
      </c>
      <c r="ES392" s="272">
        <v>164.22499999999999</v>
      </c>
      <c r="ET392" s="272">
        <v>3.26</v>
      </c>
      <c r="EU392" s="272">
        <v>17.256</v>
      </c>
      <c r="EV392" s="272">
        <v>6.718</v>
      </c>
      <c r="EW392" s="272">
        <v>10.538</v>
      </c>
      <c r="EX392" s="272">
        <v>10.333</v>
      </c>
      <c r="EY392" s="272">
        <v>0.20499999999999999</v>
      </c>
      <c r="EZ392" s="272">
        <v>9289.0490000000009</v>
      </c>
      <c r="FA392" s="272">
        <v>3517.0479999999998</v>
      </c>
      <c r="FB392" s="272">
        <v>5772.0009999999993</v>
      </c>
      <c r="FC392" s="272">
        <v>5658.8289999999997</v>
      </c>
      <c r="FD392" s="272">
        <v>113.172</v>
      </c>
      <c r="FE392" s="272">
        <v>7252.9459999999999</v>
      </c>
      <c r="FF392" s="272">
        <v>2456.1669999999999</v>
      </c>
      <c r="FG392" s="272">
        <v>4796.7790000000005</v>
      </c>
      <c r="FH392" s="272">
        <v>4704.22</v>
      </c>
      <c r="FI392" s="272">
        <v>92.558999999999997</v>
      </c>
      <c r="FJ392" s="272">
        <v>1372.336</v>
      </c>
      <c r="FK392" s="272">
        <v>-71.953999999999994</v>
      </c>
      <c r="FL392" s="272">
        <v>1444.29</v>
      </c>
      <c r="FM392" s="272">
        <v>1444.29</v>
      </c>
      <c r="FN392" s="272"/>
      <c r="FO392" s="272"/>
      <c r="FP392" s="272">
        <v>0</v>
      </c>
      <c r="FQ392" s="272">
        <v>0.71</v>
      </c>
      <c r="FR392" s="272">
        <v>5592.3580000000002</v>
      </c>
      <c r="FS392" s="272">
        <v>-571.88300000000004</v>
      </c>
      <c r="FT392" s="272">
        <v>5020.4750000000004</v>
      </c>
      <c r="FU392" s="272">
        <v>0</v>
      </c>
      <c r="FV392" s="272">
        <v>0</v>
      </c>
      <c r="FW392" s="272">
        <v>0</v>
      </c>
      <c r="FX392" s="272">
        <v>1531.1769999999999</v>
      </c>
      <c r="FY392" s="272">
        <v>1419.001</v>
      </c>
      <c r="FZ392" s="272"/>
      <c r="GA392" s="272"/>
      <c r="GB392" s="272">
        <v>0</v>
      </c>
      <c r="GC392" s="272">
        <v>687.93299999999999</v>
      </c>
      <c r="GD392" s="272">
        <v>43.228000000000002</v>
      </c>
      <c r="GE392" s="272">
        <v>0</v>
      </c>
      <c r="GF392" s="272">
        <v>644.70500000000004</v>
      </c>
      <c r="GG392" s="272">
        <v>1382.364</v>
      </c>
      <c r="GH392" s="272">
        <v>118.023</v>
      </c>
      <c r="GI392" s="272">
        <v>14.569000000000001</v>
      </c>
      <c r="GJ392" s="272">
        <v>1249.7719999999999</v>
      </c>
    </row>
    <row r="393" spans="1:192">
      <c r="A393" s="270" t="s">
        <v>30</v>
      </c>
      <c r="B393" s="271"/>
      <c r="C393" s="271"/>
      <c r="D393" s="272">
        <v>212741.31400000001</v>
      </c>
      <c r="E393" s="272">
        <v>-44015.536999999997</v>
      </c>
      <c r="F393" s="272">
        <v>-159.19499999999999</v>
      </c>
      <c r="G393" s="272">
        <v>168566.58199999999</v>
      </c>
      <c r="H393" s="272">
        <v>76464.275999999998</v>
      </c>
      <c r="I393" s="272">
        <v>92102.305999999997</v>
      </c>
      <c r="J393" s="272">
        <v>90846.072</v>
      </c>
      <c r="K393" s="272">
        <v>1256.2339999999999</v>
      </c>
      <c r="L393" s="272">
        <v>82337.520999999993</v>
      </c>
      <c r="M393" s="272">
        <v>65069.366999999998</v>
      </c>
      <c r="N393" s="272">
        <v>7060.7160000000003</v>
      </c>
      <c r="O393" s="272">
        <v>6123.1570000000002</v>
      </c>
      <c r="P393" s="272">
        <v>937.55899999999997</v>
      </c>
      <c r="Q393" s="272">
        <v>544.42899999999997</v>
      </c>
      <c r="R393" s="272">
        <v>9663.009</v>
      </c>
      <c r="S393" s="272">
        <v>-11559.723</v>
      </c>
      <c r="T393" s="272">
        <v>-11386.043</v>
      </c>
      <c r="U393" s="272">
        <v>-624.88599999999997</v>
      </c>
      <c r="V393" s="272">
        <v>-61.93</v>
      </c>
      <c r="W393" s="272">
        <v>-10093.111999999999</v>
      </c>
      <c r="X393" s="272">
        <v>-293</v>
      </c>
      <c r="Y393" s="272">
        <v>-313.11500000000001</v>
      </c>
      <c r="Z393" s="272">
        <v>-117.038</v>
      </c>
      <c r="AA393" s="272">
        <v>-56.642000000000003</v>
      </c>
      <c r="AB393" s="272">
        <v>0</v>
      </c>
      <c r="AC393" s="272">
        <v>-159.19499999999999</v>
      </c>
      <c r="AD393" s="272">
        <v>70618.603000000003</v>
      </c>
      <c r="AE393" s="272">
        <v>26519.78</v>
      </c>
      <c r="AF393" s="272">
        <v>44098.822999999997</v>
      </c>
      <c r="AG393" s="272">
        <v>43399.915999999997</v>
      </c>
      <c r="AH393" s="272">
        <v>698.90700000000004</v>
      </c>
      <c r="AI393" s="272">
        <v>65025.822999999997</v>
      </c>
      <c r="AJ393" s="272">
        <v>18158.599999999999</v>
      </c>
      <c r="AK393" s="272">
        <v>30693.403999999999</v>
      </c>
      <c r="AL393" s="272">
        <v>14187.82</v>
      </c>
      <c r="AM393" s="272">
        <v>5264.1549999999997</v>
      </c>
      <c r="AN393" s="272">
        <v>2014.61</v>
      </c>
      <c r="AO393" s="272">
        <v>333.49799999999999</v>
      </c>
      <c r="AP393" s="272">
        <v>0</v>
      </c>
      <c r="AQ393" s="272">
        <v>2037.6479999999999</v>
      </c>
      <c r="AR393" s="272">
        <v>-4325.3270000000002</v>
      </c>
      <c r="AS393" s="272">
        <v>427.39100000000002</v>
      </c>
      <c r="AT393" s="272">
        <v>0</v>
      </c>
      <c r="AU393" s="272">
        <v>-159.19499999999999</v>
      </c>
      <c r="AV393" s="272">
        <v>26896.710999999999</v>
      </c>
      <c r="AW393" s="272">
        <v>13621.834000000001</v>
      </c>
      <c r="AX393" s="272">
        <v>4560.5829999999996</v>
      </c>
      <c r="AY393" s="272">
        <v>1767.3</v>
      </c>
      <c r="AZ393" s="272">
        <v>601.51099999999997</v>
      </c>
      <c r="BA393" s="272">
        <v>1631.6110000000001</v>
      </c>
      <c r="BB393" s="272">
        <v>560.16099999999994</v>
      </c>
      <c r="BC393" s="272">
        <v>2899.18</v>
      </c>
      <c r="BD393" s="272">
        <v>5815.1139999999996</v>
      </c>
      <c r="BE393" s="272">
        <v>-5461.5460000000003</v>
      </c>
      <c r="BF393" s="272">
        <v>-2873.306</v>
      </c>
      <c r="BG393" s="272">
        <v>-2137.192</v>
      </c>
      <c r="BH393" s="272">
        <v>-736.11400000000003</v>
      </c>
      <c r="BI393" s="272">
        <v>-125.625</v>
      </c>
      <c r="BJ393" s="272">
        <v>-1841.675</v>
      </c>
      <c r="BK393" s="272">
        <v>-906.00599999999997</v>
      </c>
      <c r="BL393" s="272">
        <v>-17.687000000000001</v>
      </c>
      <c r="BM393" s="272">
        <v>-2570.5529999999999</v>
      </c>
      <c r="BN393" s="272">
        <v>21435.165000000001</v>
      </c>
      <c r="BO393" s="272">
        <v>2228.5909999999999</v>
      </c>
      <c r="BP393" s="272">
        <v>780.18299999999999</v>
      </c>
      <c r="BQ393" s="272">
        <v>141.80500000000001</v>
      </c>
      <c r="BR393" s="272">
        <v>0</v>
      </c>
      <c r="BS393" s="272">
        <v>13609.038</v>
      </c>
      <c r="BT393" s="272">
        <v>5297.9350000000004</v>
      </c>
      <c r="BU393" s="272">
        <v>6338.223</v>
      </c>
      <c r="BV393" s="272">
        <v>1758.1410000000001</v>
      </c>
      <c r="BW393" s="272">
        <v>214.739</v>
      </c>
      <c r="BX393" s="272">
        <v>2423.3910000000001</v>
      </c>
      <c r="BY393" s="272">
        <v>2163.0659999999998</v>
      </c>
      <c r="BZ393" s="272">
        <v>89.090999999999994</v>
      </c>
      <c r="CA393" s="272">
        <v>4064.4760000000001</v>
      </c>
      <c r="CB393" s="272">
        <v>-2356.1149999999998</v>
      </c>
      <c r="CC393" s="272">
        <v>-231.68600000000001</v>
      </c>
      <c r="CD393" s="272">
        <v>-2124.4290000000001</v>
      </c>
      <c r="CE393" s="272">
        <v>1708.3610000000001</v>
      </c>
      <c r="CF393" s="272">
        <v>1620.4090000000001</v>
      </c>
      <c r="CG393" s="272">
        <v>42.540999999999997</v>
      </c>
      <c r="CH393" s="272">
        <v>45.411000000000001</v>
      </c>
      <c r="CI393" s="272">
        <v>74174.434999999998</v>
      </c>
      <c r="CJ393" s="272">
        <v>8779.6869999999999</v>
      </c>
      <c r="CK393" s="272">
        <v>65394.748</v>
      </c>
      <c r="CL393" s="272">
        <v>41460.237000000001</v>
      </c>
      <c r="CM393" s="272">
        <v>18680.057000000001</v>
      </c>
      <c r="CN393" s="272">
        <v>5254.4539999999997</v>
      </c>
      <c r="CO393" s="272">
        <v>0</v>
      </c>
      <c r="CP393" s="272">
        <v>117.182</v>
      </c>
      <c r="CQ393" s="272">
        <v>5137.2719999999999</v>
      </c>
      <c r="CR393" s="272">
        <v>-23710.933000000001</v>
      </c>
      <c r="CS393" s="272">
        <v>-6779.1440000000002</v>
      </c>
      <c r="CT393" s="272">
        <v>-5370.3879999999999</v>
      </c>
      <c r="CU393" s="272">
        <v>-398.84399999999999</v>
      </c>
      <c r="CV393" s="272">
        <v>-4.58</v>
      </c>
      <c r="CW393" s="272">
        <v>-1005.332</v>
      </c>
      <c r="CX393" s="272">
        <v>-15222.772000000001</v>
      </c>
      <c r="CY393" s="272">
        <v>-10324.066000000001</v>
      </c>
      <c r="CZ393" s="272">
        <v>-4750.6090000000004</v>
      </c>
      <c r="DA393" s="272">
        <v>-148.09700000000001</v>
      </c>
      <c r="DB393" s="272">
        <v>-1108.5350000000001</v>
      </c>
      <c r="DC393" s="272">
        <v>-600.48199999999997</v>
      </c>
      <c r="DD393" s="272">
        <v>50463.502</v>
      </c>
      <c r="DE393" s="272">
        <v>16384.37</v>
      </c>
      <c r="DF393" s="272">
        <v>34079.132000000005</v>
      </c>
      <c r="DG393" s="272">
        <v>33622.275000000001</v>
      </c>
      <c r="DH393" s="272">
        <v>456.85700000000003</v>
      </c>
      <c r="DI393" s="272">
        <v>18573.21</v>
      </c>
      <c r="DJ393" s="272">
        <v>805.096</v>
      </c>
      <c r="DK393" s="272">
        <v>302.77499999999998</v>
      </c>
      <c r="DL393" s="272">
        <v>17.334</v>
      </c>
      <c r="DM393" s="272">
        <v>8744.6869999999999</v>
      </c>
      <c r="DN393" s="272">
        <v>7194.71</v>
      </c>
      <c r="DO393" s="272">
        <v>1508.0309999999999</v>
      </c>
      <c r="DP393" s="272"/>
      <c r="DQ393" s="272">
        <v>0</v>
      </c>
      <c r="DR393" s="272">
        <v>0.57699999999999996</v>
      </c>
      <c r="DS393" s="272">
        <v>-363.89600000000002</v>
      </c>
      <c r="DT393" s="272">
        <v>-60.445</v>
      </c>
      <c r="DU393" s="272">
        <v>-19.824000000000002</v>
      </c>
      <c r="DV393" s="272">
        <v>-0.193</v>
      </c>
      <c r="DW393" s="272">
        <v>-149.96</v>
      </c>
      <c r="DX393" s="272">
        <v>-94.828000000000003</v>
      </c>
      <c r="DY393" s="272">
        <v>-37.363999999999997</v>
      </c>
      <c r="DZ393" s="272">
        <v>-17.768000000000001</v>
      </c>
      <c r="EA393" s="272">
        <v>-131.10499999999999</v>
      </c>
      <c r="EB393" s="272">
        <v>-1.52</v>
      </c>
      <c r="EC393" s="272"/>
      <c r="ED393" s="272">
        <v>0</v>
      </c>
      <c r="EE393" s="272">
        <v>-0.84899999999999998</v>
      </c>
      <c r="EF393" s="272">
        <v>18209.313999999998</v>
      </c>
      <c r="EG393" s="272">
        <v>4284.9629999999997</v>
      </c>
      <c r="EH393" s="272">
        <v>13924.350999999999</v>
      </c>
      <c r="EI393" s="272">
        <v>13823.880999999999</v>
      </c>
      <c r="EJ393" s="272">
        <v>100.47</v>
      </c>
      <c r="EK393" s="272">
        <v>744.65099999999995</v>
      </c>
      <c r="EL393" s="272">
        <v>163.16200000000001</v>
      </c>
      <c r="EM393" s="272">
        <v>581.48900000000003</v>
      </c>
      <c r="EN393" s="272">
        <v>576.24599999999998</v>
      </c>
      <c r="EO393" s="272">
        <v>5.2430000000000003</v>
      </c>
      <c r="EP393" s="272">
        <v>282.95100000000002</v>
      </c>
      <c r="EQ393" s="272">
        <v>65.775999999999996</v>
      </c>
      <c r="ER393" s="272">
        <v>217.17500000000001</v>
      </c>
      <c r="ES393" s="272">
        <v>215.04900000000001</v>
      </c>
      <c r="ET393" s="272">
        <v>2.1259999999999999</v>
      </c>
      <c r="EU393" s="272">
        <v>17.140999999999998</v>
      </c>
      <c r="EV393" s="272">
        <v>4.048</v>
      </c>
      <c r="EW393" s="272">
        <v>13.093</v>
      </c>
      <c r="EX393" s="272">
        <v>12.974</v>
      </c>
      <c r="EY393" s="272">
        <v>0.11899999999999999</v>
      </c>
      <c r="EZ393" s="272">
        <v>8594.7270000000008</v>
      </c>
      <c r="FA393" s="272">
        <v>1752.2170000000001</v>
      </c>
      <c r="FB393" s="272">
        <v>6842.5099999999993</v>
      </c>
      <c r="FC393" s="272">
        <v>6786.3469999999998</v>
      </c>
      <c r="FD393" s="272">
        <v>56.162999999999997</v>
      </c>
      <c r="FE393" s="272">
        <v>7063.6049999999996</v>
      </c>
      <c r="FF393" s="272">
        <v>2150.299</v>
      </c>
      <c r="FG393" s="272">
        <v>4913.3060000000005</v>
      </c>
      <c r="FH393" s="272">
        <v>4876.4870000000001</v>
      </c>
      <c r="FI393" s="272">
        <v>36.819000000000003</v>
      </c>
      <c r="FJ393" s="272">
        <v>1506.511</v>
      </c>
      <c r="FK393" s="272">
        <v>149.733</v>
      </c>
      <c r="FL393" s="272">
        <v>1356.778</v>
      </c>
      <c r="FM393" s="272">
        <v>1356.778</v>
      </c>
      <c r="FN393" s="272"/>
      <c r="FO393" s="272"/>
      <c r="FP393" s="272">
        <v>0</v>
      </c>
      <c r="FQ393" s="272">
        <v>-0.27200000000000002</v>
      </c>
      <c r="FR393" s="272">
        <v>6694.9610000000002</v>
      </c>
      <c r="FS393" s="272">
        <v>-563.32399999999996</v>
      </c>
      <c r="FT393" s="272">
        <v>6131.6369999999997</v>
      </c>
      <c r="FU393" s="272">
        <v>0</v>
      </c>
      <c r="FV393" s="272">
        <v>0</v>
      </c>
      <c r="FW393" s="272">
        <v>0</v>
      </c>
      <c r="FX393" s="272">
        <v>1429.183</v>
      </c>
      <c r="FY393" s="272">
        <v>1378.135</v>
      </c>
      <c r="FZ393" s="272"/>
      <c r="GA393" s="272"/>
      <c r="GB393" s="272">
        <v>101.22799999999999</v>
      </c>
      <c r="GC393" s="272">
        <v>743.98199999999997</v>
      </c>
      <c r="GD393" s="272">
        <v>-3.7290000000000001</v>
      </c>
      <c r="GE393" s="272">
        <v>0</v>
      </c>
      <c r="GF393" s="272">
        <v>747.71100000000001</v>
      </c>
      <c r="GG393" s="272">
        <v>2479.1089999999999</v>
      </c>
      <c r="GH393" s="272">
        <v>1318.9380000000001</v>
      </c>
      <c r="GI393" s="272">
        <v>12.19</v>
      </c>
      <c r="GJ393" s="272">
        <v>1147.981</v>
      </c>
    </row>
    <row r="394" spans="1:192">
      <c r="A394" s="270" t="s">
        <v>31</v>
      </c>
      <c r="B394" s="271"/>
      <c r="C394" s="271"/>
      <c r="D394" s="272">
        <v>219761.005</v>
      </c>
      <c r="E394" s="272">
        <v>-50665.696000000004</v>
      </c>
      <c r="F394" s="272">
        <v>-247.93600000000001</v>
      </c>
      <c r="G394" s="272">
        <v>168847.37299999999</v>
      </c>
      <c r="H394" s="272">
        <v>98869.975999999995</v>
      </c>
      <c r="I394" s="272">
        <v>69977.396999999997</v>
      </c>
      <c r="J394" s="272">
        <v>68479.824999999997</v>
      </c>
      <c r="K394" s="272">
        <v>1497.5719999999999</v>
      </c>
      <c r="L394" s="272">
        <v>82170.831999999995</v>
      </c>
      <c r="M394" s="272">
        <v>64822.652000000002</v>
      </c>
      <c r="N394" s="272">
        <v>7649.7669999999998</v>
      </c>
      <c r="O394" s="272">
        <v>6601.6469999999999</v>
      </c>
      <c r="P394" s="272">
        <v>1048.1199999999999</v>
      </c>
      <c r="Q394" s="272">
        <v>577.46</v>
      </c>
      <c r="R394" s="272">
        <v>9120.9529999999995</v>
      </c>
      <c r="S394" s="272">
        <v>-11971.35</v>
      </c>
      <c r="T394" s="272">
        <v>-11805.34</v>
      </c>
      <c r="U394" s="272">
        <v>-567.42200000000003</v>
      </c>
      <c r="V394" s="272">
        <v>-57.427</v>
      </c>
      <c r="W394" s="272">
        <v>-10111.48</v>
      </c>
      <c r="X394" s="272">
        <v>-704.548</v>
      </c>
      <c r="Y394" s="272">
        <v>-364.46300000000002</v>
      </c>
      <c r="Z394" s="272">
        <v>-82.363</v>
      </c>
      <c r="AA394" s="272">
        <v>-83.647000000000006</v>
      </c>
      <c r="AB394" s="272">
        <v>0</v>
      </c>
      <c r="AC394" s="272">
        <v>-247.93600000000001</v>
      </c>
      <c r="AD394" s="272">
        <v>69951.546000000002</v>
      </c>
      <c r="AE394" s="272">
        <v>37930.351999999999</v>
      </c>
      <c r="AF394" s="272">
        <v>32021.194</v>
      </c>
      <c r="AG394" s="272">
        <v>31303.492999999999</v>
      </c>
      <c r="AH394" s="272">
        <v>717.70100000000002</v>
      </c>
      <c r="AI394" s="272">
        <v>64762.118000000002</v>
      </c>
      <c r="AJ394" s="272">
        <v>18737.835999999999</v>
      </c>
      <c r="AK394" s="272">
        <v>29933.932000000001</v>
      </c>
      <c r="AL394" s="272">
        <v>13851.558000000001</v>
      </c>
      <c r="AM394" s="272">
        <v>4673.5649999999996</v>
      </c>
      <c r="AN394" s="272">
        <v>1940.499</v>
      </c>
      <c r="AO394" s="272">
        <v>354.11099999999999</v>
      </c>
      <c r="AP394" s="272">
        <v>266.50400000000002</v>
      </c>
      <c r="AQ394" s="272">
        <v>1863.059</v>
      </c>
      <c r="AR394" s="272">
        <v>-4155.5730000000003</v>
      </c>
      <c r="AS394" s="272">
        <v>495.09699999999998</v>
      </c>
      <c r="AT394" s="272">
        <v>0.10199999999999999</v>
      </c>
      <c r="AU394" s="272">
        <v>-247.93600000000001</v>
      </c>
      <c r="AV394" s="272">
        <v>28884.097000000002</v>
      </c>
      <c r="AW394" s="272">
        <v>16382.467000000001</v>
      </c>
      <c r="AX394" s="272">
        <v>4284.9110000000001</v>
      </c>
      <c r="AY394" s="272">
        <v>1618.528</v>
      </c>
      <c r="AZ394" s="272">
        <v>521.30499999999995</v>
      </c>
      <c r="BA394" s="272">
        <v>1714.704</v>
      </c>
      <c r="BB394" s="272">
        <v>430.37400000000002</v>
      </c>
      <c r="BC394" s="272">
        <v>2082.2539999999999</v>
      </c>
      <c r="BD394" s="272">
        <v>6134.4650000000001</v>
      </c>
      <c r="BE394" s="272">
        <v>-8938.9030000000002</v>
      </c>
      <c r="BF394" s="272">
        <v>-5957.34</v>
      </c>
      <c r="BG394" s="272">
        <v>-5009.8559999999998</v>
      </c>
      <c r="BH394" s="272">
        <v>-947.48400000000004</v>
      </c>
      <c r="BI394" s="272">
        <v>-978.36800000000005</v>
      </c>
      <c r="BJ394" s="272">
        <v>-3825.116</v>
      </c>
      <c r="BK394" s="272">
        <v>-1153.856</v>
      </c>
      <c r="BL394" s="272">
        <v>-93.594999999999999</v>
      </c>
      <c r="BM394" s="272">
        <v>-2887.9679999999998</v>
      </c>
      <c r="BN394" s="272">
        <v>19945.194</v>
      </c>
      <c r="BO394" s="272">
        <v>1951.749</v>
      </c>
      <c r="BP394" s="272">
        <v>740.45600000000002</v>
      </c>
      <c r="BQ394" s="272">
        <v>150.655</v>
      </c>
      <c r="BR394" s="272">
        <v>1.6919999999999999</v>
      </c>
      <c r="BS394" s="272">
        <v>16296.438</v>
      </c>
      <c r="BT394" s="272">
        <v>5497.5879999999997</v>
      </c>
      <c r="BU394" s="272">
        <v>9194.4860000000008</v>
      </c>
      <c r="BV394" s="272">
        <v>1485.268</v>
      </c>
      <c r="BW394" s="272">
        <v>119.096</v>
      </c>
      <c r="BX394" s="272">
        <v>-724.94500000000005</v>
      </c>
      <c r="BY394" s="272">
        <v>1134.77</v>
      </c>
      <c r="BZ394" s="272">
        <v>394.37900000000002</v>
      </c>
      <c r="CA394" s="272">
        <v>4222.0190000000002</v>
      </c>
      <c r="CB394" s="272">
        <v>-2805.5709999999999</v>
      </c>
      <c r="CC394" s="272">
        <v>-439.96100000000001</v>
      </c>
      <c r="CD394" s="272">
        <v>-2365.61</v>
      </c>
      <c r="CE394" s="272">
        <v>1416.4480000000001</v>
      </c>
      <c r="CF394" s="272">
        <v>1499.7059999999999</v>
      </c>
      <c r="CG394" s="272">
        <v>42.095999999999997</v>
      </c>
      <c r="CH394" s="272">
        <v>-125.354</v>
      </c>
      <c r="CI394" s="272">
        <v>78049.957999999999</v>
      </c>
      <c r="CJ394" s="272">
        <v>9386.8780000000006</v>
      </c>
      <c r="CK394" s="272">
        <v>68663.08</v>
      </c>
      <c r="CL394" s="272">
        <v>44231.822</v>
      </c>
      <c r="CM394" s="272">
        <v>18641.041000000001</v>
      </c>
      <c r="CN394" s="272">
        <v>5790.2169999999996</v>
      </c>
      <c r="CO394" s="272">
        <v>3.7589999999999999</v>
      </c>
      <c r="CP394" s="272">
        <v>178.53</v>
      </c>
      <c r="CQ394" s="272">
        <v>5607.9279999999999</v>
      </c>
      <c r="CR394" s="272">
        <v>-26119.153999999999</v>
      </c>
      <c r="CS394" s="272">
        <v>-6131.942</v>
      </c>
      <c r="CT394" s="272">
        <v>-4636.576</v>
      </c>
      <c r="CU394" s="272">
        <v>-512.86900000000003</v>
      </c>
      <c r="CV394" s="272">
        <v>-4.383</v>
      </c>
      <c r="CW394" s="272">
        <v>-978.11400000000003</v>
      </c>
      <c r="CX394" s="272">
        <v>-18010.151000000002</v>
      </c>
      <c r="CY394" s="272">
        <v>-11737.739</v>
      </c>
      <c r="CZ394" s="272">
        <v>-6152.68</v>
      </c>
      <c r="DA394" s="272">
        <v>-119.732</v>
      </c>
      <c r="DB394" s="272">
        <v>-1151.7639999999999</v>
      </c>
      <c r="DC394" s="272">
        <v>-825.29700000000003</v>
      </c>
      <c r="DD394" s="272">
        <v>51930.803999999996</v>
      </c>
      <c r="DE394" s="272">
        <v>25493.944</v>
      </c>
      <c r="DF394" s="272">
        <v>26436.86</v>
      </c>
      <c r="DG394" s="272">
        <v>25824.317999999999</v>
      </c>
      <c r="DH394" s="272">
        <v>612.54200000000003</v>
      </c>
      <c r="DI394" s="272">
        <v>19412.742999999999</v>
      </c>
      <c r="DJ394" s="272">
        <v>772.65</v>
      </c>
      <c r="DK394" s="272">
        <v>300.18900000000002</v>
      </c>
      <c r="DL394" s="272">
        <v>17.896999999999998</v>
      </c>
      <c r="DM394" s="272">
        <v>10111.347</v>
      </c>
      <c r="DN394" s="272">
        <v>6615.6980000000003</v>
      </c>
      <c r="DO394" s="272">
        <v>1446.616</v>
      </c>
      <c r="DP394" s="272"/>
      <c r="DQ394" s="272">
        <v>147.779</v>
      </c>
      <c r="DR394" s="272">
        <v>0.56699999999999995</v>
      </c>
      <c r="DS394" s="272">
        <v>-339.84899999999999</v>
      </c>
      <c r="DT394" s="272">
        <v>-56.835000000000001</v>
      </c>
      <c r="DU394" s="272">
        <v>-25.356000000000002</v>
      </c>
      <c r="DV394" s="272">
        <v>-0.21299999999999999</v>
      </c>
      <c r="DW394" s="272">
        <v>-177.88</v>
      </c>
      <c r="DX394" s="272">
        <v>-89.652000000000001</v>
      </c>
      <c r="DY394" s="272">
        <v>-2.5619999999999998</v>
      </c>
      <c r="DZ394" s="272">
        <v>-85.665999999999997</v>
      </c>
      <c r="EA394" s="272">
        <v>-76.22</v>
      </c>
      <c r="EB394" s="272">
        <v>-1.9339999999999999</v>
      </c>
      <c r="EC394" s="272"/>
      <c r="ED394" s="272">
        <v>-0.13700000000000001</v>
      </c>
      <c r="EE394" s="272">
        <v>-1.274</v>
      </c>
      <c r="EF394" s="272">
        <v>19072.894</v>
      </c>
      <c r="EG394" s="272">
        <v>7553.5510000000004</v>
      </c>
      <c r="EH394" s="272">
        <v>11519.342999999999</v>
      </c>
      <c r="EI394" s="272">
        <v>11352.013999999999</v>
      </c>
      <c r="EJ394" s="272">
        <v>167.32900000000001</v>
      </c>
      <c r="EK394" s="272">
        <v>715.81500000000005</v>
      </c>
      <c r="EL394" s="272">
        <v>329.56400000000002</v>
      </c>
      <c r="EM394" s="272">
        <v>386.25099999999998</v>
      </c>
      <c r="EN394" s="272">
        <v>378.13099999999997</v>
      </c>
      <c r="EO394" s="272">
        <v>8.1199999999999992</v>
      </c>
      <c r="EP394" s="272">
        <v>274.83300000000003</v>
      </c>
      <c r="EQ394" s="272">
        <v>118.812</v>
      </c>
      <c r="ER394" s="272">
        <v>156.02100000000002</v>
      </c>
      <c r="ES394" s="272">
        <v>152.84100000000001</v>
      </c>
      <c r="ET394" s="272">
        <v>3.18</v>
      </c>
      <c r="EU394" s="272">
        <v>17.684000000000001</v>
      </c>
      <c r="EV394" s="272">
        <v>9.2949999999999999</v>
      </c>
      <c r="EW394" s="272">
        <v>8.3889999999999993</v>
      </c>
      <c r="EX394" s="272">
        <v>8.2080000000000002</v>
      </c>
      <c r="EY394" s="272">
        <v>0.18099999999999999</v>
      </c>
      <c r="EZ394" s="272">
        <v>9933.4670000000006</v>
      </c>
      <c r="FA394" s="272">
        <v>3975.61</v>
      </c>
      <c r="FB394" s="272">
        <v>5957.857</v>
      </c>
      <c r="FC394" s="272">
        <v>5869.152</v>
      </c>
      <c r="FD394" s="272">
        <v>88.704999999999998</v>
      </c>
      <c r="FE394" s="272">
        <v>6539.4780000000001</v>
      </c>
      <c r="FF394" s="272">
        <v>2947.5079999999998</v>
      </c>
      <c r="FG394" s="272">
        <v>3591.9700000000003</v>
      </c>
      <c r="FH394" s="272">
        <v>3524.8270000000002</v>
      </c>
      <c r="FI394" s="272">
        <v>67.143000000000001</v>
      </c>
      <c r="FJ394" s="272">
        <v>1444.682</v>
      </c>
      <c r="FK394" s="272">
        <v>25.827000000000002</v>
      </c>
      <c r="FL394" s="272">
        <v>1418.855</v>
      </c>
      <c r="FM394" s="272">
        <v>1418.855</v>
      </c>
      <c r="FN394" s="272"/>
      <c r="FO394" s="272"/>
      <c r="FP394" s="272">
        <v>147.642</v>
      </c>
      <c r="FQ394" s="272">
        <v>-0.70699999999999996</v>
      </c>
      <c r="FR394" s="272">
        <v>7021.3559999999998</v>
      </c>
      <c r="FS394" s="272">
        <v>-490.86900000000003</v>
      </c>
      <c r="FT394" s="272">
        <v>6530.4870000000001</v>
      </c>
      <c r="FU394" s="272">
        <v>1569.84</v>
      </c>
      <c r="FV394" s="272">
        <v>1569.84</v>
      </c>
      <c r="FW394" s="272">
        <v>0</v>
      </c>
      <c r="FX394" s="272">
        <v>1310.604</v>
      </c>
      <c r="FY394" s="272">
        <v>1325.2339999999999</v>
      </c>
      <c r="FZ394" s="272"/>
      <c r="GA394" s="272"/>
      <c r="GB394" s="272">
        <v>74.481999999999999</v>
      </c>
      <c r="GC394" s="272">
        <v>821.53099999999995</v>
      </c>
      <c r="GD394" s="272">
        <v>54.036000000000001</v>
      </c>
      <c r="GE394" s="272">
        <v>0</v>
      </c>
      <c r="GF394" s="272">
        <v>767.495</v>
      </c>
      <c r="GG394" s="272">
        <v>1428.796</v>
      </c>
      <c r="GH394" s="272">
        <v>166.60599999999999</v>
      </c>
      <c r="GI394" s="272">
        <v>11.173</v>
      </c>
      <c r="GJ394" s="272">
        <v>1251.0170000000001</v>
      </c>
    </row>
    <row r="395" spans="1:192">
      <c r="A395" s="270" t="s">
        <v>32</v>
      </c>
      <c r="B395" s="271"/>
      <c r="C395" s="271"/>
      <c r="D395" s="272">
        <v>221707.01800000001</v>
      </c>
      <c r="E395" s="272">
        <v>-46470.625</v>
      </c>
      <c r="F395" s="272">
        <v>-249.05199999999999</v>
      </c>
      <c r="G395" s="272">
        <v>174987.34099999999</v>
      </c>
      <c r="H395" s="272">
        <v>103124.34299999999</v>
      </c>
      <c r="I395" s="272">
        <v>71862.997999999992</v>
      </c>
      <c r="J395" s="272">
        <v>70374.851999999999</v>
      </c>
      <c r="K395" s="272">
        <v>1488.146</v>
      </c>
      <c r="L395" s="272">
        <v>84404.317999999999</v>
      </c>
      <c r="M395" s="272">
        <v>66943.137000000002</v>
      </c>
      <c r="N395" s="272">
        <v>7756.2139999999999</v>
      </c>
      <c r="O395" s="272">
        <v>6634.9740000000002</v>
      </c>
      <c r="P395" s="272">
        <v>1121.24</v>
      </c>
      <c r="Q395" s="272">
        <v>772.91300000000001</v>
      </c>
      <c r="R395" s="272">
        <v>8932.0540000000001</v>
      </c>
      <c r="S395" s="272">
        <v>-11493.39</v>
      </c>
      <c r="T395" s="272">
        <v>-11306.641</v>
      </c>
      <c r="U395" s="272">
        <v>-530.35699999999997</v>
      </c>
      <c r="V395" s="272">
        <v>-52.106000000000002</v>
      </c>
      <c r="W395" s="272">
        <v>-9948.8770000000004</v>
      </c>
      <c r="X395" s="272">
        <v>-431.09300000000002</v>
      </c>
      <c r="Y395" s="272">
        <v>-344.20800000000003</v>
      </c>
      <c r="Z395" s="272">
        <v>-60.161999999999999</v>
      </c>
      <c r="AA395" s="272">
        <v>-115.29300000000001</v>
      </c>
      <c r="AB395" s="272">
        <v>-11.294</v>
      </c>
      <c r="AC395" s="272">
        <v>-249.05199999999999</v>
      </c>
      <c r="AD395" s="272">
        <v>72661.876000000004</v>
      </c>
      <c r="AE395" s="272">
        <v>41221.044999999998</v>
      </c>
      <c r="AF395" s="272">
        <v>31440.831000000002</v>
      </c>
      <c r="AG395" s="272">
        <v>30746.988000000001</v>
      </c>
      <c r="AH395" s="272">
        <v>693.84299999999996</v>
      </c>
      <c r="AI395" s="272">
        <v>66876.134999999995</v>
      </c>
      <c r="AJ395" s="272">
        <v>19922.59</v>
      </c>
      <c r="AK395" s="272">
        <v>30594.807000000001</v>
      </c>
      <c r="AL395" s="272">
        <v>14839.008</v>
      </c>
      <c r="AM395" s="272">
        <v>4062.0549999999998</v>
      </c>
      <c r="AN395" s="272">
        <v>1879.17</v>
      </c>
      <c r="AO395" s="272">
        <v>478.00299999999999</v>
      </c>
      <c r="AP395" s="272">
        <v>457.00400000000002</v>
      </c>
      <c r="AQ395" s="272">
        <v>1996.2370000000001</v>
      </c>
      <c r="AR395" s="272">
        <v>-3550.4270000000001</v>
      </c>
      <c r="AS395" s="272">
        <v>712.75099999999998</v>
      </c>
      <c r="AT395" s="272">
        <v>0</v>
      </c>
      <c r="AU395" s="272">
        <v>-249.05199999999999</v>
      </c>
      <c r="AV395" s="272">
        <v>26464.815999999999</v>
      </c>
      <c r="AW395" s="272">
        <v>17723.361000000001</v>
      </c>
      <c r="AX395" s="272">
        <v>4533.33</v>
      </c>
      <c r="AY395" s="272">
        <v>1870.43</v>
      </c>
      <c r="AZ395" s="272">
        <v>499.08699999999999</v>
      </c>
      <c r="BA395" s="272">
        <v>1753.8030000000001</v>
      </c>
      <c r="BB395" s="272">
        <v>410.01</v>
      </c>
      <c r="BC395" s="272">
        <v>1562.306</v>
      </c>
      <c r="BD395" s="272">
        <v>2645.819</v>
      </c>
      <c r="BE395" s="272">
        <v>-7751.7569999999996</v>
      </c>
      <c r="BF395" s="272">
        <v>-7443.7150000000001</v>
      </c>
      <c r="BG395" s="272">
        <v>-6846.5439999999999</v>
      </c>
      <c r="BH395" s="272">
        <v>-597.17100000000005</v>
      </c>
      <c r="BI395" s="272">
        <v>-1293.8320000000001</v>
      </c>
      <c r="BJ395" s="272">
        <v>-5220.8680000000004</v>
      </c>
      <c r="BK395" s="272">
        <v>-929.01499999999965</v>
      </c>
      <c r="BL395" s="272">
        <v>-307.54300000000001</v>
      </c>
      <c r="BM395" s="272">
        <v>-0.499</v>
      </c>
      <c r="BN395" s="272">
        <v>18713.059000000001</v>
      </c>
      <c r="BO395" s="272">
        <v>1683.117</v>
      </c>
      <c r="BP395" s="272">
        <v>741.46799999999996</v>
      </c>
      <c r="BQ395" s="272">
        <v>203.07300000000001</v>
      </c>
      <c r="BR395" s="272">
        <v>1.871</v>
      </c>
      <c r="BS395" s="272">
        <v>17425.044000000002</v>
      </c>
      <c r="BT395" s="272">
        <v>5842.8940000000002</v>
      </c>
      <c r="BU395" s="272">
        <v>10061.744000000001</v>
      </c>
      <c r="BV395" s="272">
        <v>1594.675</v>
      </c>
      <c r="BW395" s="272">
        <v>-74.269000000000005</v>
      </c>
      <c r="BX395" s="272">
        <v>-2313.2139999999999</v>
      </c>
      <c r="BY395" s="272">
        <v>965.13499999999999</v>
      </c>
      <c r="BZ395" s="272">
        <v>6.5650000000000004</v>
      </c>
      <c r="CA395" s="272">
        <v>2073.4160000000002</v>
      </c>
      <c r="CB395" s="272">
        <v>-653.822</v>
      </c>
      <c r="CC395" s="272">
        <v>-651.553</v>
      </c>
      <c r="CD395" s="272">
        <v>-2.2690000000000001</v>
      </c>
      <c r="CE395" s="272">
        <v>1419.5940000000001</v>
      </c>
      <c r="CF395" s="272">
        <v>1678.2550000000001</v>
      </c>
      <c r="CG395" s="272">
        <v>44.716000000000001</v>
      </c>
      <c r="CH395" s="272">
        <v>-303.37700000000001</v>
      </c>
      <c r="CI395" s="272">
        <v>81483.432000000001</v>
      </c>
      <c r="CJ395" s="272">
        <v>10089.195</v>
      </c>
      <c r="CK395" s="272">
        <v>71394.236999999994</v>
      </c>
      <c r="CL395" s="272">
        <v>45863.355000000003</v>
      </c>
      <c r="CM395" s="272">
        <v>19886.776000000002</v>
      </c>
      <c r="CN395" s="272">
        <v>5644.1059999999998</v>
      </c>
      <c r="CO395" s="272">
        <v>9.27</v>
      </c>
      <c r="CP395" s="272">
        <v>22.449000000000002</v>
      </c>
      <c r="CQ395" s="272">
        <v>5612.3869999999997</v>
      </c>
      <c r="CR395" s="272">
        <v>-25309.483</v>
      </c>
      <c r="CS395" s="272">
        <v>-5454.982</v>
      </c>
      <c r="CT395" s="272">
        <v>-4015.7429999999999</v>
      </c>
      <c r="CU395" s="272">
        <v>-363.96199999999999</v>
      </c>
      <c r="CV395" s="272">
        <v>-9.2189999999999994</v>
      </c>
      <c r="CW395" s="272">
        <v>-1066.058</v>
      </c>
      <c r="CX395" s="272">
        <v>-17683.223999999998</v>
      </c>
      <c r="CY395" s="272">
        <v>-12461.342000000001</v>
      </c>
      <c r="CZ395" s="272">
        <v>-5164.4949999999999</v>
      </c>
      <c r="DA395" s="272">
        <v>-57.387</v>
      </c>
      <c r="DB395" s="272">
        <v>-1397.9590000000001</v>
      </c>
      <c r="DC395" s="272">
        <v>-773.31799999999998</v>
      </c>
      <c r="DD395" s="272">
        <v>56173.949000000001</v>
      </c>
      <c r="DE395" s="272">
        <v>28443.837</v>
      </c>
      <c r="DF395" s="272">
        <v>27730.112000000001</v>
      </c>
      <c r="DG395" s="272">
        <v>27116.984</v>
      </c>
      <c r="DH395" s="272">
        <v>613.12800000000004</v>
      </c>
      <c r="DI395" s="272">
        <v>19775.114000000001</v>
      </c>
      <c r="DJ395" s="272">
        <v>821.85299999999995</v>
      </c>
      <c r="DK395" s="272">
        <v>309.61200000000002</v>
      </c>
      <c r="DL395" s="272">
        <v>19.425999999999998</v>
      </c>
      <c r="DM395" s="272">
        <v>10211.582</v>
      </c>
      <c r="DN395" s="272">
        <v>6762.9709999999995</v>
      </c>
      <c r="DO395" s="272">
        <v>1383.327</v>
      </c>
      <c r="DP395" s="272"/>
      <c r="DQ395" s="272">
        <v>265.70699999999999</v>
      </c>
      <c r="DR395" s="272">
        <v>0.63600000000000001</v>
      </c>
      <c r="DS395" s="272">
        <v>-671.52</v>
      </c>
      <c r="DT395" s="272">
        <v>-60.878999999999998</v>
      </c>
      <c r="DU395" s="272">
        <v>-16.925000000000001</v>
      </c>
      <c r="DV395" s="272">
        <v>-0.26700000000000002</v>
      </c>
      <c r="DW395" s="272">
        <v>-487.70800000000003</v>
      </c>
      <c r="DX395" s="272">
        <v>-88.846000000000004</v>
      </c>
      <c r="DY395" s="272">
        <v>-3.6080000000000001</v>
      </c>
      <c r="DZ395" s="272">
        <v>-395.25400000000002</v>
      </c>
      <c r="EA395" s="272">
        <v>-102.40900000000001</v>
      </c>
      <c r="EB395" s="272">
        <v>-0.69199999999999995</v>
      </c>
      <c r="EC395" s="272"/>
      <c r="ED395" s="272">
        <v>-1.194</v>
      </c>
      <c r="EE395" s="272">
        <v>-1.446</v>
      </c>
      <c r="EF395" s="272">
        <v>19103.594000000001</v>
      </c>
      <c r="EG395" s="272">
        <v>6411.5389999999998</v>
      </c>
      <c r="EH395" s="272">
        <v>12692.054999999998</v>
      </c>
      <c r="EI395" s="272">
        <v>12510.88</v>
      </c>
      <c r="EJ395" s="272">
        <v>181.17500000000001</v>
      </c>
      <c r="EK395" s="272">
        <v>760.97400000000005</v>
      </c>
      <c r="EL395" s="272">
        <v>298.33199999999999</v>
      </c>
      <c r="EM395" s="272">
        <v>462.64200000000005</v>
      </c>
      <c r="EN395" s="272">
        <v>453.77300000000002</v>
      </c>
      <c r="EO395" s="272">
        <v>8.8689999999999998</v>
      </c>
      <c r="EP395" s="272">
        <v>292.68700000000001</v>
      </c>
      <c r="EQ395" s="272">
        <v>119.974</v>
      </c>
      <c r="ER395" s="272">
        <v>172.71300000000002</v>
      </c>
      <c r="ES395" s="272">
        <v>169.38300000000001</v>
      </c>
      <c r="ET395" s="272">
        <v>3.33</v>
      </c>
      <c r="EU395" s="272">
        <v>19.158999999999999</v>
      </c>
      <c r="EV395" s="272">
        <v>8.5399999999999991</v>
      </c>
      <c r="EW395" s="272">
        <v>10.619</v>
      </c>
      <c r="EX395" s="272">
        <v>10.414</v>
      </c>
      <c r="EY395" s="272">
        <v>0.20499999999999999</v>
      </c>
      <c r="EZ395" s="272">
        <v>9723.8739999999998</v>
      </c>
      <c r="FA395" s="272">
        <v>3939.047</v>
      </c>
      <c r="FB395" s="272">
        <v>5784.8270000000002</v>
      </c>
      <c r="FC395" s="272">
        <v>5699.2920000000004</v>
      </c>
      <c r="FD395" s="272">
        <v>85.534999999999997</v>
      </c>
      <c r="FE395" s="272">
        <v>6660.5619999999999</v>
      </c>
      <c r="FF395" s="272">
        <v>2174.433</v>
      </c>
      <c r="FG395" s="272">
        <v>4486.1289999999999</v>
      </c>
      <c r="FH395" s="272">
        <v>4402.893</v>
      </c>
      <c r="FI395" s="272">
        <v>83.236000000000004</v>
      </c>
      <c r="FJ395" s="272">
        <v>1382.635</v>
      </c>
      <c r="FK395" s="272">
        <v>-392.49</v>
      </c>
      <c r="FL395" s="272">
        <v>1775.125</v>
      </c>
      <c r="FM395" s="272">
        <v>1775.125</v>
      </c>
      <c r="FN395" s="272"/>
      <c r="FO395" s="272"/>
      <c r="FP395" s="272">
        <v>264.51299999999998</v>
      </c>
      <c r="FQ395" s="272">
        <v>-0.81</v>
      </c>
      <c r="FR395" s="272">
        <v>7505.9219999999996</v>
      </c>
      <c r="FS395" s="272">
        <v>-590.65300000000002</v>
      </c>
      <c r="FT395" s="272">
        <v>6915.2690000000002</v>
      </c>
      <c r="FU395" s="272">
        <v>1655.433</v>
      </c>
      <c r="FV395" s="272">
        <v>1624.867</v>
      </c>
      <c r="FW395" s="272">
        <v>30.565999999999999</v>
      </c>
      <c r="FX395" s="272">
        <v>1525.61</v>
      </c>
      <c r="FY395" s="272">
        <v>1317.0830000000001</v>
      </c>
      <c r="FZ395" s="272"/>
      <c r="GA395" s="272"/>
      <c r="GB395" s="272">
        <v>76.114999999999995</v>
      </c>
      <c r="GC395" s="272">
        <v>794.48599999999999</v>
      </c>
      <c r="GD395" s="272">
        <v>57.765999999999998</v>
      </c>
      <c r="GE395" s="272">
        <v>0</v>
      </c>
      <c r="GF395" s="272">
        <v>736.72</v>
      </c>
      <c r="GG395" s="272">
        <v>1546.5419999999999</v>
      </c>
      <c r="GH395" s="272">
        <v>194.90199999999999</v>
      </c>
      <c r="GI395" s="272">
        <v>6.5410000000000004</v>
      </c>
      <c r="GJ395" s="272">
        <v>1345.0989999999999</v>
      </c>
    </row>
    <row r="396" spans="1:192">
      <c r="A396" s="270" t="s">
        <v>33</v>
      </c>
      <c r="B396" s="271"/>
      <c r="C396" s="271"/>
      <c r="D396" s="272">
        <v>227535.16899999999</v>
      </c>
      <c r="E396" s="272">
        <v>-45280.146000000001</v>
      </c>
      <c r="F396" s="272">
        <v>-246.381</v>
      </c>
      <c r="G396" s="272">
        <v>182008.64199999999</v>
      </c>
      <c r="H396" s="272">
        <v>108847.41099999999</v>
      </c>
      <c r="I396" s="272">
        <v>73161.231</v>
      </c>
      <c r="J396" s="272">
        <v>71541.548999999999</v>
      </c>
      <c r="K396" s="272">
        <v>1619.682</v>
      </c>
      <c r="L396" s="272">
        <v>84232.141000000003</v>
      </c>
      <c r="M396" s="272">
        <v>66127.760999999999</v>
      </c>
      <c r="N396" s="272">
        <v>8821.2209999999995</v>
      </c>
      <c r="O396" s="272">
        <v>7545.8689999999997</v>
      </c>
      <c r="P396" s="272">
        <v>1275.3520000000001</v>
      </c>
      <c r="Q396" s="272">
        <v>759.39200000000005</v>
      </c>
      <c r="R396" s="272">
        <v>8523.7669999999998</v>
      </c>
      <c r="S396" s="272">
        <v>-11640.237999999999</v>
      </c>
      <c r="T396" s="272">
        <v>-11428.025</v>
      </c>
      <c r="U396" s="272">
        <v>-783.976</v>
      </c>
      <c r="V396" s="272">
        <v>-49.226999999999997</v>
      </c>
      <c r="W396" s="272">
        <v>-9887.0249999999996</v>
      </c>
      <c r="X396" s="272">
        <v>-327.22800000000001</v>
      </c>
      <c r="Y396" s="272">
        <v>-380.56900000000002</v>
      </c>
      <c r="Z396" s="272">
        <v>-85.734999999999999</v>
      </c>
      <c r="AA396" s="272">
        <v>-121.28</v>
      </c>
      <c r="AB396" s="272">
        <v>-5.1980000000000004</v>
      </c>
      <c r="AC396" s="272">
        <v>-246.381</v>
      </c>
      <c r="AD396" s="272">
        <v>72345.521999999997</v>
      </c>
      <c r="AE396" s="272">
        <v>38730.563999999998</v>
      </c>
      <c r="AF396" s="272">
        <v>33614.958000000006</v>
      </c>
      <c r="AG396" s="272">
        <v>32867.031000000003</v>
      </c>
      <c r="AH396" s="272">
        <v>747.92700000000002</v>
      </c>
      <c r="AI396" s="272">
        <v>66066.712</v>
      </c>
      <c r="AJ396" s="272">
        <v>20094.115000000002</v>
      </c>
      <c r="AK396" s="272">
        <v>30506.807000000001</v>
      </c>
      <c r="AL396" s="272">
        <v>14670.105</v>
      </c>
      <c r="AM396" s="272">
        <v>3280.797</v>
      </c>
      <c r="AN396" s="272">
        <v>1801.5930000000001</v>
      </c>
      <c r="AO396" s="272">
        <v>677.51300000000003</v>
      </c>
      <c r="AP396" s="272">
        <v>448.08300000000003</v>
      </c>
      <c r="AQ396" s="272">
        <v>2250.3519999999999</v>
      </c>
      <c r="AR396" s="272">
        <v>-2606.8040000000001</v>
      </c>
      <c r="AS396" s="272">
        <v>673.65700000000004</v>
      </c>
      <c r="AT396" s="272">
        <v>0</v>
      </c>
      <c r="AU396" s="272">
        <v>-246.381</v>
      </c>
      <c r="AV396" s="272">
        <v>28574.728999999999</v>
      </c>
      <c r="AW396" s="272">
        <v>18523.27</v>
      </c>
      <c r="AX396" s="272">
        <v>5571.3720000000003</v>
      </c>
      <c r="AY396" s="272">
        <v>2015.8320000000001</v>
      </c>
      <c r="AZ396" s="272">
        <v>799.80600000000004</v>
      </c>
      <c r="BA396" s="272">
        <v>2312.4119999999998</v>
      </c>
      <c r="BB396" s="272">
        <v>443.322</v>
      </c>
      <c r="BC396" s="272">
        <v>2095.2820000000002</v>
      </c>
      <c r="BD396" s="272">
        <v>2384.8049999999998</v>
      </c>
      <c r="BE396" s="272">
        <v>-7925.857</v>
      </c>
      <c r="BF396" s="272">
        <v>-7847.1009999999997</v>
      </c>
      <c r="BG396" s="272">
        <v>-7490.0690000000004</v>
      </c>
      <c r="BH396" s="272">
        <v>-357.03199999999998</v>
      </c>
      <c r="BI396" s="272">
        <v>-1378.7660000000001</v>
      </c>
      <c r="BJ396" s="272">
        <v>-5888.9369999999999</v>
      </c>
      <c r="BK396" s="272">
        <v>-579.39800000000037</v>
      </c>
      <c r="BL396" s="272">
        <v>-78.756</v>
      </c>
      <c r="BM396" s="272">
        <v>0</v>
      </c>
      <c r="BN396" s="272">
        <v>20648.871999999999</v>
      </c>
      <c r="BO396" s="272">
        <v>1365.0440000000001</v>
      </c>
      <c r="BP396" s="272">
        <v>722.3</v>
      </c>
      <c r="BQ396" s="272">
        <v>288.286</v>
      </c>
      <c r="BR396" s="272">
        <v>2.9169999999999998</v>
      </c>
      <c r="BS396" s="272">
        <v>18448.909</v>
      </c>
      <c r="BT396" s="272">
        <v>6328.9870000000001</v>
      </c>
      <c r="BU396" s="272">
        <v>10107.502</v>
      </c>
      <c r="BV396" s="272">
        <v>1835.3879999999999</v>
      </c>
      <c r="BW396" s="272">
        <v>177.03200000000001</v>
      </c>
      <c r="BX396" s="272">
        <v>-1918.6969999999999</v>
      </c>
      <c r="BY396" s="272">
        <v>1738.25</v>
      </c>
      <c r="BZ396" s="272">
        <v>1.863</v>
      </c>
      <c r="CA396" s="272">
        <v>2293.5340000000001</v>
      </c>
      <c r="CB396" s="272">
        <v>-654.197</v>
      </c>
      <c r="CC396" s="272">
        <v>-654.197</v>
      </c>
      <c r="CD396" s="272">
        <v>0</v>
      </c>
      <c r="CE396" s="272">
        <v>1639.337</v>
      </c>
      <c r="CF396" s="272">
        <v>1792.3140000000001</v>
      </c>
      <c r="CG396" s="272">
        <v>49.222000000000001</v>
      </c>
      <c r="CH396" s="272">
        <v>-202.19900000000001</v>
      </c>
      <c r="CI396" s="272">
        <v>83760.413</v>
      </c>
      <c r="CJ396" s="272">
        <v>12458.763999999999</v>
      </c>
      <c r="CK396" s="272">
        <v>71301.649000000005</v>
      </c>
      <c r="CL396" s="272">
        <v>42944.68</v>
      </c>
      <c r="CM396" s="272">
        <v>22168.048999999999</v>
      </c>
      <c r="CN396" s="272">
        <v>6188.92</v>
      </c>
      <c r="CO396" s="272">
        <v>27.855</v>
      </c>
      <c r="CP396" s="272">
        <v>0.19</v>
      </c>
      <c r="CQ396" s="272">
        <v>6160.875</v>
      </c>
      <c r="CR396" s="272">
        <v>-23455.526999999998</v>
      </c>
      <c r="CS396" s="272">
        <v>-4839.0320000000002</v>
      </c>
      <c r="CT396" s="272">
        <v>-3551.4720000000002</v>
      </c>
      <c r="CU396" s="272">
        <v>-259.7</v>
      </c>
      <c r="CV396" s="272">
        <v>-6.657</v>
      </c>
      <c r="CW396" s="272">
        <v>-1021.203</v>
      </c>
      <c r="CX396" s="272">
        <v>-16371.212</v>
      </c>
      <c r="CY396" s="272">
        <v>-11287.655000000001</v>
      </c>
      <c r="CZ396" s="272">
        <v>-4980.3999999999996</v>
      </c>
      <c r="DA396" s="272">
        <v>-103.157</v>
      </c>
      <c r="DB396" s="272">
        <v>-1433.1869999999999</v>
      </c>
      <c r="DC396" s="272">
        <v>-812.096</v>
      </c>
      <c r="DD396" s="272">
        <v>60304.885999999999</v>
      </c>
      <c r="DE396" s="272">
        <v>32565.187999999998</v>
      </c>
      <c r="DF396" s="272">
        <v>27739.698</v>
      </c>
      <c r="DG396" s="272">
        <v>27088.686000000002</v>
      </c>
      <c r="DH396" s="272">
        <v>651.01199999999994</v>
      </c>
      <c r="DI396" s="272">
        <v>20146.642</v>
      </c>
      <c r="DJ396" s="272">
        <v>839.06200000000001</v>
      </c>
      <c r="DK396" s="272">
        <v>318.613</v>
      </c>
      <c r="DL396" s="272">
        <v>20.52</v>
      </c>
      <c r="DM396" s="272">
        <v>10608.531000000001</v>
      </c>
      <c r="DN396" s="272">
        <v>6657.8130000000001</v>
      </c>
      <c r="DO396" s="272">
        <v>1392.4760000000001</v>
      </c>
      <c r="DP396" s="272"/>
      <c r="DQ396" s="272">
        <v>308.91399999999999</v>
      </c>
      <c r="DR396" s="272">
        <v>0.71299999999999997</v>
      </c>
      <c r="DS396" s="272">
        <v>-999.96400000000006</v>
      </c>
      <c r="DT396" s="272">
        <v>-65.278000000000006</v>
      </c>
      <c r="DU396" s="272">
        <v>-22.082999999999998</v>
      </c>
      <c r="DV396" s="272">
        <v>-0.189</v>
      </c>
      <c r="DW396" s="272">
        <v>-826.01499999999999</v>
      </c>
      <c r="DX396" s="272">
        <v>-90.543999999999997</v>
      </c>
      <c r="DY396" s="272">
        <v>-3.661</v>
      </c>
      <c r="DZ396" s="272">
        <v>-731.81</v>
      </c>
      <c r="EA396" s="272">
        <v>-77.415999999999997</v>
      </c>
      <c r="EB396" s="272">
        <v>-7.5170000000000003</v>
      </c>
      <c r="EC396" s="272"/>
      <c r="ED396" s="272">
        <v>-9.1999999999999998E-2</v>
      </c>
      <c r="EE396" s="272">
        <v>-1.3740000000000001</v>
      </c>
      <c r="EF396" s="272">
        <v>19146.678</v>
      </c>
      <c r="EG396" s="272">
        <v>7340.1030000000001</v>
      </c>
      <c r="EH396" s="272">
        <v>11806.575000000001</v>
      </c>
      <c r="EI396" s="272">
        <v>11585.832</v>
      </c>
      <c r="EJ396" s="272">
        <v>220.74299999999999</v>
      </c>
      <c r="EK396" s="272">
        <v>773.78399999999999</v>
      </c>
      <c r="EL396" s="272">
        <v>312.58100000000002</v>
      </c>
      <c r="EM396" s="272">
        <v>461.20299999999997</v>
      </c>
      <c r="EN396" s="272">
        <v>451.827</v>
      </c>
      <c r="EO396" s="272">
        <v>9.3759999999999994</v>
      </c>
      <c r="EP396" s="272">
        <v>296.52999999999997</v>
      </c>
      <c r="EQ396" s="272">
        <v>124.42</v>
      </c>
      <c r="ER396" s="272">
        <v>172.10999999999999</v>
      </c>
      <c r="ES396" s="272">
        <v>168.65299999999999</v>
      </c>
      <c r="ET396" s="272">
        <v>3.4569999999999999</v>
      </c>
      <c r="EU396" s="272">
        <v>20.331</v>
      </c>
      <c r="EV396" s="272">
        <v>7.64</v>
      </c>
      <c r="EW396" s="272">
        <v>12.690999999999999</v>
      </c>
      <c r="EX396" s="272">
        <v>12.433</v>
      </c>
      <c r="EY396" s="272">
        <v>0.25800000000000001</v>
      </c>
      <c r="EZ396" s="272">
        <v>9782.5159999999996</v>
      </c>
      <c r="FA396" s="272">
        <v>3491.319</v>
      </c>
      <c r="FB396" s="272">
        <v>6291.1969999999992</v>
      </c>
      <c r="FC396" s="272">
        <v>6160.2169999999996</v>
      </c>
      <c r="FD396" s="272">
        <v>130.97999999999999</v>
      </c>
      <c r="FE396" s="272">
        <v>6580.3969999999999</v>
      </c>
      <c r="FF396" s="272">
        <v>3123.2860000000001</v>
      </c>
      <c r="FG396" s="272">
        <v>3457.1109999999999</v>
      </c>
      <c r="FH396" s="272">
        <v>3380.4389999999999</v>
      </c>
      <c r="FI396" s="272">
        <v>76.671999999999997</v>
      </c>
      <c r="FJ396" s="272">
        <v>1384.9590000000001</v>
      </c>
      <c r="FK396" s="272">
        <v>-27.303999999999998</v>
      </c>
      <c r="FL396" s="272">
        <v>1412.2629999999999</v>
      </c>
      <c r="FM396" s="272">
        <v>1412.2629999999999</v>
      </c>
      <c r="FN396" s="272"/>
      <c r="FO396" s="272"/>
      <c r="FP396" s="272">
        <v>308.822</v>
      </c>
      <c r="FQ396" s="272">
        <v>-0.66100000000000003</v>
      </c>
      <c r="FR396" s="272">
        <v>8527.7099999999991</v>
      </c>
      <c r="FS396" s="272">
        <v>-604.36300000000006</v>
      </c>
      <c r="FT396" s="272">
        <v>7923.3469999999998</v>
      </c>
      <c r="FU396" s="272">
        <v>1962.741</v>
      </c>
      <c r="FV396" s="272">
        <v>1863.7950000000001</v>
      </c>
      <c r="FW396" s="272">
        <v>98.945999999999998</v>
      </c>
      <c r="FX396" s="272">
        <v>1756.6679999999999</v>
      </c>
      <c r="FY396" s="272">
        <v>1354.624</v>
      </c>
      <c r="FZ396" s="272"/>
      <c r="GA396" s="272"/>
      <c r="GB396" s="272">
        <v>52.253</v>
      </c>
      <c r="GC396" s="272">
        <v>1225.6489999999999</v>
      </c>
      <c r="GD396" s="272">
        <v>52.863</v>
      </c>
      <c r="GE396" s="272">
        <v>453.428</v>
      </c>
      <c r="GF396" s="272">
        <v>719.35799999999995</v>
      </c>
      <c r="GG396" s="272">
        <v>1571.412</v>
      </c>
      <c r="GH396" s="272">
        <v>255.947</v>
      </c>
      <c r="GI396" s="272">
        <v>12.331</v>
      </c>
      <c r="GJ396" s="272">
        <v>1303.134</v>
      </c>
    </row>
    <row r="397" spans="1:192">
      <c r="A397" s="270" t="s">
        <v>34</v>
      </c>
      <c r="B397" s="271"/>
      <c r="C397" s="271"/>
      <c r="D397" s="272">
        <v>231255.63800000001</v>
      </c>
      <c r="E397" s="272">
        <v>-44740.173999999999</v>
      </c>
      <c r="F397" s="272">
        <v>-266.94400000000002</v>
      </c>
      <c r="G397" s="272">
        <v>186248.52</v>
      </c>
      <c r="H397" s="272">
        <v>106187.323</v>
      </c>
      <c r="I397" s="272">
        <v>80061.197</v>
      </c>
      <c r="J397" s="272">
        <v>78346.073000000004</v>
      </c>
      <c r="K397" s="272">
        <v>1715.124</v>
      </c>
      <c r="L397" s="272">
        <v>84742.726999999999</v>
      </c>
      <c r="M397" s="272">
        <v>66680.756999999998</v>
      </c>
      <c r="N397" s="272">
        <v>8943.6790000000001</v>
      </c>
      <c r="O397" s="272">
        <v>7767.1570000000002</v>
      </c>
      <c r="P397" s="272">
        <v>1176.5219999999999</v>
      </c>
      <c r="Q397" s="272">
        <v>865.68600000000004</v>
      </c>
      <c r="R397" s="272">
        <v>8252.6049999999996</v>
      </c>
      <c r="S397" s="272">
        <v>-12059.848</v>
      </c>
      <c r="T397" s="272">
        <v>-11905.55</v>
      </c>
      <c r="U397" s="272">
        <v>-859.94100000000003</v>
      </c>
      <c r="V397" s="272">
        <v>-95.884</v>
      </c>
      <c r="W397" s="272">
        <v>-10208.815000000001</v>
      </c>
      <c r="X397" s="272">
        <v>-349.697</v>
      </c>
      <c r="Y397" s="272">
        <v>-391.21300000000002</v>
      </c>
      <c r="Z397" s="272">
        <v>-60.127000000000002</v>
      </c>
      <c r="AA397" s="272">
        <v>-91.971999999999994</v>
      </c>
      <c r="AB397" s="272">
        <v>-2.1989999999999998</v>
      </c>
      <c r="AC397" s="272">
        <v>-266.94400000000002</v>
      </c>
      <c r="AD397" s="272">
        <v>72415.934999999998</v>
      </c>
      <c r="AE397" s="272">
        <v>35799.017999999996</v>
      </c>
      <c r="AF397" s="272">
        <v>36616.917000000001</v>
      </c>
      <c r="AG397" s="272">
        <v>35788.078999999998</v>
      </c>
      <c r="AH397" s="272">
        <v>828.83799999999997</v>
      </c>
      <c r="AI397" s="272">
        <v>66607.922000000006</v>
      </c>
      <c r="AJ397" s="272">
        <v>20492.659</v>
      </c>
      <c r="AK397" s="272">
        <v>30795.867999999999</v>
      </c>
      <c r="AL397" s="272">
        <v>14628.456</v>
      </c>
      <c r="AM397" s="272">
        <v>3050.8969999999999</v>
      </c>
      <c r="AN397" s="272">
        <v>1763.07</v>
      </c>
      <c r="AO397" s="272">
        <v>441.57600000000002</v>
      </c>
      <c r="AP397" s="272">
        <v>435.08100000000002</v>
      </c>
      <c r="AQ397" s="272">
        <v>2540.645</v>
      </c>
      <c r="AR397" s="272">
        <v>-2961.8710000000001</v>
      </c>
      <c r="AS397" s="272">
        <v>805.55899999999997</v>
      </c>
      <c r="AT397" s="272">
        <v>0</v>
      </c>
      <c r="AU397" s="272">
        <v>-266.94400000000002</v>
      </c>
      <c r="AV397" s="272">
        <v>30190.09</v>
      </c>
      <c r="AW397" s="272">
        <v>20094.63</v>
      </c>
      <c r="AX397" s="272">
        <v>5674.66</v>
      </c>
      <c r="AY397" s="272">
        <v>1899.5129999999999</v>
      </c>
      <c r="AZ397" s="272">
        <v>634.14099999999996</v>
      </c>
      <c r="BA397" s="272">
        <v>2666.8989999999999</v>
      </c>
      <c r="BB397" s="272">
        <v>474.10700000000003</v>
      </c>
      <c r="BC397" s="272">
        <v>2238.556</v>
      </c>
      <c r="BD397" s="272">
        <v>2182.2440000000001</v>
      </c>
      <c r="BE397" s="272">
        <v>-8511.7639999999992</v>
      </c>
      <c r="BF397" s="272">
        <v>-8487.7009999999991</v>
      </c>
      <c r="BG397" s="272">
        <v>-7831.3490000000002</v>
      </c>
      <c r="BH397" s="272">
        <v>-656.35199999999998</v>
      </c>
      <c r="BI397" s="272">
        <v>-2324.2750000000001</v>
      </c>
      <c r="BJ397" s="272">
        <v>-5357.3109999999997</v>
      </c>
      <c r="BK397" s="272">
        <v>-806.11499999999955</v>
      </c>
      <c r="BL397" s="272">
        <v>-24.062999999999999</v>
      </c>
      <c r="BM397" s="272">
        <v>0</v>
      </c>
      <c r="BN397" s="272">
        <v>21678.326000000001</v>
      </c>
      <c r="BO397" s="272">
        <v>1270.287</v>
      </c>
      <c r="BP397" s="272">
        <v>711.10199999999998</v>
      </c>
      <c r="BQ397" s="272">
        <v>187.83500000000001</v>
      </c>
      <c r="BR397" s="272">
        <v>2.7759999999999998</v>
      </c>
      <c r="BS397" s="272">
        <v>20076.066999999999</v>
      </c>
      <c r="BT397" s="272">
        <v>6433.4040000000005</v>
      </c>
      <c r="BU397" s="272">
        <v>10986.672</v>
      </c>
      <c r="BV397" s="272">
        <v>2231.799</v>
      </c>
      <c r="BW397" s="272">
        <v>424.19200000000001</v>
      </c>
      <c r="BX397" s="272">
        <v>-2156.6889999999999</v>
      </c>
      <c r="BY397" s="272">
        <v>1582.204</v>
      </c>
      <c r="BZ397" s="272">
        <v>4.7439999999999998</v>
      </c>
      <c r="CA397" s="272">
        <v>2424.3130000000001</v>
      </c>
      <c r="CB397" s="272">
        <v>-463.81700000000001</v>
      </c>
      <c r="CC397" s="272">
        <v>-463.81700000000001</v>
      </c>
      <c r="CD397" s="272">
        <v>0</v>
      </c>
      <c r="CE397" s="272">
        <v>1960.4960000000001</v>
      </c>
      <c r="CF397" s="272">
        <v>1928.9690000000001</v>
      </c>
      <c r="CG397" s="272">
        <v>52.164000000000001</v>
      </c>
      <c r="CH397" s="272">
        <v>-20.637</v>
      </c>
      <c r="CI397" s="272">
        <v>85231.343999999997</v>
      </c>
      <c r="CJ397" s="272">
        <v>13672.915000000001</v>
      </c>
      <c r="CK397" s="272">
        <v>71558.429000000004</v>
      </c>
      <c r="CL397" s="272">
        <v>42155.824000000001</v>
      </c>
      <c r="CM397" s="272">
        <v>23728.407999999999</v>
      </c>
      <c r="CN397" s="272">
        <v>5674.1970000000001</v>
      </c>
      <c r="CO397" s="272">
        <v>55.674999999999997</v>
      </c>
      <c r="CP397" s="272">
        <v>48.292999999999999</v>
      </c>
      <c r="CQ397" s="272">
        <v>5570.2290000000003</v>
      </c>
      <c r="CR397" s="272">
        <v>-22385.972000000002</v>
      </c>
      <c r="CS397" s="272">
        <v>-4819.9849999999997</v>
      </c>
      <c r="CT397" s="272">
        <v>-3574.0210000000002</v>
      </c>
      <c r="CU397" s="272">
        <v>-206.27500000000001</v>
      </c>
      <c r="CV397" s="272">
        <v>-4.851</v>
      </c>
      <c r="CW397" s="272">
        <v>-1034.838</v>
      </c>
      <c r="CX397" s="272">
        <v>-15096.673000000001</v>
      </c>
      <c r="CY397" s="272">
        <v>-10409.679</v>
      </c>
      <c r="CZ397" s="272">
        <v>-4637.2889999999998</v>
      </c>
      <c r="DA397" s="272">
        <v>-49.704999999999998</v>
      </c>
      <c r="DB397" s="272">
        <v>-1594.723</v>
      </c>
      <c r="DC397" s="272">
        <v>-874.59100000000001</v>
      </c>
      <c r="DD397" s="272">
        <v>62845.372000000003</v>
      </c>
      <c r="DE397" s="272">
        <v>31528.205999999998</v>
      </c>
      <c r="DF397" s="272">
        <v>31317.165999999997</v>
      </c>
      <c r="DG397" s="272">
        <v>30643.901999999998</v>
      </c>
      <c r="DH397" s="272">
        <v>673.26400000000001</v>
      </c>
      <c r="DI397" s="272">
        <v>20413.538</v>
      </c>
      <c r="DJ397" s="272">
        <v>855.48500000000001</v>
      </c>
      <c r="DK397" s="272">
        <v>329.024</v>
      </c>
      <c r="DL397" s="272">
        <v>21.728000000000002</v>
      </c>
      <c r="DM397" s="272">
        <v>10919.276</v>
      </c>
      <c r="DN397" s="272">
        <v>6757.7330000000002</v>
      </c>
      <c r="DO397" s="272">
        <v>1294.8019999999999</v>
      </c>
      <c r="DP397" s="272"/>
      <c r="DQ397" s="272">
        <v>229.142</v>
      </c>
      <c r="DR397" s="272">
        <v>6.3479999999999999</v>
      </c>
      <c r="DS397" s="272">
        <v>-547.32399999999996</v>
      </c>
      <c r="DT397" s="272">
        <v>-72.174999999999997</v>
      </c>
      <c r="DU397" s="272">
        <v>-25.780999999999999</v>
      </c>
      <c r="DV397" s="272">
        <v>-0.23899999999999999</v>
      </c>
      <c r="DW397" s="272">
        <v>-363.40300000000002</v>
      </c>
      <c r="DX397" s="272">
        <v>-94.447999999999993</v>
      </c>
      <c r="DY397" s="272">
        <v>-3.956</v>
      </c>
      <c r="DZ397" s="272">
        <v>-264.99900000000002</v>
      </c>
      <c r="EA397" s="272">
        <v>-80.393000000000001</v>
      </c>
      <c r="EB397" s="272">
        <v>-4.5540000000000003</v>
      </c>
      <c r="EC397" s="272"/>
      <c r="ED397" s="272">
        <v>-4.1000000000000002E-2</v>
      </c>
      <c r="EE397" s="272">
        <v>-0.73799999999999999</v>
      </c>
      <c r="EF397" s="272">
        <v>19866.214</v>
      </c>
      <c r="EG397" s="272">
        <v>7739.1</v>
      </c>
      <c r="EH397" s="272">
        <v>12127.114000000001</v>
      </c>
      <c r="EI397" s="272">
        <v>11914.092000000001</v>
      </c>
      <c r="EJ397" s="272">
        <v>213.02199999999999</v>
      </c>
      <c r="EK397" s="272">
        <v>783.31</v>
      </c>
      <c r="EL397" s="272">
        <v>334.47199999999998</v>
      </c>
      <c r="EM397" s="272">
        <v>448.83800000000002</v>
      </c>
      <c r="EN397" s="272">
        <v>439.935</v>
      </c>
      <c r="EO397" s="272">
        <v>8.9030000000000005</v>
      </c>
      <c r="EP397" s="272">
        <v>303.24299999999999</v>
      </c>
      <c r="EQ397" s="272">
        <v>113.068</v>
      </c>
      <c r="ER397" s="272">
        <v>190.17499999999998</v>
      </c>
      <c r="ES397" s="272">
        <v>186.40199999999999</v>
      </c>
      <c r="ET397" s="272">
        <v>3.7730000000000001</v>
      </c>
      <c r="EU397" s="272">
        <v>21.489000000000001</v>
      </c>
      <c r="EV397" s="272">
        <v>9.0879999999999992</v>
      </c>
      <c r="EW397" s="272">
        <v>12.401</v>
      </c>
      <c r="EX397" s="272">
        <v>12.151</v>
      </c>
      <c r="EY397" s="272">
        <v>0.25</v>
      </c>
      <c r="EZ397" s="272">
        <v>10555.873</v>
      </c>
      <c r="FA397" s="272">
        <v>3787.047</v>
      </c>
      <c r="FB397" s="272">
        <v>6768.826</v>
      </c>
      <c r="FC397" s="272">
        <v>6639.625</v>
      </c>
      <c r="FD397" s="272">
        <v>129.20099999999999</v>
      </c>
      <c r="FE397" s="272">
        <v>6677.34</v>
      </c>
      <c r="FF397" s="272">
        <v>3137.59</v>
      </c>
      <c r="FG397" s="272">
        <v>3539.75</v>
      </c>
      <c r="FH397" s="272">
        <v>3468.855</v>
      </c>
      <c r="FI397" s="272">
        <v>70.894999999999996</v>
      </c>
      <c r="FJ397" s="272">
        <v>1290.248</v>
      </c>
      <c r="FK397" s="272">
        <v>123.124</v>
      </c>
      <c r="FL397" s="272">
        <v>1167.124</v>
      </c>
      <c r="FM397" s="272">
        <v>1167.124</v>
      </c>
      <c r="FN397" s="272"/>
      <c r="FO397" s="272"/>
      <c r="FP397" s="272">
        <v>229.101</v>
      </c>
      <c r="FQ397" s="272">
        <v>5.61</v>
      </c>
      <c r="FR397" s="272">
        <v>8253.6260000000002</v>
      </c>
      <c r="FS397" s="272">
        <v>-771.44899999999996</v>
      </c>
      <c r="FT397" s="272">
        <v>7482.1769999999997</v>
      </c>
      <c r="FU397" s="272">
        <v>1669.2170000000001</v>
      </c>
      <c r="FV397" s="272">
        <v>1574.491</v>
      </c>
      <c r="FW397" s="272">
        <v>94.725999999999999</v>
      </c>
      <c r="FX397" s="272">
        <v>1856.0239999999999</v>
      </c>
      <c r="FY397" s="272">
        <v>1376.19</v>
      </c>
      <c r="FZ397" s="272"/>
      <c r="GA397" s="272"/>
      <c r="GB397" s="272">
        <v>71.317999999999998</v>
      </c>
      <c r="GC397" s="272">
        <v>830.22799999999995</v>
      </c>
      <c r="GD397" s="272">
        <v>16.007000000000001</v>
      </c>
      <c r="GE397" s="272">
        <v>202.42</v>
      </c>
      <c r="GF397" s="272">
        <v>611.80100000000004</v>
      </c>
      <c r="GG397" s="272">
        <v>1679.2</v>
      </c>
      <c r="GH397" s="272">
        <v>197.274</v>
      </c>
      <c r="GI397" s="272">
        <v>11.974</v>
      </c>
      <c r="GJ397" s="272">
        <v>1469.952</v>
      </c>
    </row>
    <row r="398" spans="1:192">
      <c r="A398" s="270" t="s">
        <v>35</v>
      </c>
      <c r="B398" s="271"/>
      <c r="C398" s="271"/>
      <c r="D398" s="272">
        <v>240688.15700000001</v>
      </c>
      <c r="E398" s="272">
        <v>-46472.71</v>
      </c>
      <c r="F398" s="272">
        <v>-264.89800000000002</v>
      </c>
      <c r="G398" s="272">
        <v>193950.549</v>
      </c>
      <c r="H398" s="272">
        <v>105571.19</v>
      </c>
      <c r="I398" s="272">
        <v>88379.358999999997</v>
      </c>
      <c r="J398" s="272">
        <v>86565.176999999996</v>
      </c>
      <c r="K398" s="272">
        <v>1814.182</v>
      </c>
      <c r="L398" s="272">
        <v>88763.364000000001</v>
      </c>
      <c r="M398" s="272">
        <v>68930.644</v>
      </c>
      <c r="N398" s="272">
        <v>10111.429</v>
      </c>
      <c r="O398" s="272">
        <v>8940.4539999999997</v>
      </c>
      <c r="P398" s="272">
        <v>1170.9749999999999</v>
      </c>
      <c r="Q398" s="272">
        <v>877.36900000000003</v>
      </c>
      <c r="R398" s="272">
        <v>8843.9220000000005</v>
      </c>
      <c r="S398" s="272">
        <v>-11460.808999999999</v>
      </c>
      <c r="T398" s="272">
        <v>-11072.599</v>
      </c>
      <c r="U398" s="272">
        <v>-879.86199999999997</v>
      </c>
      <c r="V398" s="272">
        <v>-87.817999999999998</v>
      </c>
      <c r="W398" s="272">
        <v>-9320.6020000000008</v>
      </c>
      <c r="X398" s="272">
        <v>-398.39</v>
      </c>
      <c r="Y398" s="272">
        <v>-385.92700000000002</v>
      </c>
      <c r="Z398" s="272">
        <v>-82.14</v>
      </c>
      <c r="AA398" s="272">
        <v>-232.773</v>
      </c>
      <c r="AB398" s="272">
        <v>-73.296999999999997</v>
      </c>
      <c r="AC398" s="272">
        <v>-264.89800000000002</v>
      </c>
      <c r="AD398" s="272">
        <v>77037.657000000007</v>
      </c>
      <c r="AE398" s="272">
        <v>36028.491999999998</v>
      </c>
      <c r="AF398" s="272">
        <v>41009.165000000001</v>
      </c>
      <c r="AG398" s="272">
        <v>40152.624000000003</v>
      </c>
      <c r="AH398" s="272">
        <v>856.54100000000005</v>
      </c>
      <c r="AI398" s="272">
        <v>68885.599000000002</v>
      </c>
      <c r="AJ398" s="272">
        <v>20667.271000000001</v>
      </c>
      <c r="AK398" s="272">
        <v>31998.987000000001</v>
      </c>
      <c r="AL398" s="272">
        <v>15709.794</v>
      </c>
      <c r="AM398" s="272">
        <v>2946.2719999999999</v>
      </c>
      <c r="AN398" s="272">
        <v>1806.789</v>
      </c>
      <c r="AO398" s="272">
        <v>630.23</v>
      </c>
      <c r="AP398" s="272">
        <v>464.87599999999998</v>
      </c>
      <c r="AQ398" s="272">
        <v>2734.73</v>
      </c>
      <c r="AR398" s="272">
        <v>-961.17</v>
      </c>
      <c r="AS398" s="272">
        <v>795.22900000000004</v>
      </c>
      <c r="AT398" s="272">
        <v>0</v>
      </c>
      <c r="AU398" s="272">
        <v>-264.89800000000002</v>
      </c>
      <c r="AV398" s="272">
        <v>31835.776000000002</v>
      </c>
      <c r="AW398" s="272">
        <v>21472.775000000001</v>
      </c>
      <c r="AX398" s="272">
        <v>6127.4639999999999</v>
      </c>
      <c r="AY398" s="272">
        <v>1712.7909999999999</v>
      </c>
      <c r="AZ398" s="272">
        <v>840.928</v>
      </c>
      <c r="BA398" s="272">
        <v>3061.9279999999999</v>
      </c>
      <c r="BB398" s="272">
        <v>511.81700000000001</v>
      </c>
      <c r="BC398" s="272">
        <v>1902.567</v>
      </c>
      <c r="BD398" s="272">
        <v>2332.9699999999998</v>
      </c>
      <c r="BE398" s="272">
        <v>-8692.4509999999991</v>
      </c>
      <c r="BF398" s="272">
        <v>-8591.9969999999994</v>
      </c>
      <c r="BG398" s="272">
        <v>-8133.6620000000003</v>
      </c>
      <c r="BH398" s="272">
        <v>-458.33499999999998</v>
      </c>
      <c r="BI398" s="272">
        <v>-2554.6880000000001</v>
      </c>
      <c r="BJ398" s="272">
        <v>-5288.5460000000003</v>
      </c>
      <c r="BK398" s="272">
        <v>-748.76300000000003</v>
      </c>
      <c r="BL398" s="272">
        <v>-100.45399999999999</v>
      </c>
      <c r="BM398" s="272">
        <v>0</v>
      </c>
      <c r="BN398" s="272">
        <v>23143.325000000001</v>
      </c>
      <c r="BO398" s="272">
        <v>1234.0899999999999</v>
      </c>
      <c r="BP398" s="272">
        <v>732.94600000000003</v>
      </c>
      <c r="BQ398" s="272">
        <v>268.25200000000001</v>
      </c>
      <c r="BR398" s="272">
        <v>17.57</v>
      </c>
      <c r="BS398" s="272">
        <v>21450.107</v>
      </c>
      <c r="BT398" s="272">
        <v>6950.1</v>
      </c>
      <c r="BU398" s="272">
        <v>11495.611999999999</v>
      </c>
      <c r="BV398" s="272">
        <v>2852.8359999999998</v>
      </c>
      <c r="BW398" s="272">
        <v>151.559</v>
      </c>
      <c r="BX398" s="272">
        <v>-2006.1980000000001</v>
      </c>
      <c r="BY398" s="272">
        <v>1444.232</v>
      </c>
      <c r="BZ398" s="272">
        <v>2.3260000000000001</v>
      </c>
      <c r="CA398" s="272">
        <v>2758.4630000000002</v>
      </c>
      <c r="CB398" s="272">
        <v>-484.69099999999997</v>
      </c>
      <c r="CC398" s="272">
        <v>-484.69099999999997</v>
      </c>
      <c r="CD398" s="272">
        <v>0</v>
      </c>
      <c r="CE398" s="272">
        <v>2273.7719999999999</v>
      </c>
      <c r="CF398" s="272">
        <v>2126.585</v>
      </c>
      <c r="CG398" s="272">
        <v>59.165999999999997</v>
      </c>
      <c r="CH398" s="272">
        <v>88.021000000000001</v>
      </c>
      <c r="CI398" s="272">
        <v>88167.754000000001</v>
      </c>
      <c r="CJ398" s="272">
        <v>14599.281000000001</v>
      </c>
      <c r="CK398" s="272">
        <v>73568.472999999998</v>
      </c>
      <c r="CL398" s="272">
        <v>42311.682000000001</v>
      </c>
      <c r="CM398" s="272">
        <v>26108.546999999999</v>
      </c>
      <c r="CN398" s="272">
        <v>5148.2439999999997</v>
      </c>
      <c r="CO398" s="272">
        <v>10.313000000000001</v>
      </c>
      <c r="CP398" s="272">
        <v>26.544</v>
      </c>
      <c r="CQ398" s="272">
        <v>5111.3869999999997</v>
      </c>
      <c r="CR398" s="272">
        <v>-24520.651999999998</v>
      </c>
      <c r="CS398" s="272">
        <v>-5317.97</v>
      </c>
      <c r="CT398" s="272">
        <v>-4003.8780000000002</v>
      </c>
      <c r="CU398" s="272">
        <v>-254.32599999999999</v>
      </c>
      <c r="CV398" s="272">
        <v>-7.5609999999999999</v>
      </c>
      <c r="CW398" s="272">
        <v>-1052.2049999999999</v>
      </c>
      <c r="CX398" s="272">
        <v>-16561.302</v>
      </c>
      <c r="CY398" s="272">
        <v>-11434.375</v>
      </c>
      <c r="CZ398" s="272">
        <v>-5057.9290000000001</v>
      </c>
      <c r="DA398" s="272">
        <v>-68.998000000000005</v>
      </c>
      <c r="DB398" s="272">
        <v>-1715.826</v>
      </c>
      <c r="DC398" s="272">
        <v>-925.55399999999997</v>
      </c>
      <c r="DD398" s="272">
        <v>63647.101999999999</v>
      </c>
      <c r="DE398" s="272">
        <v>29235.314999999999</v>
      </c>
      <c r="DF398" s="272">
        <v>34411.787000000004</v>
      </c>
      <c r="DG398" s="272">
        <v>33681.910000000003</v>
      </c>
      <c r="DH398" s="272">
        <v>729.87699999999995</v>
      </c>
      <c r="DI398" s="272">
        <v>20798.232</v>
      </c>
      <c r="DJ398" s="272">
        <v>910.70100000000002</v>
      </c>
      <c r="DK398" s="272">
        <v>340.66199999999998</v>
      </c>
      <c r="DL398" s="272">
        <v>22.292000000000002</v>
      </c>
      <c r="DM398" s="272">
        <v>11207.518</v>
      </c>
      <c r="DN398" s="272">
        <v>6692.1769999999997</v>
      </c>
      <c r="DO398" s="272">
        <v>1307.403</v>
      </c>
      <c r="DP398" s="272"/>
      <c r="DQ398" s="272">
        <v>312.05900000000003</v>
      </c>
      <c r="DR398" s="272">
        <v>5.42</v>
      </c>
      <c r="DS398" s="272">
        <v>-490.50200000000001</v>
      </c>
      <c r="DT398" s="272">
        <v>-70.795000000000002</v>
      </c>
      <c r="DU398" s="272">
        <v>-26.742000000000001</v>
      </c>
      <c r="DV398" s="272">
        <v>-0.57599999999999996</v>
      </c>
      <c r="DW398" s="272">
        <v>-326.44400000000002</v>
      </c>
      <c r="DX398" s="272">
        <v>-80.313999999999993</v>
      </c>
      <c r="DY398" s="272">
        <v>-4.4189999999999996</v>
      </c>
      <c r="DZ398" s="272">
        <v>-241.71100000000001</v>
      </c>
      <c r="EA398" s="272">
        <v>-63.826000000000001</v>
      </c>
      <c r="EB398" s="272">
        <v>-1.4259999999999999</v>
      </c>
      <c r="EC398" s="272"/>
      <c r="ED398" s="272">
        <v>0</v>
      </c>
      <c r="EE398" s="272">
        <v>-0.69299999999999995</v>
      </c>
      <c r="EF398" s="272">
        <v>20307.73</v>
      </c>
      <c r="EG398" s="272">
        <v>7349.3230000000003</v>
      </c>
      <c r="EH398" s="272">
        <v>12958.406999999999</v>
      </c>
      <c r="EI398" s="272">
        <v>12730.643</v>
      </c>
      <c r="EJ398" s="272">
        <v>227.76400000000001</v>
      </c>
      <c r="EK398" s="272">
        <v>839.90599999999995</v>
      </c>
      <c r="EL398" s="272">
        <v>328.75900000000001</v>
      </c>
      <c r="EM398" s="272">
        <v>511.14699999999999</v>
      </c>
      <c r="EN398" s="272">
        <v>501.08499999999998</v>
      </c>
      <c r="EO398" s="272">
        <v>10.061999999999999</v>
      </c>
      <c r="EP398" s="272">
        <v>313.92</v>
      </c>
      <c r="EQ398" s="272">
        <v>126.273</v>
      </c>
      <c r="ER398" s="272">
        <v>187.64700000000002</v>
      </c>
      <c r="ES398" s="272">
        <v>183.92500000000001</v>
      </c>
      <c r="ET398" s="272">
        <v>3.722</v>
      </c>
      <c r="EU398" s="272">
        <v>21.716000000000001</v>
      </c>
      <c r="EV398" s="272">
        <v>7.367</v>
      </c>
      <c r="EW398" s="272">
        <v>14.349</v>
      </c>
      <c r="EX398" s="272">
        <v>14.067</v>
      </c>
      <c r="EY398" s="272">
        <v>0.28199999999999997</v>
      </c>
      <c r="EZ398" s="272">
        <v>10881.074000000001</v>
      </c>
      <c r="FA398" s="272">
        <v>4204.9709999999995</v>
      </c>
      <c r="FB398" s="272">
        <v>6676.1030000000001</v>
      </c>
      <c r="FC398" s="272">
        <v>6549.2079999999996</v>
      </c>
      <c r="FD398" s="272">
        <v>126.895</v>
      </c>
      <c r="FE398" s="272">
        <v>6628.3509999999997</v>
      </c>
      <c r="FF398" s="272">
        <v>2424.8040000000001</v>
      </c>
      <c r="FG398" s="272">
        <v>4203.5469999999996</v>
      </c>
      <c r="FH398" s="272">
        <v>4116.7439999999997</v>
      </c>
      <c r="FI398" s="272">
        <v>86.802999999999997</v>
      </c>
      <c r="FJ398" s="272">
        <v>1305.9770000000001</v>
      </c>
      <c r="FK398" s="272">
        <v>-59.637</v>
      </c>
      <c r="FL398" s="272">
        <v>1365.614</v>
      </c>
      <c r="FM398" s="272">
        <v>1365.614</v>
      </c>
      <c r="FN398" s="272"/>
      <c r="FO398" s="272"/>
      <c r="FP398" s="272">
        <v>312.05900000000003</v>
      </c>
      <c r="FQ398" s="272">
        <v>4.7270000000000003</v>
      </c>
      <c r="FR398" s="272">
        <v>8364.5679999999993</v>
      </c>
      <c r="FS398" s="272">
        <v>-823.60500000000002</v>
      </c>
      <c r="FT398" s="272">
        <v>7540.9629999999997</v>
      </c>
      <c r="FU398" s="272">
        <v>1926.645</v>
      </c>
      <c r="FV398" s="272">
        <v>1806.6569999999999</v>
      </c>
      <c r="FW398" s="272">
        <v>119.988</v>
      </c>
      <c r="FX398" s="272">
        <v>1928.1780000000001</v>
      </c>
      <c r="FY398" s="272">
        <v>1449.251</v>
      </c>
      <c r="FZ398" s="272"/>
      <c r="GA398" s="272"/>
      <c r="GB398" s="272">
        <v>52.991</v>
      </c>
      <c r="GC398" s="272">
        <v>763.13199999999995</v>
      </c>
      <c r="GD398" s="272">
        <v>10.141999999999999</v>
      </c>
      <c r="GE398" s="272">
        <v>196.916</v>
      </c>
      <c r="GF398" s="272">
        <v>556.07399999999996</v>
      </c>
      <c r="GG398" s="272">
        <v>1420.7660000000001</v>
      </c>
      <c r="GH398" s="272">
        <v>192.578</v>
      </c>
      <c r="GI398" s="272">
        <v>12.968999999999999</v>
      </c>
      <c r="GJ398" s="272">
        <v>1215.2190000000001</v>
      </c>
    </row>
    <row r="399" spans="1:192">
      <c r="A399" s="270" t="s">
        <v>36</v>
      </c>
      <c r="B399" s="271"/>
      <c r="C399" s="271"/>
      <c r="D399" s="272">
        <v>258154.02600000001</v>
      </c>
      <c r="E399" s="272">
        <v>-49212.879000000001</v>
      </c>
      <c r="F399" s="272">
        <v>-256.18200000000002</v>
      </c>
      <c r="G399" s="272">
        <v>208684.965</v>
      </c>
      <c r="H399" s="272">
        <v>116331.311</v>
      </c>
      <c r="I399" s="272">
        <v>92353.65400000001</v>
      </c>
      <c r="J399" s="272">
        <v>90453.27</v>
      </c>
      <c r="K399" s="272">
        <v>1900.384</v>
      </c>
      <c r="L399" s="272">
        <v>94550.944000000003</v>
      </c>
      <c r="M399" s="272">
        <v>73393.763999999996</v>
      </c>
      <c r="N399" s="272">
        <v>11257.525</v>
      </c>
      <c r="O399" s="272">
        <v>10035.885</v>
      </c>
      <c r="P399" s="272">
        <v>1221.6400000000001</v>
      </c>
      <c r="Q399" s="272">
        <v>954.19200000000001</v>
      </c>
      <c r="R399" s="272">
        <v>8945.4629999999997</v>
      </c>
      <c r="S399" s="272">
        <v>-11436.107</v>
      </c>
      <c r="T399" s="272">
        <v>-11197.419</v>
      </c>
      <c r="U399" s="272">
        <v>-881.952</v>
      </c>
      <c r="V399" s="272">
        <v>-89.311000000000007</v>
      </c>
      <c r="W399" s="272">
        <v>-9329.4750000000004</v>
      </c>
      <c r="X399" s="272">
        <v>-371.13</v>
      </c>
      <c r="Y399" s="272">
        <v>-525.55100000000004</v>
      </c>
      <c r="Z399" s="272">
        <v>-67.716999999999999</v>
      </c>
      <c r="AA399" s="272">
        <v>-67.754999999999995</v>
      </c>
      <c r="AB399" s="272">
        <v>-103.21599999999999</v>
      </c>
      <c r="AC399" s="272">
        <v>-256.18200000000002</v>
      </c>
      <c r="AD399" s="272">
        <v>82858.654999999999</v>
      </c>
      <c r="AE399" s="272">
        <v>40236.569000000003</v>
      </c>
      <c r="AF399" s="272">
        <v>42622.085999999996</v>
      </c>
      <c r="AG399" s="272">
        <v>41736.538999999997</v>
      </c>
      <c r="AH399" s="272">
        <v>885.54700000000003</v>
      </c>
      <c r="AI399" s="272">
        <v>73339.301000000007</v>
      </c>
      <c r="AJ399" s="272">
        <v>21857.895</v>
      </c>
      <c r="AK399" s="272">
        <v>34251.597999999998</v>
      </c>
      <c r="AL399" s="272">
        <v>16793.731</v>
      </c>
      <c r="AM399" s="272">
        <v>3127.3679999999999</v>
      </c>
      <c r="AN399" s="272">
        <v>1869.537</v>
      </c>
      <c r="AO399" s="272">
        <v>504.23</v>
      </c>
      <c r="AP399" s="272">
        <v>404.76</v>
      </c>
      <c r="AQ399" s="272">
        <v>2923.06</v>
      </c>
      <c r="AR399" s="272">
        <v>60.106000000000002</v>
      </c>
      <c r="AS399" s="272">
        <v>886.47500000000002</v>
      </c>
      <c r="AT399" s="272">
        <v>0</v>
      </c>
      <c r="AU399" s="272">
        <v>-256.18200000000002</v>
      </c>
      <c r="AV399" s="272">
        <v>34758.599000000002</v>
      </c>
      <c r="AW399" s="272">
        <v>23967.13</v>
      </c>
      <c r="AX399" s="272">
        <v>6551.2120000000004</v>
      </c>
      <c r="AY399" s="272">
        <v>1798.9010000000001</v>
      </c>
      <c r="AZ399" s="272">
        <v>769.46699999999998</v>
      </c>
      <c r="BA399" s="272">
        <v>3431.1889999999999</v>
      </c>
      <c r="BB399" s="272">
        <v>551.65499999999997</v>
      </c>
      <c r="BC399" s="272">
        <v>1931.721</v>
      </c>
      <c r="BD399" s="272">
        <v>2308.5360000000001</v>
      </c>
      <c r="BE399" s="272">
        <v>-9920.8220000000001</v>
      </c>
      <c r="BF399" s="272">
        <v>-9907.1290000000008</v>
      </c>
      <c r="BG399" s="272">
        <v>-9111.7990000000009</v>
      </c>
      <c r="BH399" s="272">
        <v>-795.33</v>
      </c>
      <c r="BI399" s="272">
        <v>-2775.9670000000001</v>
      </c>
      <c r="BJ399" s="272">
        <v>-6267.0519999999997</v>
      </c>
      <c r="BK399" s="272">
        <v>-864.11</v>
      </c>
      <c r="BL399" s="272">
        <v>-13.693</v>
      </c>
      <c r="BM399" s="272">
        <v>0</v>
      </c>
      <c r="BN399" s="272">
        <v>24837.776999999998</v>
      </c>
      <c r="BO399" s="272">
        <v>1315.4480000000001</v>
      </c>
      <c r="BP399" s="272">
        <v>760.56399999999996</v>
      </c>
      <c r="BQ399" s="272">
        <v>214.44300000000001</v>
      </c>
      <c r="BR399" s="272">
        <v>12.025</v>
      </c>
      <c r="BS399" s="272">
        <v>23957.915000000001</v>
      </c>
      <c r="BT399" s="272">
        <v>7277.848</v>
      </c>
      <c r="BU399" s="272">
        <v>13509.013999999999</v>
      </c>
      <c r="BV399" s="272">
        <v>2962.9870000000001</v>
      </c>
      <c r="BW399" s="272">
        <v>208.066</v>
      </c>
      <c r="BX399" s="272">
        <v>-2560.587</v>
      </c>
      <c r="BY399" s="272">
        <v>1136.3910000000001</v>
      </c>
      <c r="BZ399" s="272">
        <v>1.5780000000000001</v>
      </c>
      <c r="CA399" s="272">
        <v>3353.7629999999999</v>
      </c>
      <c r="CB399" s="272">
        <v>-688.91200000000003</v>
      </c>
      <c r="CC399" s="272">
        <v>-688.91200000000003</v>
      </c>
      <c r="CD399" s="272">
        <v>0</v>
      </c>
      <c r="CE399" s="272">
        <v>2664.8510000000001</v>
      </c>
      <c r="CF399" s="272">
        <v>2417.567</v>
      </c>
      <c r="CG399" s="272">
        <v>61.701000000000001</v>
      </c>
      <c r="CH399" s="272">
        <v>185.583</v>
      </c>
      <c r="CI399" s="272">
        <v>96155.603000000003</v>
      </c>
      <c r="CJ399" s="272">
        <v>16484.357</v>
      </c>
      <c r="CK399" s="272">
        <v>79671.245999999999</v>
      </c>
      <c r="CL399" s="272">
        <v>47001.858999999997</v>
      </c>
      <c r="CM399" s="272">
        <v>27591.03</v>
      </c>
      <c r="CN399" s="272">
        <v>5078.357</v>
      </c>
      <c r="CO399" s="272">
        <v>68.974000000000004</v>
      </c>
      <c r="CP399" s="272">
        <v>47.201999999999998</v>
      </c>
      <c r="CQ399" s="272">
        <v>4962.1809999999996</v>
      </c>
      <c r="CR399" s="272">
        <v>-25978.812999999998</v>
      </c>
      <c r="CS399" s="272">
        <v>-5821.74</v>
      </c>
      <c r="CT399" s="272">
        <v>-4429.201</v>
      </c>
      <c r="CU399" s="272">
        <v>-245.14099999999999</v>
      </c>
      <c r="CV399" s="272">
        <v>-5.944</v>
      </c>
      <c r="CW399" s="272">
        <v>-1141.454</v>
      </c>
      <c r="CX399" s="272">
        <v>-17269.969000000001</v>
      </c>
      <c r="CY399" s="272">
        <v>-11853.109</v>
      </c>
      <c r="CZ399" s="272">
        <v>-5321.55</v>
      </c>
      <c r="DA399" s="272">
        <v>-95.31</v>
      </c>
      <c r="DB399" s="272">
        <v>-1869.9839999999999</v>
      </c>
      <c r="DC399" s="272">
        <v>-1017.12</v>
      </c>
      <c r="DD399" s="272">
        <v>70176.789999999994</v>
      </c>
      <c r="DE399" s="272">
        <v>33592.942000000003</v>
      </c>
      <c r="DF399" s="272">
        <v>36583.847999999998</v>
      </c>
      <c r="DG399" s="272">
        <v>35789.597000000002</v>
      </c>
      <c r="DH399" s="272">
        <v>794.25099999999998</v>
      </c>
      <c r="DI399" s="272">
        <v>20898.644</v>
      </c>
      <c r="DJ399" s="272">
        <v>894.68499999999995</v>
      </c>
      <c r="DK399" s="272">
        <v>348.709</v>
      </c>
      <c r="DL399" s="272">
        <v>22.437000000000001</v>
      </c>
      <c r="DM399" s="272">
        <v>11417.343000000001</v>
      </c>
      <c r="DN399" s="272">
        <v>6588.6629999999996</v>
      </c>
      <c r="DO399" s="272">
        <v>1354.4860000000001</v>
      </c>
      <c r="DP399" s="272"/>
      <c r="DQ399" s="272">
        <v>271.28100000000001</v>
      </c>
      <c r="DR399" s="272">
        <v>1.04</v>
      </c>
      <c r="DS399" s="272">
        <v>-370.48</v>
      </c>
      <c r="DT399" s="272">
        <v>-73.521000000000001</v>
      </c>
      <c r="DU399" s="272">
        <v>-29.013999999999999</v>
      </c>
      <c r="DV399" s="272">
        <v>-1.1970000000000001</v>
      </c>
      <c r="DW399" s="272">
        <v>-207.45</v>
      </c>
      <c r="DX399" s="272">
        <v>-77.614000000000004</v>
      </c>
      <c r="DY399" s="272">
        <v>-4.6900000000000004</v>
      </c>
      <c r="DZ399" s="272">
        <v>-125.146</v>
      </c>
      <c r="EA399" s="272">
        <v>-55.680999999999997</v>
      </c>
      <c r="EB399" s="272">
        <v>-2.6440000000000001</v>
      </c>
      <c r="EC399" s="272"/>
      <c r="ED399" s="272">
        <v>-0.16900000000000001</v>
      </c>
      <c r="EE399" s="272">
        <v>-0.80400000000000005</v>
      </c>
      <c r="EF399" s="272">
        <v>20528.164000000001</v>
      </c>
      <c r="EG399" s="272">
        <v>7380.4440000000004</v>
      </c>
      <c r="EH399" s="272">
        <v>13147.72</v>
      </c>
      <c r="EI399" s="272">
        <v>12927.134</v>
      </c>
      <c r="EJ399" s="272">
        <v>220.58600000000001</v>
      </c>
      <c r="EK399" s="272">
        <v>821.16399999999999</v>
      </c>
      <c r="EL399" s="272">
        <v>307.11700000000002</v>
      </c>
      <c r="EM399" s="272">
        <v>514.04700000000003</v>
      </c>
      <c r="EN399" s="272">
        <v>503.77300000000002</v>
      </c>
      <c r="EO399" s="272">
        <v>10.273999999999999</v>
      </c>
      <c r="EP399" s="272">
        <v>319.69499999999999</v>
      </c>
      <c r="EQ399" s="272">
        <v>132.13499999999999</v>
      </c>
      <c r="ER399" s="272">
        <v>187.56</v>
      </c>
      <c r="ES399" s="272">
        <v>183.84</v>
      </c>
      <c r="ET399" s="272">
        <v>3.72</v>
      </c>
      <c r="EU399" s="272">
        <v>21.24</v>
      </c>
      <c r="EV399" s="272">
        <v>5.6230000000000002</v>
      </c>
      <c r="EW399" s="272">
        <v>15.617000000000001</v>
      </c>
      <c r="EX399" s="272">
        <v>15.307</v>
      </c>
      <c r="EY399" s="272">
        <v>0.31</v>
      </c>
      <c r="EZ399" s="272">
        <v>11209.893</v>
      </c>
      <c r="FA399" s="272">
        <v>4144.1549999999997</v>
      </c>
      <c r="FB399" s="272">
        <v>7065.7380000000003</v>
      </c>
      <c r="FC399" s="272">
        <v>6940.2759999999998</v>
      </c>
      <c r="FD399" s="272">
        <v>125.462</v>
      </c>
      <c r="FE399" s="272">
        <v>6532.982</v>
      </c>
      <c r="FF399" s="272">
        <v>2424.6979999999999</v>
      </c>
      <c r="FG399" s="272">
        <v>4108.2839999999997</v>
      </c>
      <c r="FH399" s="272">
        <v>4027.4639999999999</v>
      </c>
      <c r="FI399" s="272">
        <v>80.819999999999993</v>
      </c>
      <c r="FJ399" s="272">
        <v>1351.8420000000001</v>
      </c>
      <c r="FK399" s="272">
        <v>95.367999999999995</v>
      </c>
      <c r="FL399" s="272">
        <v>1256.4739999999999</v>
      </c>
      <c r="FM399" s="272">
        <v>1256.4739999999999</v>
      </c>
      <c r="FN399" s="272"/>
      <c r="FO399" s="272"/>
      <c r="FP399" s="272">
        <v>271.11200000000002</v>
      </c>
      <c r="FQ399" s="272">
        <v>0.23599999999999999</v>
      </c>
      <c r="FR399" s="272">
        <v>8436.473</v>
      </c>
      <c r="FS399" s="272">
        <v>-817.745</v>
      </c>
      <c r="FT399" s="272">
        <v>7618.7280000000001</v>
      </c>
      <c r="FU399" s="272">
        <v>1981.3520000000001</v>
      </c>
      <c r="FV399" s="272">
        <v>1871.722</v>
      </c>
      <c r="FW399" s="272">
        <v>109.63</v>
      </c>
      <c r="FX399" s="272">
        <v>1906.4190000000001</v>
      </c>
      <c r="FY399" s="272">
        <v>1504.2280000000001</v>
      </c>
      <c r="FZ399" s="272"/>
      <c r="GA399" s="272"/>
      <c r="GB399" s="272">
        <v>49.253</v>
      </c>
      <c r="GC399" s="272">
        <v>679.50400000000002</v>
      </c>
      <c r="GD399" s="272">
        <v>11.754</v>
      </c>
      <c r="GE399" s="272">
        <v>110.47</v>
      </c>
      <c r="GF399" s="272">
        <v>557.28</v>
      </c>
      <c r="GG399" s="272">
        <v>1497.972</v>
      </c>
      <c r="GH399" s="272">
        <v>200.96100000000001</v>
      </c>
      <c r="GI399" s="272">
        <v>3.4630000000000001</v>
      </c>
      <c r="GJ399" s="272">
        <v>1293.548</v>
      </c>
    </row>
    <row r="400" spans="1:192">
      <c r="A400" s="270">
        <v>2019</v>
      </c>
      <c r="B400" s="271"/>
      <c r="C400" s="271"/>
      <c r="D400" s="272">
        <v>266724.49</v>
      </c>
      <c r="E400" s="272">
        <v>-53644.057000000001</v>
      </c>
      <c r="F400" s="272">
        <v>-272.887</v>
      </c>
      <c r="G400" s="272">
        <v>212807.546</v>
      </c>
      <c r="H400" s="272">
        <v>116898.889</v>
      </c>
      <c r="I400" s="272">
        <v>95908.656999999992</v>
      </c>
      <c r="J400" s="272">
        <v>93950.933999999994</v>
      </c>
      <c r="K400" s="272">
        <v>1957.723</v>
      </c>
      <c r="L400" s="272">
        <v>100410.368</v>
      </c>
      <c r="M400" s="272">
        <v>77403.717000000004</v>
      </c>
      <c r="N400" s="272">
        <v>12840.361000000001</v>
      </c>
      <c r="O400" s="272">
        <v>11551.73</v>
      </c>
      <c r="P400" s="272">
        <v>1288.6310000000001</v>
      </c>
      <c r="Q400" s="272">
        <v>961.10199999999998</v>
      </c>
      <c r="R400" s="272">
        <v>9205.1880000000001</v>
      </c>
      <c r="S400" s="272">
        <v>-13245.273999999999</v>
      </c>
      <c r="T400" s="272">
        <v>-13055.714</v>
      </c>
      <c r="U400" s="272">
        <v>-879.51</v>
      </c>
      <c r="V400" s="272">
        <v>-88.933999999999997</v>
      </c>
      <c r="W400" s="272">
        <v>-10119.73</v>
      </c>
      <c r="X400" s="272">
        <v>-362.66899999999998</v>
      </c>
      <c r="Y400" s="272">
        <v>-1604.8710000000001</v>
      </c>
      <c r="Z400" s="272">
        <v>-76.988</v>
      </c>
      <c r="AA400" s="272">
        <v>-95.186999999999998</v>
      </c>
      <c r="AB400" s="272">
        <v>-17.385000000000002</v>
      </c>
      <c r="AC400" s="272">
        <v>-272.887</v>
      </c>
      <c r="AD400" s="272">
        <v>86892.206999999995</v>
      </c>
      <c r="AE400" s="272">
        <v>40735.963000000003</v>
      </c>
      <c r="AF400" s="272">
        <v>46156.244000000006</v>
      </c>
      <c r="AG400" s="272">
        <v>45164.677000000003</v>
      </c>
      <c r="AH400" s="272">
        <v>991.56700000000001</v>
      </c>
      <c r="AI400" s="272">
        <v>77328.978000000003</v>
      </c>
      <c r="AJ400" s="272">
        <v>23281.651999999998</v>
      </c>
      <c r="AK400" s="272">
        <v>35964.449999999997</v>
      </c>
      <c r="AL400" s="272">
        <v>17633.620999999999</v>
      </c>
      <c r="AM400" s="272">
        <v>3259.0709999999999</v>
      </c>
      <c r="AN400" s="272">
        <v>1930.3910000000001</v>
      </c>
      <c r="AO400" s="272">
        <v>506.04300000000001</v>
      </c>
      <c r="AP400" s="272">
        <v>343.14100000000002</v>
      </c>
      <c r="AQ400" s="272">
        <v>3128.7089999999998</v>
      </c>
      <c r="AR400" s="272">
        <v>-215.35300000000001</v>
      </c>
      <c r="AS400" s="272">
        <v>884.11400000000003</v>
      </c>
      <c r="AT400" s="272">
        <v>0</v>
      </c>
      <c r="AU400" s="272">
        <v>-272.887</v>
      </c>
      <c r="AV400" s="272">
        <v>33612.142999999996</v>
      </c>
      <c r="AW400" s="272">
        <v>22455.809000000001</v>
      </c>
      <c r="AX400" s="272">
        <v>7206.5659999999998</v>
      </c>
      <c r="AY400" s="272">
        <v>2070.1489999999999</v>
      </c>
      <c r="AZ400" s="272">
        <v>982.26300000000003</v>
      </c>
      <c r="BA400" s="272">
        <v>3562.8090000000002</v>
      </c>
      <c r="BB400" s="272">
        <v>591.34500000000003</v>
      </c>
      <c r="BC400" s="272">
        <v>1549.6210000000001</v>
      </c>
      <c r="BD400" s="272">
        <v>2400.1469999999999</v>
      </c>
      <c r="BE400" s="272">
        <v>-9879.2199999999993</v>
      </c>
      <c r="BF400" s="272">
        <v>-9854.69</v>
      </c>
      <c r="BG400" s="272">
        <v>-8567.8539999999994</v>
      </c>
      <c r="BH400" s="272">
        <v>-1286.836</v>
      </c>
      <c r="BI400" s="272">
        <v>-1771.222</v>
      </c>
      <c r="BJ400" s="272">
        <v>-6133.9059999999999</v>
      </c>
      <c r="BK400" s="272">
        <v>-1949.5619999999999</v>
      </c>
      <c r="BL400" s="272">
        <v>-24.53</v>
      </c>
      <c r="BM400" s="272">
        <v>0</v>
      </c>
      <c r="BN400" s="272">
        <v>23732.922999999999</v>
      </c>
      <c r="BO400" s="272">
        <v>1369.567</v>
      </c>
      <c r="BP400" s="272">
        <v>784.86500000000001</v>
      </c>
      <c r="BQ400" s="272">
        <v>215.42699999999999</v>
      </c>
      <c r="BR400" s="272">
        <v>22.114999999999998</v>
      </c>
      <c r="BS400" s="272">
        <v>22440.106</v>
      </c>
      <c r="BT400" s="272">
        <v>7349.0479999999998</v>
      </c>
      <c r="BU400" s="272">
        <v>11269.52</v>
      </c>
      <c r="BV400" s="272">
        <v>3342.864</v>
      </c>
      <c r="BW400" s="272">
        <v>478.67399999999998</v>
      </c>
      <c r="BX400" s="272">
        <v>-1361.288</v>
      </c>
      <c r="BY400" s="272">
        <v>262.78500000000003</v>
      </c>
      <c r="BZ400" s="272">
        <v>-0.65400000000000003</v>
      </c>
      <c r="CA400" s="272">
        <v>3146.692</v>
      </c>
      <c r="CB400" s="272">
        <v>-777.72500000000002</v>
      </c>
      <c r="CC400" s="272">
        <v>-777.72500000000002</v>
      </c>
      <c r="CD400" s="272">
        <v>0</v>
      </c>
      <c r="CE400" s="272">
        <v>2368.9670000000001</v>
      </c>
      <c r="CF400" s="272">
        <v>2548.5520000000001</v>
      </c>
      <c r="CG400" s="272">
        <v>64.421000000000006</v>
      </c>
      <c r="CH400" s="272">
        <v>-244.006</v>
      </c>
      <c r="CI400" s="272">
        <v>99641.354999999996</v>
      </c>
      <c r="CJ400" s="272">
        <v>17281.727999999999</v>
      </c>
      <c r="CK400" s="272">
        <v>82359.626999999993</v>
      </c>
      <c r="CL400" s="272">
        <v>48329.716</v>
      </c>
      <c r="CM400" s="272">
        <v>28684.546999999999</v>
      </c>
      <c r="CN400" s="272">
        <v>5345.3639999999996</v>
      </c>
      <c r="CO400" s="272">
        <v>35.76</v>
      </c>
      <c r="CP400" s="272">
        <v>19.39</v>
      </c>
      <c r="CQ400" s="272">
        <v>5290.2139999999999</v>
      </c>
      <c r="CR400" s="272">
        <v>-28103.432000000001</v>
      </c>
      <c r="CS400" s="272">
        <v>-6028.549</v>
      </c>
      <c r="CT400" s="272">
        <v>-4678.2370000000001</v>
      </c>
      <c r="CU400" s="272">
        <v>-230.03100000000001</v>
      </c>
      <c r="CV400" s="272">
        <v>-8.2829999999999995</v>
      </c>
      <c r="CW400" s="272">
        <v>-1111.998</v>
      </c>
      <c r="CX400" s="272">
        <v>-19051.682000000001</v>
      </c>
      <c r="CY400" s="272">
        <v>-12834.07</v>
      </c>
      <c r="CZ400" s="272">
        <v>-6067.9669999999996</v>
      </c>
      <c r="DA400" s="272">
        <v>-149.64500000000001</v>
      </c>
      <c r="DB400" s="272">
        <v>-1941.7850000000001</v>
      </c>
      <c r="DC400" s="272">
        <v>-1081.4159999999999</v>
      </c>
      <c r="DD400" s="272">
        <v>71537.922999999995</v>
      </c>
      <c r="DE400" s="272">
        <v>35898.146000000001</v>
      </c>
      <c r="DF400" s="272">
        <v>35639.777000000002</v>
      </c>
      <c r="DG400" s="272">
        <v>34885.565000000002</v>
      </c>
      <c r="DH400" s="272">
        <v>754.21199999999999</v>
      </c>
      <c r="DI400" s="272">
        <v>21963.527999999998</v>
      </c>
      <c r="DJ400" s="272">
        <v>896.82899999999995</v>
      </c>
      <c r="DK400" s="272">
        <v>358.02300000000002</v>
      </c>
      <c r="DL400" s="272">
        <v>22.248000000000001</v>
      </c>
      <c r="DM400" s="272">
        <v>12653.251</v>
      </c>
      <c r="DN400" s="272">
        <v>6514.2529999999997</v>
      </c>
      <c r="DO400" s="272">
        <v>1378.6949999999999</v>
      </c>
      <c r="DP400" s="272"/>
      <c r="DQ400" s="272">
        <v>139.33600000000001</v>
      </c>
      <c r="DR400" s="272">
        <v>0.89300000000000002</v>
      </c>
      <c r="DS400" s="272">
        <v>-583.79999999999995</v>
      </c>
      <c r="DT400" s="272">
        <v>-95.747</v>
      </c>
      <c r="DU400" s="272">
        <v>-25.521999999999998</v>
      </c>
      <c r="DV400" s="272">
        <v>-0.311</v>
      </c>
      <c r="DW400" s="272">
        <v>-389.62700000000001</v>
      </c>
      <c r="DX400" s="272">
        <v>-73.105999999999995</v>
      </c>
      <c r="DY400" s="272">
        <v>-187.554</v>
      </c>
      <c r="DZ400" s="272">
        <v>-128.96700000000001</v>
      </c>
      <c r="EA400" s="272">
        <v>-68.876999999999995</v>
      </c>
      <c r="EB400" s="272">
        <v>-2.4540000000000002</v>
      </c>
      <c r="EC400" s="272"/>
      <c r="ED400" s="272">
        <v>-0.122</v>
      </c>
      <c r="EE400" s="272">
        <v>-1.1399999999999999</v>
      </c>
      <c r="EF400" s="272">
        <v>21379.727999999999</v>
      </c>
      <c r="EG400" s="272">
        <v>7267.0919999999996</v>
      </c>
      <c r="EH400" s="272">
        <v>14112.635999999999</v>
      </c>
      <c r="EI400" s="272">
        <v>13900.691999999999</v>
      </c>
      <c r="EJ400" s="272">
        <v>211.94399999999999</v>
      </c>
      <c r="EK400" s="272">
        <v>801.08199999999999</v>
      </c>
      <c r="EL400" s="272">
        <v>309.93099999999998</v>
      </c>
      <c r="EM400" s="272">
        <v>491.15100000000001</v>
      </c>
      <c r="EN400" s="272">
        <v>481.459</v>
      </c>
      <c r="EO400" s="272">
        <v>9.6920000000000002</v>
      </c>
      <c r="EP400" s="272">
        <v>332.50099999999998</v>
      </c>
      <c r="EQ400" s="272">
        <v>132.226</v>
      </c>
      <c r="ER400" s="272">
        <v>200.27500000000001</v>
      </c>
      <c r="ES400" s="272">
        <v>196.28399999999999</v>
      </c>
      <c r="ET400" s="272">
        <v>3.9910000000000001</v>
      </c>
      <c r="EU400" s="272">
        <v>21.937000000000001</v>
      </c>
      <c r="EV400" s="272">
        <v>9.6679999999999993</v>
      </c>
      <c r="EW400" s="272">
        <v>12.269</v>
      </c>
      <c r="EX400" s="272">
        <v>12.028</v>
      </c>
      <c r="EY400" s="272">
        <v>0.24099999999999999</v>
      </c>
      <c r="EZ400" s="272">
        <v>12263.624</v>
      </c>
      <c r="FA400" s="272">
        <v>3801.3409999999999</v>
      </c>
      <c r="FB400" s="272">
        <v>8462.2829999999994</v>
      </c>
      <c r="FC400" s="272">
        <v>8334.5990000000002</v>
      </c>
      <c r="FD400" s="272">
        <v>127.684</v>
      </c>
      <c r="FE400" s="272">
        <v>6445.3760000000002</v>
      </c>
      <c r="FF400" s="272">
        <v>2719.3049999999998</v>
      </c>
      <c r="FG400" s="272">
        <v>3726.0709999999999</v>
      </c>
      <c r="FH400" s="272">
        <v>3655.7350000000001</v>
      </c>
      <c r="FI400" s="272">
        <v>70.335999999999999</v>
      </c>
      <c r="FJ400" s="272">
        <v>1376.241</v>
      </c>
      <c r="FK400" s="272">
        <v>155.654</v>
      </c>
      <c r="FL400" s="272">
        <v>1220.587</v>
      </c>
      <c r="FM400" s="272">
        <v>1220.587</v>
      </c>
      <c r="FN400" s="272"/>
      <c r="FO400" s="272"/>
      <c r="FP400" s="272">
        <v>139.214</v>
      </c>
      <c r="FQ400" s="272">
        <v>-0.247</v>
      </c>
      <c r="FR400" s="272">
        <v>7950.4040000000005</v>
      </c>
      <c r="FS400" s="272">
        <v>-1054.606</v>
      </c>
      <c r="FT400" s="272">
        <v>6895.7979999999998</v>
      </c>
      <c r="FU400" s="272">
        <v>1100.1030000000001</v>
      </c>
      <c r="FV400" s="272">
        <v>1019.301</v>
      </c>
      <c r="FW400" s="272">
        <v>80.802000000000007</v>
      </c>
      <c r="FX400" s="272">
        <v>1984.288</v>
      </c>
      <c r="FY400" s="272">
        <v>1546.97</v>
      </c>
      <c r="FZ400" s="272"/>
      <c r="GA400" s="272"/>
      <c r="GB400" s="272">
        <v>53.067999999999998</v>
      </c>
      <c r="GC400" s="272">
        <v>1020.1849999999999</v>
      </c>
      <c r="GD400" s="272">
        <v>74.069999999999993</v>
      </c>
      <c r="GE400" s="272">
        <v>316.65600000000001</v>
      </c>
      <c r="GF400" s="272">
        <v>629.45899999999995</v>
      </c>
      <c r="GG400" s="272">
        <v>1191.184</v>
      </c>
      <c r="GH400" s="272">
        <v>39.799999999999997</v>
      </c>
      <c r="GI400" s="272">
        <v>7.1619999999999999</v>
      </c>
      <c r="GJ400" s="272">
        <v>1144.222</v>
      </c>
    </row>
    <row r="401" spans="1:192">
      <c r="A401" s="270">
        <v>2020</v>
      </c>
      <c r="B401" s="271"/>
      <c r="C401" s="271"/>
      <c r="D401" s="272">
        <v>248347.486</v>
      </c>
      <c r="E401" s="272">
        <v>-53878.078999999998</v>
      </c>
      <c r="F401" s="272">
        <v>-418.76900000000001</v>
      </c>
      <c r="G401" s="272">
        <v>194050.63800000001</v>
      </c>
      <c r="H401" s="272">
        <v>91400.585000000006</v>
      </c>
      <c r="I401" s="272">
        <v>102650.053</v>
      </c>
      <c r="J401" s="272">
        <v>100604.626</v>
      </c>
      <c r="K401" s="272">
        <v>2045.4269999999999</v>
      </c>
      <c r="L401" s="272">
        <v>100917.11199999999</v>
      </c>
      <c r="M401" s="272">
        <v>78647.066999999995</v>
      </c>
      <c r="N401" s="272">
        <v>13422.107</v>
      </c>
      <c r="O401" s="272">
        <v>12139.056</v>
      </c>
      <c r="P401" s="272">
        <v>1283.0509999999999</v>
      </c>
      <c r="Q401" s="272">
        <v>696.79</v>
      </c>
      <c r="R401" s="272">
        <v>8151.1480000000001</v>
      </c>
      <c r="S401" s="272">
        <v>-12526.72</v>
      </c>
      <c r="T401" s="272">
        <v>-12271.045</v>
      </c>
      <c r="U401" s="272">
        <v>-837.85900000000004</v>
      </c>
      <c r="V401" s="272">
        <v>-90.262</v>
      </c>
      <c r="W401" s="272">
        <v>-10429.547</v>
      </c>
      <c r="X401" s="272">
        <v>-388.78399999999999</v>
      </c>
      <c r="Y401" s="272">
        <v>-524.59299999999996</v>
      </c>
      <c r="Z401" s="272">
        <v>-81.555000000000007</v>
      </c>
      <c r="AA401" s="272">
        <v>-150.21700000000001</v>
      </c>
      <c r="AB401" s="272">
        <v>-23.902999999999999</v>
      </c>
      <c r="AC401" s="272">
        <v>-418.76900000000001</v>
      </c>
      <c r="AD401" s="272">
        <v>87971.623000000007</v>
      </c>
      <c r="AE401" s="272">
        <v>36699.574000000001</v>
      </c>
      <c r="AF401" s="272">
        <v>51272.048999999999</v>
      </c>
      <c r="AG401" s="272">
        <v>50234.491999999998</v>
      </c>
      <c r="AH401" s="272">
        <v>1037.557</v>
      </c>
      <c r="AI401" s="272">
        <v>78512.513000000006</v>
      </c>
      <c r="AJ401" s="272">
        <v>24910.883999999998</v>
      </c>
      <c r="AK401" s="272">
        <v>36257.692000000003</v>
      </c>
      <c r="AL401" s="272">
        <v>16197.722</v>
      </c>
      <c r="AM401" s="272">
        <v>2606.5430000000001</v>
      </c>
      <c r="AN401" s="272">
        <v>1787.2049999999999</v>
      </c>
      <c r="AO401" s="272">
        <v>564.82100000000003</v>
      </c>
      <c r="AP401" s="272">
        <v>336.46800000000002</v>
      </c>
      <c r="AQ401" s="272">
        <v>2816.5450000000001</v>
      </c>
      <c r="AR401" s="272">
        <v>1151.0619999999999</v>
      </c>
      <c r="AS401" s="272">
        <v>615.23500000000001</v>
      </c>
      <c r="AT401" s="272">
        <v>0</v>
      </c>
      <c r="AU401" s="272">
        <v>-418.76900000000001</v>
      </c>
      <c r="AV401" s="272">
        <v>28066.342000000001</v>
      </c>
      <c r="AW401" s="272">
        <v>16803.59</v>
      </c>
      <c r="AX401" s="272">
        <v>7122.4390000000003</v>
      </c>
      <c r="AY401" s="272">
        <v>1943.876</v>
      </c>
      <c r="AZ401" s="272">
        <v>928.57299999999998</v>
      </c>
      <c r="BA401" s="272">
        <v>3638.8989999999999</v>
      </c>
      <c r="BB401" s="272">
        <v>611.09100000000001</v>
      </c>
      <c r="BC401" s="272">
        <v>2072.0450000000001</v>
      </c>
      <c r="BD401" s="272">
        <v>2068.268</v>
      </c>
      <c r="BE401" s="272">
        <v>-12208.624</v>
      </c>
      <c r="BF401" s="272">
        <v>-11764.171</v>
      </c>
      <c r="BG401" s="272">
        <v>-11562.147999999999</v>
      </c>
      <c r="BH401" s="272">
        <v>-202.023</v>
      </c>
      <c r="BI401" s="272">
        <v>-2284.66</v>
      </c>
      <c r="BJ401" s="272">
        <v>-9030.2870000000003</v>
      </c>
      <c r="BK401" s="272">
        <v>-449.22399999999999</v>
      </c>
      <c r="BL401" s="272">
        <v>-444.45299999999997</v>
      </c>
      <c r="BM401" s="272">
        <v>0</v>
      </c>
      <c r="BN401" s="272">
        <v>15857.718000000001</v>
      </c>
      <c r="BO401" s="272">
        <v>1075.4179999999999</v>
      </c>
      <c r="BP401" s="272">
        <v>668.76800000000003</v>
      </c>
      <c r="BQ401" s="272">
        <v>239.89</v>
      </c>
      <c r="BR401" s="272">
        <v>77.454999999999998</v>
      </c>
      <c r="BS401" s="272">
        <v>16365.314</v>
      </c>
      <c r="BT401" s="272">
        <v>6287.6750000000002</v>
      </c>
      <c r="BU401" s="272">
        <v>7278.384</v>
      </c>
      <c r="BV401" s="272">
        <v>2928.9490000000001</v>
      </c>
      <c r="BW401" s="272">
        <v>-129.69399999999999</v>
      </c>
      <c r="BX401" s="272">
        <v>-4439.7089999999998</v>
      </c>
      <c r="BY401" s="272">
        <v>1870.0219999999999</v>
      </c>
      <c r="BZ401" s="272">
        <v>0.56000000000000005</v>
      </c>
      <c r="CA401" s="272">
        <v>2280.386</v>
      </c>
      <c r="CB401" s="272">
        <v>-769.14300000000003</v>
      </c>
      <c r="CC401" s="272">
        <v>-769.14300000000003</v>
      </c>
      <c r="CD401" s="272">
        <v>0</v>
      </c>
      <c r="CE401" s="272">
        <v>1511.2429999999999</v>
      </c>
      <c r="CF401" s="272">
        <v>1755.748</v>
      </c>
      <c r="CG401" s="272">
        <v>55.14</v>
      </c>
      <c r="CH401" s="272">
        <v>-299.64499999999998</v>
      </c>
      <c r="CI401" s="272">
        <v>90284.578999999998</v>
      </c>
      <c r="CJ401" s="272">
        <v>15173.657999999999</v>
      </c>
      <c r="CK401" s="272">
        <v>75110.921000000002</v>
      </c>
      <c r="CL401" s="272">
        <v>43826.46</v>
      </c>
      <c r="CM401" s="272">
        <v>25209.912</v>
      </c>
      <c r="CN401" s="272">
        <v>6074.549</v>
      </c>
      <c r="CO401" s="272">
        <v>79.879000000000005</v>
      </c>
      <c r="CP401" s="272">
        <v>66.734999999999999</v>
      </c>
      <c r="CQ401" s="272">
        <v>5927.9350000000004</v>
      </c>
      <c r="CR401" s="272">
        <v>-26947.744999999999</v>
      </c>
      <c r="CS401" s="272">
        <v>-5947.1</v>
      </c>
      <c r="CT401" s="272">
        <v>-4613.3599999999997</v>
      </c>
      <c r="CU401" s="272">
        <v>-280.90199999999999</v>
      </c>
      <c r="CV401" s="272">
        <v>-4.726</v>
      </c>
      <c r="CW401" s="272">
        <v>-1048.1120000000001</v>
      </c>
      <c r="CX401" s="272">
        <v>-18469.393</v>
      </c>
      <c r="CY401" s="272">
        <v>-12133.308000000001</v>
      </c>
      <c r="CZ401" s="272">
        <v>-6305.47</v>
      </c>
      <c r="DA401" s="272">
        <v>-30.614999999999998</v>
      </c>
      <c r="DB401" s="272">
        <v>-1651.164</v>
      </c>
      <c r="DC401" s="272">
        <v>-880.08799999999997</v>
      </c>
      <c r="DD401" s="272">
        <v>63336.834000000003</v>
      </c>
      <c r="DE401" s="272">
        <v>25764.563999999998</v>
      </c>
      <c r="DF401" s="272">
        <v>37572.270000000004</v>
      </c>
      <c r="DG401" s="272">
        <v>36762.222000000002</v>
      </c>
      <c r="DH401" s="272">
        <v>810.048</v>
      </c>
      <c r="DI401" s="272">
        <v>19408.27</v>
      </c>
      <c r="DJ401" s="272">
        <v>696.53700000000003</v>
      </c>
      <c r="DK401" s="272">
        <v>331.93200000000002</v>
      </c>
      <c r="DL401" s="272">
        <v>20.195</v>
      </c>
      <c r="DM401" s="272">
        <v>10765.2</v>
      </c>
      <c r="DN401" s="272">
        <v>6309.0230000000001</v>
      </c>
      <c r="DO401" s="272">
        <v>1239.3420000000001</v>
      </c>
      <c r="DP401" s="272"/>
      <c r="DQ401" s="272">
        <v>45.228000000000002</v>
      </c>
      <c r="DR401" s="272">
        <v>0.81299999999999994</v>
      </c>
      <c r="DS401" s="272">
        <v>-618.55999999999995</v>
      </c>
      <c r="DT401" s="272">
        <v>-82.602000000000004</v>
      </c>
      <c r="DU401" s="272">
        <v>-25.388999999999999</v>
      </c>
      <c r="DV401" s="272">
        <v>-0.19800000000000001</v>
      </c>
      <c r="DW401" s="272">
        <v>-439</v>
      </c>
      <c r="DX401" s="272">
        <v>-72.849999999999994</v>
      </c>
      <c r="DY401" s="272">
        <v>-257.22300000000001</v>
      </c>
      <c r="DZ401" s="272">
        <v>-108.92700000000001</v>
      </c>
      <c r="EA401" s="272">
        <v>-64.492000000000004</v>
      </c>
      <c r="EB401" s="272">
        <v>-2.1520000000000001</v>
      </c>
      <c r="EC401" s="272"/>
      <c r="ED401" s="272">
        <v>-3.7610000000000001</v>
      </c>
      <c r="EE401" s="272">
        <v>-0.96599999999999997</v>
      </c>
      <c r="EF401" s="272">
        <v>18789.71</v>
      </c>
      <c r="EG401" s="272">
        <v>4983.9759999999997</v>
      </c>
      <c r="EH401" s="272">
        <v>13805.734</v>
      </c>
      <c r="EI401" s="272">
        <v>13607.912</v>
      </c>
      <c r="EJ401" s="272">
        <v>197.822</v>
      </c>
      <c r="EK401" s="272">
        <v>613.93499999999995</v>
      </c>
      <c r="EL401" s="272">
        <v>175.41300000000001</v>
      </c>
      <c r="EM401" s="272">
        <v>438.52199999999999</v>
      </c>
      <c r="EN401" s="272">
        <v>429.666</v>
      </c>
      <c r="EO401" s="272">
        <v>8.8559999999999999</v>
      </c>
      <c r="EP401" s="272">
        <v>306.54300000000001</v>
      </c>
      <c r="EQ401" s="272">
        <v>109.4</v>
      </c>
      <c r="ER401" s="272">
        <v>197.143</v>
      </c>
      <c r="ES401" s="272">
        <v>193.37899999999999</v>
      </c>
      <c r="ET401" s="272">
        <v>3.7639999999999998</v>
      </c>
      <c r="EU401" s="272">
        <v>19.997</v>
      </c>
      <c r="EV401" s="272">
        <v>9.1829999999999998</v>
      </c>
      <c r="EW401" s="272">
        <v>10.814</v>
      </c>
      <c r="EX401" s="272">
        <v>10.614000000000001</v>
      </c>
      <c r="EY401" s="272">
        <v>0.2</v>
      </c>
      <c r="EZ401" s="272">
        <v>10326.200000000001</v>
      </c>
      <c r="FA401" s="272">
        <v>2048.877</v>
      </c>
      <c r="FB401" s="272">
        <v>8277.3230000000003</v>
      </c>
      <c r="FC401" s="272">
        <v>8156.4930000000004</v>
      </c>
      <c r="FD401" s="272">
        <v>120.83</v>
      </c>
      <c r="FE401" s="272">
        <v>6244.5309999999999</v>
      </c>
      <c r="FF401" s="272">
        <v>2686.7959999999998</v>
      </c>
      <c r="FG401" s="272">
        <v>3557.7350000000001</v>
      </c>
      <c r="FH401" s="272">
        <v>3493.5630000000001</v>
      </c>
      <c r="FI401" s="272">
        <v>64.171999999999997</v>
      </c>
      <c r="FJ401" s="272">
        <v>1237.19</v>
      </c>
      <c r="FK401" s="272">
        <v>-87.007000000000005</v>
      </c>
      <c r="FL401" s="272">
        <v>1324.1969999999999</v>
      </c>
      <c r="FM401" s="272">
        <v>1324.1969999999999</v>
      </c>
      <c r="FN401" s="272"/>
      <c r="FO401" s="272"/>
      <c r="FP401" s="272">
        <v>41.466999999999999</v>
      </c>
      <c r="FQ401" s="272">
        <v>-0.153</v>
      </c>
      <c r="FR401" s="272">
        <v>7390.7969999999996</v>
      </c>
      <c r="FS401" s="272">
        <v>-807.28700000000003</v>
      </c>
      <c r="FT401" s="272">
        <v>6583.51</v>
      </c>
      <c r="FU401" s="272">
        <v>1508.7159999999999</v>
      </c>
      <c r="FV401" s="272">
        <v>1441.434</v>
      </c>
      <c r="FW401" s="272">
        <v>67.281999999999996</v>
      </c>
      <c r="FX401" s="272">
        <v>1662.963</v>
      </c>
      <c r="FY401" s="272">
        <v>1542.7460000000001</v>
      </c>
      <c r="FZ401" s="272"/>
      <c r="GA401" s="272"/>
      <c r="GB401" s="272">
        <v>39.5</v>
      </c>
      <c r="GC401" s="272">
        <v>680.69299999999998</v>
      </c>
      <c r="GD401" s="272">
        <v>48.511000000000003</v>
      </c>
      <c r="GE401" s="272">
        <v>154.42599999999999</v>
      </c>
      <c r="GF401" s="272">
        <v>477.75599999999997</v>
      </c>
      <c r="GG401" s="272">
        <v>1148.8920000000001</v>
      </c>
      <c r="GH401" s="272">
        <v>118.715</v>
      </c>
      <c r="GI401" s="272">
        <v>5.7389999999999999</v>
      </c>
      <c r="GJ401" s="272">
        <v>1024.4380000000001</v>
      </c>
    </row>
    <row r="402" spans="1:192">
      <c r="A402" s="270">
        <v>2021</v>
      </c>
      <c r="B402" s="271"/>
      <c r="C402" s="271"/>
      <c r="D402" s="272">
        <v>275781.413</v>
      </c>
      <c r="E402" s="272">
        <v>-52197.89</v>
      </c>
      <c r="F402" s="272">
        <v>-198.71700000000001</v>
      </c>
      <c r="G402" s="272">
        <v>223384.80600000001</v>
      </c>
      <c r="H402" s="272">
        <v>123029.751</v>
      </c>
      <c r="I402" s="272">
        <v>100355.05500000001</v>
      </c>
      <c r="J402" s="272">
        <v>98294.952000000005</v>
      </c>
      <c r="K402" s="272">
        <v>2060.1030000000001</v>
      </c>
      <c r="L402" s="272">
        <v>106849.868</v>
      </c>
      <c r="M402" s="272">
        <v>83411.641000000003</v>
      </c>
      <c r="N402" s="272">
        <v>13216.186</v>
      </c>
      <c r="O402" s="272">
        <v>11482.166999999999</v>
      </c>
      <c r="P402" s="272">
        <v>1734.019</v>
      </c>
      <c r="Q402" s="272">
        <v>874.72299999999996</v>
      </c>
      <c r="R402" s="272">
        <v>9347.3179999999993</v>
      </c>
      <c r="S402" s="272">
        <v>-12105.286</v>
      </c>
      <c r="T402" s="272">
        <v>-11711.929</v>
      </c>
      <c r="U402" s="272">
        <v>-843.43700000000001</v>
      </c>
      <c r="V402" s="272">
        <v>-92.81</v>
      </c>
      <c r="W402" s="272">
        <v>-9908.2929999999997</v>
      </c>
      <c r="X402" s="272">
        <v>-349.774</v>
      </c>
      <c r="Y402" s="272">
        <v>-517.61500000000001</v>
      </c>
      <c r="Z402" s="272">
        <v>-219.51499999999999</v>
      </c>
      <c r="AA402" s="272">
        <v>-156.232</v>
      </c>
      <c r="AB402" s="272">
        <v>-17.61</v>
      </c>
      <c r="AC402" s="272">
        <v>-198.71700000000001</v>
      </c>
      <c r="AD402" s="272">
        <v>94545.865000000005</v>
      </c>
      <c r="AE402" s="272">
        <v>43992.635000000002</v>
      </c>
      <c r="AF402" s="272">
        <v>50553.229999999996</v>
      </c>
      <c r="AG402" s="272">
        <v>49470.165999999997</v>
      </c>
      <c r="AH402" s="272">
        <v>1083.0640000000001</v>
      </c>
      <c r="AI402" s="272">
        <v>83279.827999999994</v>
      </c>
      <c r="AJ402" s="272">
        <v>26614.705999999998</v>
      </c>
      <c r="AK402" s="272">
        <v>37548.42</v>
      </c>
      <c r="AL402" s="272">
        <v>18583.715</v>
      </c>
      <c r="AM402" s="272">
        <v>2799.8539999999998</v>
      </c>
      <c r="AN402" s="272">
        <v>1783.348</v>
      </c>
      <c r="AO402" s="272">
        <v>1051.8389999999999</v>
      </c>
      <c r="AP402" s="272">
        <v>364.68900000000002</v>
      </c>
      <c r="AQ402" s="272">
        <v>3305.558</v>
      </c>
      <c r="AR402" s="272">
        <v>1504.2570000000001</v>
      </c>
      <c r="AS402" s="272">
        <v>655.20799999999997</v>
      </c>
      <c r="AT402" s="272">
        <v>1E-3</v>
      </c>
      <c r="AU402" s="272">
        <v>-198.71700000000001</v>
      </c>
      <c r="AV402" s="272">
        <v>35837.608</v>
      </c>
      <c r="AW402" s="272">
        <v>25243.868999999999</v>
      </c>
      <c r="AX402" s="272">
        <v>6644.6719999999996</v>
      </c>
      <c r="AY402" s="272">
        <v>1874.6849999999999</v>
      </c>
      <c r="AZ402" s="272">
        <v>876.02</v>
      </c>
      <c r="BA402" s="272">
        <v>3258.5439999999999</v>
      </c>
      <c r="BB402" s="272">
        <v>635.423</v>
      </c>
      <c r="BC402" s="272">
        <v>1598.96</v>
      </c>
      <c r="BD402" s="272">
        <v>2350.107</v>
      </c>
      <c r="BE402" s="272">
        <v>-9210.8709999999992</v>
      </c>
      <c r="BF402" s="272">
        <v>-9104.8719999999994</v>
      </c>
      <c r="BG402" s="272">
        <v>-8629.277</v>
      </c>
      <c r="BH402" s="272">
        <v>-475.59500000000003</v>
      </c>
      <c r="BI402" s="272">
        <v>-1663.893</v>
      </c>
      <c r="BJ402" s="272">
        <v>-6690.4989999999998</v>
      </c>
      <c r="BK402" s="272">
        <v>-750.48</v>
      </c>
      <c r="BL402" s="272">
        <v>-105.999</v>
      </c>
      <c r="BM402" s="272">
        <v>0</v>
      </c>
      <c r="BN402" s="272">
        <v>26626.737000000001</v>
      </c>
      <c r="BO402" s="272">
        <v>1180.3879999999999</v>
      </c>
      <c r="BP402" s="272">
        <v>711.56200000000001</v>
      </c>
      <c r="BQ402" s="272">
        <v>446.70100000000002</v>
      </c>
      <c r="BR402" s="272">
        <v>0.84099999999999997</v>
      </c>
      <c r="BS402" s="272">
        <v>25146.967000000001</v>
      </c>
      <c r="BT402" s="272">
        <v>7692.8280000000004</v>
      </c>
      <c r="BU402" s="272">
        <v>14025.944</v>
      </c>
      <c r="BV402" s="272">
        <v>3343.8670000000002</v>
      </c>
      <c r="BW402" s="272">
        <v>84.328000000000003</v>
      </c>
      <c r="BX402" s="272">
        <v>-1984.605</v>
      </c>
      <c r="BY402" s="272">
        <v>1123.365</v>
      </c>
      <c r="BZ402" s="272">
        <v>1.518</v>
      </c>
      <c r="CA402" s="272">
        <v>2625.8530000000001</v>
      </c>
      <c r="CB402" s="272">
        <v>-798.35199999999998</v>
      </c>
      <c r="CC402" s="272">
        <v>-798.35199999999998</v>
      </c>
      <c r="CD402" s="272">
        <v>0</v>
      </c>
      <c r="CE402" s="272">
        <v>1827.501</v>
      </c>
      <c r="CF402" s="272">
        <v>1987.239</v>
      </c>
      <c r="CG402" s="272">
        <v>66.338999999999999</v>
      </c>
      <c r="CH402" s="272">
        <v>-226.077</v>
      </c>
      <c r="CI402" s="272">
        <v>101066.052</v>
      </c>
      <c r="CJ402" s="272">
        <v>19944.780999999999</v>
      </c>
      <c r="CK402" s="272">
        <v>81121.270999999993</v>
      </c>
      <c r="CL402" s="272">
        <v>46356.398000000001</v>
      </c>
      <c r="CM402" s="272">
        <v>29351</v>
      </c>
      <c r="CN402" s="272">
        <v>5413.8729999999996</v>
      </c>
      <c r="CO402" s="272">
        <v>38.497999999999998</v>
      </c>
      <c r="CP402" s="272">
        <v>39.951999999999998</v>
      </c>
      <c r="CQ402" s="272">
        <v>5335.4229999999998</v>
      </c>
      <c r="CR402" s="272">
        <v>-28567.7</v>
      </c>
      <c r="CS402" s="272">
        <v>-6056.5420000000004</v>
      </c>
      <c r="CT402" s="272">
        <v>-4807.3760000000002</v>
      </c>
      <c r="CU402" s="272">
        <v>-193.25</v>
      </c>
      <c r="CV402" s="272">
        <v>-3.492</v>
      </c>
      <c r="CW402" s="272">
        <v>-1052.424</v>
      </c>
      <c r="CX402" s="272">
        <v>-18837.912</v>
      </c>
      <c r="CY402" s="272">
        <v>-12700.566999999999</v>
      </c>
      <c r="CZ402" s="272">
        <v>-6102.4889999999996</v>
      </c>
      <c r="DA402" s="272">
        <v>-34.856000000000002</v>
      </c>
      <c r="DB402" s="272">
        <v>-2586.152</v>
      </c>
      <c r="DC402" s="272">
        <v>-1087.0940000000001</v>
      </c>
      <c r="DD402" s="272">
        <v>72498.351999999999</v>
      </c>
      <c r="DE402" s="272">
        <v>36312.853000000003</v>
      </c>
      <c r="DF402" s="272">
        <v>36185.499000000003</v>
      </c>
      <c r="DG402" s="272">
        <v>35411.26</v>
      </c>
      <c r="DH402" s="272">
        <v>774.23900000000003</v>
      </c>
      <c r="DI402" s="272">
        <v>20411.490000000002</v>
      </c>
      <c r="DJ402" s="272">
        <v>761.33500000000004</v>
      </c>
      <c r="DK402" s="272">
        <v>339.38200000000001</v>
      </c>
      <c r="DL402" s="272">
        <v>21.931999999999999</v>
      </c>
      <c r="DM402" s="272">
        <v>11979.061</v>
      </c>
      <c r="DN402" s="272">
        <v>6190.9260000000004</v>
      </c>
      <c r="DO402" s="272">
        <v>1087.8610000000001</v>
      </c>
      <c r="DP402" s="272"/>
      <c r="DQ402" s="272">
        <v>30.157</v>
      </c>
      <c r="DR402" s="272">
        <v>0.83599999999999997</v>
      </c>
      <c r="DS402" s="272">
        <v>-682.89499999999998</v>
      </c>
      <c r="DT402" s="272">
        <v>-88.272000000000006</v>
      </c>
      <c r="DU402" s="272">
        <v>-27.838999999999999</v>
      </c>
      <c r="DV402" s="272">
        <v>-0.34300000000000003</v>
      </c>
      <c r="DW402" s="272">
        <v>-487.154</v>
      </c>
      <c r="DX402" s="272">
        <v>-78.792000000000002</v>
      </c>
      <c r="DY402" s="272">
        <v>-280.83999999999997</v>
      </c>
      <c r="DZ402" s="272">
        <v>-127.52200000000001</v>
      </c>
      <c r="EA402" s="272">
        <v>-75.888999999999996</v>
      </c>
      <c r="EB402" s="272">
        <v>-1.669</v>
      </c>
      <c r="EC402" s="272"/>
      <c r="ED402" s="272">
        <v>-1.1970000000000001</v>
      </c>
      <c r="EE402" s="272">
        <v>-0.53200000000000003</v>
      </c>
      <c r="EF402" s="272">
        <v>19728.595000000001</v>
      </c>
      <c r="EG402" s="272">
        <v>6112.2690000000002</v>
      </c>
      <c r="EH402" s="272">
        <v>13616.325999999999</v>
      </c>
      <c r="EI402" s="272">
        <v>13413.526</v>
      </c>
      <c r="EJ402" s="272">
        <v>202.8</v>
      </c>
      <c r="EK402" s="272">
        <v>673.06299999999999</v>
      </c>
      <c r="EL402" s="272">
        <v>255.21700000000001</v>
      </c>
      <c r="EM402" s="272">
        <v>417.846</v>
      </c>
      <c r="EN402" s="272">
        <v>409.49099999999999</v>
      </c>
      <c r="EO402" s="272">
        <v>8.3550000000000004</v>
      </c>
      <c r="EP402" s="272">
        <v>311.54300000000001</v>
      </c>
      <c r="EQ402" s="272">
        <v>125.753</v>
      </c>
      <c r="ER402" s="272">
        <v>185.79</v>
      </c>
      <c r="ES402" s="272">
        <v>182.054</v>
      </c>
      <c r="ET402" s="272">
        <v>3.7360000000000002</v>
      </c>
      <c r="EU402" s="272">
        <v>21.588999999999999</v>
      </c>
      <c r="EV402" s="272">
        <v>9.7639999999999993</v>
      </c>
      <c r="EW402" s="272">
        <v>11.824999999999999</v>
      </c>
      <c r="EX402" s="272">
        <v>11.587</v>
      </c>
      <c r="EY402" s="272">
        <v>0.23799999999999999</v>
      </c>
      <c r="EZ402" s="272">
        <v>11491.906999999999</v>
      </c>
      <c r="FA402" s="272">
        <v>3792.0160000000001</v>
      </c>
      <c r="FB402" s="272">
        <v>7699.8910000000005</v>
      </c>
      <c r="FC402" s="272">
        <v>7580.51</v>
      </c>
      <c r="FD402" s="272">
        <v>119.381</v>
      </c>
      <c r="FE402" s="272">
        <v>6115.0370000000003</v>
      </c>
      <c r="FF402" s="272">
        <v>2213.5459999999998</v>
      </c>
      <c r="FG402" s="272">
        <v>3901.491</v>
      </c>
      <c r="FH402" s="272">
        <v>3830.4009999999998</v>
      </c>
      <c r="FI402" s="272">
        <v>71.09</v>
      </c>
      <c r="FJ402" s="272">
        <v>1086.192</v>
      </c>
      <c r="FK402" s="272">
        <v>-313.291</v>
      </c>
      <c r="FL402" s="272">
        <v>1399.4829999999999</v>
      </c>
      <c r="FM402" s="272">
        <v>1399.4829999999999</v>
      </c>
      <c r="FN402" s="272" t="s">
        <v>619</v>
      </c>
      <c r="FO402" s="272"/>
      <c r="FP402" s="272">
        <v>28.96</v>
      </c>
      <c r="FQ402" s="272">
        <v>0.30399999999999999</v>
      </c>
      <c r="FR402" s="272">
        <v>8990.5419999999995</v>
      </c>
      <c r="FS402" s="272">
        <v>-832.78599999999994</v>
      </c>
      <c r="FT402" s="272">
        <v>8157.7560000000003</v>
      </c>
      <c r="FU402" s="272">
        <v>1463.2049999999999</v>
      </c>
      <c r="FV402" s="272">
        <v>1397.8119999999999</v>
      </c>
      <c r="FW402" s="272">
        <v>65.393000000000001</v>
      </c>
      <c r="FX402" s="272">
        <v>1954.856</v>
      </c>
      <c r="FY402" s="272">
        <v>2052.1709999999998</v>
      </c>
      <c r="FZ402" s="272">
        <v>295.75</v>
      </c>
      <c r="GA402" s="272">
        <v>166.33699999999999</v>
      </c>
      <c r="GB402" s="272">
        <v>44.244999999999997</v>
      </c>
      <c r="GC402" s="272">
        <v>783.83199999999999</v>
      </c>
      <c r="GD402" s="272">
        <v>66.471999999999994</v>
      </c>
      <c r="GE402" s="272">
        <v>151.86500000000001</v>
      </c>
      <c r="GF402" s="272">
        <v>565.495</v>
      </c>
      <c r="GG402" s="272">
        <v>1397.36</v>
      </c>
      <c r="GH402" s="272">
        <v>183.63399999999999</v>
      </c>
      <c r="GI402" s="272">
        <v>8.452</v>
      </c>
      <c r="GJ402" s="272">
        <v>1205.2739999999999</v>
      </c>
    </row>
    <row r="403" spans="1:192">
      <c r="A403" s="270">
        <v>2022</v>
      </c>
      <c r="B403" s="271"/>
      <c r="C403" s="271"/>
      <c r="D403" s="272">
        <v>320866.902</v>
      </c>
      <c r="E403" s="272">
        <v>-64962.368999999999</v>
      </c>
      <c r="F403" s="272">
        <v>-441.096</v>
      </c>
      <c r="G403" s="272">
        <v>255463.43700000001</v>
      </c>
      <c r="H403" s="272">
        <v>159561.027</v>
      </c>
      <c r="I403" s="272">
        <v>95902.41</v>
      </c>
      <c r="J403" s="272">
        <v>93887.523000000001</v>
      </c>
      <c r="K403" s="272">
        <v>2014.8869999999999</v>
      </c>
      <c r="L403" s="272">
        <v>121823.84600000001</v>
      </c>
      <c r="M403" s="272">
        <v>93878.032999999996</v>
      </c>
      <c r="N403" s="272">
        <v>16578.062999999998</v>
      </c>
      <c r="O403" s="272">
        <v>14555.539000000001</v>
      </c>
      <c r="P403" s="272">
        <v>2022.5239999999999</v>
      </c>
      <c r="Q403" s="272">
        <v>965.78099999999995</v>
      </c>
      <c r="R403" s="272">
        <v>10401.968999999999</v>
      </c>
      <c r="S403" s="272">
        <v>-11897.326999999999</v>
      </c>
      <c r="T403" s="272">
        <v>-11519.615</v>
      </c>
      <c r="U403" s="272">
        <v>-845.48199999999997</v>
      </c>
      <c r="V403" s="272">
        <v>-82.299000000000007</v>
      </c>
      <c r="W403" s="272">
        <v>-9673.5049999999992</v>
      </c>
      <c r="X403" s="272">
        <v>-412.37799999999999</v>
      </c>
      <c r="Y403" s="272">
        <v>-505.95100000000002</v>
      </c>
      <c r="Z403" s="272">
        <v>-242.51599999999999</v>
      </c>
      <c r="AA403" s="272">
        <v>-131.345</v>
      </c>
      <c r="AB403" s="272">
        <v>-3.851</v>
      </c>
      <c r="AC403" s="272">
        <v>-441.096</v>
      </c>
      <c r="AD403" s="272">
        <v>109485.423</v>
      </c>
      <c r="AE403" s="272">
        <v>58428.237000000001</v>
      </c>
      <c r="AF403" s="272">
        <v>51057.186000000002</v>
      </c>
      <c r="AG403" s="272">
        <v>49902.919000000002</v>
      </c>
      <c r="AH403" s="272">
        <v>1154.2670000000001</v>
      </c>
      <c r="AI403" s="272">
        <v>93776.301999999996</v>
      </c>
      <c r="AJ403" s="272">
        <v>29716.435000000001</v>
      </c>
      <c r="AK403" s="272">
        <v>41580.493000000002</v>
      </c>
      <c r="AL403" s="272">
        <v>21791.89</v>
      </c>
      <c r="AM403" s="272">
        <v>3065.6149999999998</v>
      </c>
      <c r="AN403" s="272">
        <v>1984.9680000000001</v>
      </c>
      <c r="AO403" s="272">
        <v>938.68200000000002</v>
      </c>
      <c r="AP403" s="272">
        <v>357.54899999999998</v>
      </c>
      <c r="AQ403" s="272">
        <v>4021.69</v>
      </c>
      <c r="AR403" s="272">
        <v>5058.4480000000003</v>
      </c>
      <c r="AS403" s="272">
        <v>723.26499999999999</v>
      </c>
      <c r="AT403" s="272">
        <v>0</v>
      </c>
      <c r="AU403" s="272">
        <v>-441.096</v>
      </c>
      <c r="AV403" s="272">
        <v>43600.523000000001</v>
      </c>
      <c r="AW403" s="272">
        <v>29616.807000000001</v>
      </c>
      <c r="AX403" s="272">
        <v>9417.6319999999996</v>
      </c>
      <c r="AY403" s="272">
        <v>2587.6460000000002</v>
      </c>
      <c r="AZ403" s="272">
        <v>1395.328</v>
      </c>
      <c r="BA403" s="272">
        <v>4750.3360000000002</v>
      </c>
      <c r="BB403" s="272">
        <v>684.322</v>
      </c>
      <c r="BC403" s="272">
        <v>2064.5709999999999</v>
      </c>
      <c r="BD403" s="272">
        <v>2501.5129999999999</v>
      </c>
      <c r="BE403" s="272">
        <v>-11424.423000000001</v>
      </c>
      <c r="BF403" s="272">
        <v>-11383.17</v>
      </c>
      <c r="BG403" s="272">
        <v>-10928.511</v>
      </c>
      <c r="BH403" s="272">
        <v>-454.65899999999999</v>
      </c>
      <c r="BI403" s="272">
        <v>-3800.1219999999998</v>
      </c>
      <c r="BJ403" s="272">
        <v>-4628.8869999999997</v>
      </c>
      <c r="BK403" s="272">
        <v>-2954.1610000000001</v>
      </c>
      <c r="BL403" s="272">
        <v>-41.253</v>
      </c>
      <c r="BM403" s="272">
        <v>0</v>
      </c>
      <c r="BN403" s="272">
        <v>32176.1</v>
      </c>
      <c r="BO403" s="272">
        <v>1279.846</v>
      </c>
      <c r="BP403" s="272">
        <v>809.77700000000004</v>
      </c>
      <c r="BQ403" s="272">
        <v>399.43900000000002</v>
      </c>
      <c r="BR403" s="272">
        <v>0.92100000000000004</v>
      </c>
      <c r="BS403" s="272">
        <v>29586.149000000001</v>
      </c>
      <c r="BT403" s="272">
        <v>9178.3359999999993</v>
      </c>
      <c r="BU403" s="272">
        <v>15788.037</v>
      </c>
      <c r="BV403" s="272">
        <v>3955.2379999999998</v>
      </c>
      <c r="BW403" s="272">
        <v>664.53800000000001</v>
      </c>
      <c r="BX403" s="272">
        <v>-1510.8789999999999</v>
      </c>
      <c r="BY403" s="272">
        <v>1609.912</v>
      </c>
      <c r="BZ403" s="272">
        <v>0.93500000000000005</v>
      </c>
      <c r="CA403" s="272">
        <v>3589.1030000000001</v>
      </c>
      <c r="CB403" s="272">
        <v>-634.71500000000003</v>
      </c>
      <c r="CC403" s="272">
        <v>-634.71500000000003</v>
      </c>
      <c r="CD403" s="272">
        <v>0</v>
      </c>
      <c r="CE403" s="272">
        <v>2954.3879999999999</v>
      </c>
      <c r="CF403" s="272">
        <v>2713.6309999999999</v>
      </c>
      <c r="CG403" s="272">
        <v>79.134</v>
      </c>
      <c r="CH403" s="272">
        <v>161.62299999999999</v>
      </c>
      <c r="CI403" s="272">
        <v>121639.67600000001</v>
      </c>
      <c r="CJ403" s="272">
        <v>27133.713</v>
      </c>
      <c r="CK403" s="272">
        <v>94505.963000000003</v>
      </c>
      <c r="CL403" s="272">
        <v>54840.286</v>
      </c>
      <c r="CM403" s="272">
        <v>33817.832999999999</v>
      </c>
      <c r="CN403" s="272">
        <v>5847.8440000000001</v>
      </c>
      <c r="CO403" s="272">
        <v>16.936</v>
      </c>
      <c r="CP403" s="272">
        <v>12.241</v>
      </c>
      <c r="CQ403" s="272">
        <v>5818.6670000000004</v>
      </c>
      <c r="CR403" s="272">
        <v>-39044.639999999999</v>
      </c>
      <c r="CS403" s="272">
        <v>-7198.2910000000002</v>
      </c>
      <c r="CT403" s="272">
        <v>-5672.2030000000004</v>
      </c>
      <c r="CU403" s="272">
        <v>-152.559</v>
      </c>
      <c r="CV403" s="272">
        <v>-3.4</v>
      </c>
      <c r="CW403" s="272">
        <v>-1370.1289999999999</v>
      </c>
      <c r="CX403" s="272">
        <v>-27673.942999999999</v>
      </c>
      <c r="CY403" s="272">
        <v>-19658.555</v>
      </c>
      <c r="CZ403" s="272">
        <v>-7994.6379999999999</v>
      </c>
      <c r="DA403" s="272">
        <v>-20.75</v>
      </c>
      <c r="DB403" s="272">
        <v>-2797.8240000000001</v>
      </c>
      <c r="DC403" s="272">
        <v>-1374.5820000000001</v>
      </c>
      <c r="DD403" s="272">
        <v>82595.035999999993</v>
      </c>
      <c r="DE403" s="272">
        <v>49920.209000000003</v>
      </c>
      <c r="DF403" s="272">
        <v>32674.827000000001</v>
      </c>
      <c r="DG403" s="272">
        <v>31991.822</v>
      </c>
      <c r="DH403" s="272">
        <v>683.005</v>
      </c>
      <c r="DI403" s="272">
        <v>21042.348999999998</v>
      </c>
      <c r="DJ403" s="272">
        <v>1002.568</v>
      </c>
      <c r="DK403" s="272">
        <v>373.89499999999998</v>
      </c>
      <c r="DL403" s="272">
        <v>25.64</v>
      </c>
      <c r="DM403" s="272">
        <v>12597.409</v>
      </c>
      <c r="DN403" s="272">
        <v>6745.6660000000002</v>
      </c>
      <c r="DO403" s="272">
        <v>237.113</v>
      </c>
      <c r="DP403" s="272" t="s">
        <v>619</v>
      </c>
      <c r="DQ403" s="272">
        <v>59.000999999999998</v>
      </c>
      <c r="DR403" s="272">
        <v>1.0569999999999999</v>
      </c>
      <c r="DS403" s="272">
        <v>-818.3</v>
      </c>
      <c r="DT403" s="272">
        <v>-97.147999999999996</v>
      </c>
      <c r="DU403" s="272">
        <v>-32.686</v>
      </c>
      <c r="DV403" s="272">
        <v>-0.22600000000000001</v>
      </c>
      <c r="DW403" s="272">
        <v>-613.28499999999997</v>
      </c>
      <c r="DX403" s="272">
        <v>-77.471999999999994</v>
      </c>
      <c r="DY403" s="272">
        <v>-347.11700000000002</v>
      </c>
      <c r="DZ403" s="272">
        <v>-188.696</v>
      </c>
      <c r="EA403" s="272">
        <v>-63.88</v>
      </c>
      <c r="EB403" s="272">
        <v>-9.3719999999999999</v>
      </c>
      <c r="EC403" s="272" t="s">
        <v>619</v>
      </c>
      <c r="ED403" s="272">
        <v>-1.1859999999999999</v>
      </c>
      <c r="EE403" s="272">
        <v>-0.51700000000000002</v>
      </c>
      <c r="EF403" s="272">
        <v>20224.048999999999</v>
      </c>
      <c r="EG403" s="272">
        <v>8053.652</v>
      </c>
      <c r="EH403" s="272">
        <v>12170.396999999999</v>
      </c>
      <c r="EI403" s="272">
        <v>11992.781999999999</v>
      </c>
      <c r="EJ403" s="272">
        <v>177.61500000000001</v>
      </c>
      <c r="EK403" s="272">
        <v>905.42</v>
      </c>
      <c r="EL403" s="272">
        <v>599.18799999999999</v>
      </c>
      <c r="EM403" s="272">
        <v>306.23199999999997</v>
      </c>
      <c r="EN403" s="272">
        <v>300.38099999999997</v>
      </c>
      <c r="EO403" s="272">
        <v>5.851</v>
      </c>
      <c r="EP403" s="272">
        <v>341.209</v>
      </c>
      <c r="EQ403" s="272">
        <v>158.446</v>
      </c>
      <c r="ER403" s="272">
        <v>182.76300000000001</v>
      </c>
      <c r="ES403" s="272">
        <v>178.935</v>
      </c>
      <c r="ET403" s="272">
        <v>3.8279999999999998</v>
      </c>
      <c r="EU403" s="272">
        <v>25.414000000000001</v>
      </c>
      <c r="EV403" s="272">
        <v>12.984999999999999</v>
      </c>
      <c r="EW403" s="272">
        <v>12.428999999999998</v>
      </c>
      <c r="EX403" s="272">
        <v>12.167999999999999</v>
      </c>
      <c r="EY403" s="272">
        <v>0.26100000000000001</v>
      </c>
      <c r="EZ403" s="272">
        <v>11984.124</v>
      </c>
      <c r="FA403" s="272">
        <v>5474.1840000000002</v>
      </c>
      <c r="FB403" s="272">
        <v>6509.94</v>
      </c>
      <c r="FC403" s="272">
        <v>6415.308</v>
      </c>
      <c r="FD403" s="272">
        <v>94.632000000000005</v>
      </c>
      <c r="FE403" s="272">
        <v>6681.7860000000001</v>
      </c>
      <c r="FF403" s="272">
        <v>2787.9720000000002</v>
      </c>
      <c r="FG403" s="272">
        <v>3893.8140000000003</v>
      </c>
      <c r="FH403" s="272">
        <v>3820.7710000000002</v>
      </c>
      <c r="FI403" s="272">
        <v>73.043000000000006</v>
      </c>
      <c r="FJ403" s="272">
        <v>227.74100000000001</v>
      </c>
      <c r="FK403" s="272">
        <v>-1037.4780000000001</v>
      </c>
      <c r="FL403" s="272">
        <v>1265.2190000000001</v>
      </c>
      <c r="FM403" s="272">
        <v>1265.2190000000001</v>
      </c>
      <c r="FN403" s="272" t="s">
        <v>619</v>
      </c>
      <c r="FO403" s="272" t="s">
        <v>619</v>
      </c>
      <c r="FP403" s="272">
        <v>57.814999999999998</v>
      </c>
      <c r="FQ403" s="272">
        <v>0.54</v>
      </c>
      <c r="FR403" s="272">
        <v>9171.4050000000007</v>
      </c>
      <c r="FS403" s="272">
        <v>-1142.9639999999999</v>
      </c>
      <c r="FT403" s="272">
        <v>8028.4409999999998</v>
      </c>
      <c r="FU403" s="272">
        <v>222.94300000000001</v>
      </c>
      <c r="FV403" s="272">
        <v>127.848</v>
      </c>
      <c r="FW403" s="272">
        <v>95.094999999999999</v>
      </c>
      <c r="FX403" s="272">
        <v>2794.431</v>
      </c>
      <c r="FY403" s="272">
        <v>2249.2919999999999</v>
      </c>
      <c r="FZ403" s="272">
        <v>195.90299999999999</v>
      </c>
      <c r="GA403" s="272">
        <v>278.428</v>
      </c>
      <c r="GB403" s="272">
        <v>36.393000000000001</v>
      </c>
      <c r="GC403" s="272">
        <v>711.42</v>
      </c>
      <c r="GD403" s="272">
        <v>56.347999999999999</v>
      </c>
      <c r="GE403" s="272">
        <v>-26.370999999999999</v>
      </c>
      <c r="GF403" s="272">
        <v>681.44299999999998</v>
      </c>
      <c r="GG403" s="272">
        <v>1539.6310000000001</v>
      </c>
      <c r="GH403" s="272">
        <v>377.07400000000001</v>
      </c>
      <c r="GI403" s="272">
        <v>11.27</v>
      </c>
      <c r="GJ403" s="272">
        <v>1151.287</v>
      </c>
    </row>
    <row r="404" spans="1:192">
      <c r="A404" s="270">
        <v>2023</v>
      </c>
      <c r="B404" s="271"/>
      <c r="C404" s="271"/>
      <c r="D404" s="272"/>
      <c r="E404" s="272"/>
      <c r="F404" s="272"/>
      <c r="G404" s="272"/>
      <c r="H404" s="272"/>
      <c r="I404" s="272"/>
      <c r="J404" s="272"/>
      <c r="K404" s="272"/>
      <c r="L404" s="272"/>
      <c r="M404" s="272"/>
      <c r="N404" s="272"/>
      <c r="O404" s="272"/>
      <c r="P404" s="272"/>
      <c r="Q404" s="272"/>
      <c r="R404" s="272"/>
      <c r="S404" s="272"/>
      <c r="T404" s="272"/>
      <c r="U404" s="272"/>
      <c r="V404" s="272"/>
      <c r="W404" s="272"/>
      <c r="X404" s="272"/>
      <c r="Y404" s="272"/>
      <c r="Z404" s="272"/>
      <c r="AA404" s="272"/>
      <c r="AB404" s="272"/>
      <c r="AC404" s="272"/>
      <c r="AD404" s="272"/>
      <c r="AE404" s="272"/>
      <c r="AF404" s="272"/>
      <c r="AG404" s="272"/>
      <c r="AH404" s="272"/>
      <c r="AI404" s="272"/>
      <c r="AJ404" s="272"/>
      <c r="AK404" s="272"/>
      <c r="AL404" s="272"/>
      <c r="AM404" s="272"/>
      <c r="AN404" s="272"/>
      <c r="AO404" s="272"/>
      <c r="AP404" s="272"/>
      <c r="AQ404" s="272"/>
      <c r="AR404" s="272"/>
      <c r="AS404" s="272"/>
      <c r="AT404" s="272"/>
      <c r="AU404" s="272"/>
      <c r="AV404" s="272"/>
      <c r="AW404" s="272"/>
      <c r="AX404" s="272"/>
      <c r="AY404" s="272"/>
      <c r="AZ404" s="272"/>
      <c r="BA404" s="272"/>
      <c r="BB404" s="272"/>
      <c r="BC404" s="272"/>
      <c r="BD404" s="272"/>
      <c r="BE404" s="272"/>
      <c r="BF404" s="272"/>
      <c r="BG404" s="272"/>
      <c r="BH404" s="272"/>
      <c r="BI404" s="272"/>
      <c r="BJ404" s="272"/>
      <c r="BK404" s="272"/>
      <c r="BL404" s="272"/>
      <c r="BM404" s="272"/>
      <c r="BN404" s="272"/>
      <c r="BO404" s="272"/>
      <c r="BP404" s="272"/>
      <c r="BQ404" s="272"/>
      <c r="BR404" s="272"/>
      <c r="BS404" s="272"/>
      <c r="BT404" s="272"/>
      <c r="BU404" s="272"/>
      <c r="BV404" s="272"/>
      <c r="BW404" s="272"/>
      <c r="BX404" s="272"/>
      <c r="BY404" s="272"/>
      <c r="BZ404" s="272"/>
      <c r="CA404" s="272"/>
      <c r="CB404" s="272"/>
      <c r="CC404" s="272"/>
      <c r="CD404" s="272"/>
      <c r="CE404" s="272"/>
      <c r="CF404" s="272"/>
      <c r="CG404" s="272"/>
      <c r="CH404" s="272"/>
      <c r="CI404" s="272"/>
      <c r="CJ404" s="272"/>
      <c r="CK404" s="272"/>
      <c r="CL404" s="272"/>
      <c r="CM404" s="272"/>
      <c r="CN404" s="272"/>
      <c r="CO404" s="272"/>
      <c r="CP404" s="272"/>
      <c r="CQ404" s="272"/>
      <c r="CR404" s="272"/>
      <c r="CS404" s="272"/>
      <c r="CT404" s="272"/>
      <c r="CU404" s="272"/>
      <c r="CV404" s="272"/>
      <c r="CW404" s="272"/>
      <c r="CX404" s="272"/>
      <c r="CY404" s="272"/>
      <c r="CZ404" s="272"/>
      <c r="DA404" s="272"/>
      <c r="DB404" s="272"/>
      <c r="DC404" s="272"/>
      <c r="DD404" s="272"/>
      <c r="DE404" s="272"/>
      <c r="DF404" s="272"/>
      <c r="DG404" s="272"/>
      <c r="DH404" s="272"/>
      <c r="DI404" s="272"/>
      <c r="DJ404" s="272"/>
      <c r="DK404" s="272"/>
      <c r="DL404" s="272"/>
      <c r="DM404" s="272"/>
      <c r="DN404" s="272"/>
      <c r="DO404" s="272"/>
      <c r="DP404" s="272"/>
      <c r="DQ404" s="272"/>
      <c r="DR404" s="272"/>
      <c r="DS404" s="272"/>
      <c r="DT404" s="272"/>
      <c r="DU404" s="272"/>
      <c r="DV404" s="272"/>
      <c r="DW404" s="272"/>
      <c r="DX404" s="272"/>
      <c r="DY404" s="272"/>
      <c r="DZ404" s="272"/>
      <c r="EA404" s="272"/>
      <c r="EB404" s="272"/>
      <c r="EC404" s="272"/>
      <c r="ED404" s="272"/>
      <c r="EE404" s="272"/>
      <c r="EF404" s="272"/>
      <c r="EG404" s="272"/>
      <c r="EH404" s="272"/>
      <c r="EI404" s="272"/>
      <c r="EJ404" s="272"/>
      <c r="EK404" s="272"/>
      <c r="EL404" s="272"/>
      <c r="EM404" s="272"/>
      <c r="EN404" s="272"/>
      <c r="EO404" s="272"/>
      <c r="EP404" s="272"/>
      <c r="EQ404" s="272"/>
      <c r="ER404" s="272"/>
      <c r="ES404" s="272"/>
      <c r="ET404" s="272"/>
      <c r="EU404" s="272"/>
      <c r="EV404" s="272"/>
      <c r="EW404" s="272"/>
      <c r="EX404" s="272"/>
      <c r="EY404" s="272"/>
      <c r="EZ404" s="272"/>
      <c r="FA404" s="272"/>
      <c r="FB404" s="272"/>
      <c r="FC404" s="272"/>
      <c r="FD404" s="272"/>
      <c r="FE404" s="272"/>
      <c r="FF404" s="272"/>
      <c r="FG404" s="272"/>
      <c r="FH404" s="272"/>
      <c r="FI404" s="272"/>
      <c r="FJ404" s="272"/>
      <c r="FK404" s="272"/>
      <c r="FL404" s="272"/>
      <c r="FM404" s="272"/>
      <c r="FN404" s="272"/>
      <c r="FO404" s="272"/>
      <c r="FP404" s="272"/>
      <c r="FQ404" s="272"/>
      <c r="FR404" s="272"/>
      <c r="FS404" s="272"/>
      <c r="FT404" s="272"/>
      <c r="FU404" s="272"/>
      <c r="FV404" s="272"/>
      <c r="FW404" s="272"/>
      <c r="FX404" s="272"/>
      <c r="FY404" s="272"/>
      <c r="FZ404" s="272"/>
      <c r="GA404" s="272"/>
      <c r="GB404" s="272"/>
      <c r="GC404" s="272"/>
      <c r="GD404" s="272"/>
      <c r="GE404" s="272"/>
      <c r="GF404" s="272"/>
      <c r="GG404" s="272"/>
      <c r="GH404" s="272"/>
      <c r="GI404" s="272"/>
      <c r="GJ404" s="272"/>
    </row>
    <row r="405" spans="1:19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</row>
    <row r="406" spans="1:19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</row>
    <row r="407" spans="1:192">
      <c r="A407" s="317" t="s">
        <v>628</v>
      </c>
      <c r="B407" s="271"/>
      <c r="C407" s="271"/>
      <c r="D407" s="272">
        <v>55055.411</v>
      </c>
      <c r="E407" s="272">
        <v>-11972.707</v>
      </c>
      <c r="F407" s="272">
        <v>-34.935000000000002</v>
      </c>
      <c r="G407" s="272">
        <v>43047.769</v>
      </c>
      <c r="H407" s="272">
        <v>24031.627</v>
      </c>
      <c r="I407" s="272">
        <v>19016.142</v>
      </c>
      <c r="J407" s="272">
        <v>18620.464</v>
      </c>
      <c r="K407" s="272">
        <v>395.678</v>
      </c>
      <c r="L407" s="272">
        <v>23752.223999999998</v>
      </c>
      <c r="M407" s="272">
        <v>20517.442999999999</v>
      </c>
      <c r="N407" s="272">
        <v>295.54000000000002</v>
      </c>
      <c r="O407" s="272">
        <v>0</v>
      </c>
      <c r="P407" s="272">
        <v>295.54000000000002</v>
      </c>
      <c r="Q407" s="272">
        <v>202.471</v>
      </c>
      <c r="R407" s="272">
        <v>2736.77</v>
      </c>
      <c r="S407" s="272">
        <v>-590.37800000000004</v>
      </c>
      <c r="T407" s="272">
        <v>-451.154</v>
      </c>
      <c r="U407" s="272">
        <v>-38.97</v>
      </c>
      <c r="V407" s="272">
        <v>-83.084999999999994</v>
      </c>
      <c r="W407" s="272">
        <v>0</v>
      </c>
      <c r="X407" s="272">
        <v>-248.09800000000001</v>
      </c>
      <c r="Y407" s="272">
        <v>-81.001000000000005</v>
      </c>
      <c r="Z407" s="272">
        <v>-51.725000000000001</v>
      </c>
      <c r="AA407" s="272">
        <v>-64.991</v>
      </c>
      <c r="AB407" s="272">
        <v>-22.507999999999999</v>
      </c>
      <c r="AC407" s="272">
        <v>-34.935000000000002</v>
      </c>
      <c r="AD407" s="272">
        <v>23126.911</v>
      </c>
      <c r="AE407" s="272">
        <v>13670.509</v>
      </c>
      <c r="AF407" s="272">
        <v>9456.402</v>
      </c>
      <c r="AG407" s="272">
        <v>9251.5810000000001</v>
      </c>
      <c r="AH407" s="272">
        <v>204.821</v>
      </c>
      <c r="AI407" s="272">
        <v>20455.670999999998</v>
      </c>
      <c r="AJ407" s="272">
        <v>5408.3639999999996</v>
      </c>
      <c r="AK407" s="272">
        <v>8392.2690000000002</v>
      </c>
      <c r="AL407" s="272">
        <v>6530.277</v>
      </c>
      <c r="AM407" s="272">
        <v>943.02</v>
      </c>
      <c r="AN407" s="272">
        <v>480.53699999999998</v>
      </c>
      <c r="AO407" s="272">
        <v>112.05200000000001</v>
      </c>
      <c r="AP407" s="272">
        <v>145.583</v>
      </c>
      <c r="AQ407" s="272">
        <v>1029.8510000000001</v>
      </c>
      <c r="AR407" s="272">
        <v>-155.614</v>
      </c>
      <c r="AS407" s="272">
        <v>150.74600000000001</v>
      </c>
      <c r="AT407" s="272">
        <v>0</v>
      </c>
      <c r="AU407" s="272">
        <v>-34.935000000000002</v>
      </c>
      <c r="AV407" s="272">
        <v>1269.0219999999999</v>
      </c>
      <c r="AW407" s="272">
        <v>72.153999999999996</v>
      </c>
      <c r="AX407" s="272">
        <v>359.71499999999997</v>
      </c>
      <c r="AY407" s="272">
        <v>126.422</v>
      </c>
      <c r="AZ407" s="272">
        <v>48.212000000000003</v>
      </c>
      <c r="BA407" s="272">
        <v>41.588000000000001</v>
      </c>
      <c r="BB407" s="272">
        <v>143.49299999999999</v>
      </c>
      <c r="BC407" s="272">
        <v>157.65799999999999</v>
      </c>
      <c r="BD407" s="272">
        <v>679.495</v>
      </c>
      <c r="BE407" s="272">
        <v>-7297.6049999999996</v>
      </c>
      <c r="BF407" s="272">
        <v>-7293.0169999999998</v>
      </c>
      <c r="BG407" s="272">
        <v>-7208.8249999999998</v>
      </c>
      <c r="BH407" s="272">
        <v>-84.191999999999993</v>
      </c>
      <c r="BI407" s="272">
        <v>0</v>
      </c>
      <c r="BJ407" s="272">
        <v>-7067.74</v>
      </c>
      <c r="BK407" s="272">
        <v>-225.27699999999999</v>
      </c>
      <c r="BL407" s="272">
        <v>-4.5880000000000001</v>
      </c>
      <c r="BM407" s="272">
        <v>0</v>
      </c>
      <c r="BN407" s="272">
        <v>-6028.5829999999996</v>
      </c>
      <c r="BO407" s="272">
        <v>406.33199999999999</v>
      </c>
      <c r="BP407" s="272">
        <v>199.68199999999999</v>
      </c>
      <c r="BQ407" s="272">
        <v>47.436999999999998</v>
      </c>
      <c r="BR407" s="272">
        <v>25.027999999999999</v>
      </c>
      <c r="BS407" s="272">
        <v>68.575999999999993</v>
      </c>
      <c r="BT407" s="272">
        <v>16.541</v>
      </c>
      <c r="BU407" s="272">
        <v>2.6269999999999998</v>
      </c>
      <c r="BV407" s="272">
        <v>22.69</v>
      </c>
      <c r="BW407" s="272">
        <v>26.718</v>
      </c>
      <c r="BX407" s="272">
        <v>-6849.11</v>
      </c>
      <c r="BY407" s="272">
        <v>73.465999999999994</v>
      </c>
      <c r="BZ407" s="272">
        <v>6.0000000000000001E-3</v>
      </c>
      <c r="CA407" s="272">
        <v>759.31700000000001</v>
      </c>
      <c r="CB407" s="272">
        <v>-95.322999999999993</v>
      </c>
      <c r="CC407" s="272">
        <v>-95.322999999999993</v>
      </c>
      <c r="CD407" s="272">
        <v>0</v>
      </c>
      <c r="CE407" s="272">
        <v>663.99400000000003</v>
      </c>
      <c r="CF407" s="272">
        <v>571.40200000000004</v>
      </c>
      <c r="CG407" s="272">
        <v>0.217</v>
      </c>
      <c r="CH407" s="272">
        <v>92.375</v>
      </c>
      <c r="CI407" s="272">
        <v>24690.028999999999</v>
      </c>
      <c r="CJ407" s="272">
        <v>3937.422</v>
      </c>
      <c r="CK407" s="272">
        <v>20752.607</v>
      </c>
      <c r="CL407" s="272">
        <v>10904.142</v>
      </c>
      <c r="CM407" s="272">
        <v>8855.348</v>
      </c>
      <c r="CN407" s="272">
        <v>993.11699999999996</v>
      </c>
      <c r="CO407" s="272">
        <v>0</v>
      </c>
      <c r="CP407" s="272">
        <v>5.8879999999999999</v>
      </c>
      <c r="CQ407" s="272">
        <v>987.22900000000004</v>
      </c>
      <c r="CR407" s="272">
        <v>-3803.7179999999998</v>
      </c>
      <c r="CS407" s="272">
        <v>-352.84</v>
      </c>
      <c r="CT407" s="272">
        <v>-35.371000000000002</v>
      </c>
      <c r="CU407" s="272">
        <v>-80.23</v>
      </c>
      <c r="CV407" s="272">
        <v>-0.123</v>
      </c>
      <c r="CW407" s="272">
        <v>-237.11600000000001</v>
      </c>
      <c r="CX407" s="272">
        <v>-3394.239</v>
      </c>
      <c r="CY407" s="272">
        <v>-0.186</v>
      </c>
      <c r="CZ407" s="272">
        <v>-3387.864</v>
      </c>
      <c r="DA407" s="272">
        <v>-6.1890000000000001</v>
      </c>
      <c r="DB407" s="272">
        <v>0</v>
      </c>
      <c r="DC407" s="272">
        <v>-56.639000000000003</v>
      </c>
      <c r="DD407" s="272">
        <v>20886.311000000002</v>
      </c>
      <c r="DE407" s="272">
        <v>13704.572</v>
      </c>
      <c r="DF407" s="272">
        <v>7181.7389999999996</v>
      </c>
      <c r="DG407" s="272">
        <v>7030.9279999999999</v>
      </c>
      <c r="DH407" s="272">
        <v>150.81100000000001</v>
      </c>
      <c r="DI407" s="272">
        <v>3140.1750000000002</v>
      </c>
      <c r="DJ407" s="272">
        <v>164.94200000000001</v>
      </c>
      <c r="DK407" s="272">
        <v>57.3</v>
      </c>
      <c r="DL407" s="272">
        <v>4.8390000000000004</v>
      </c>
      <c r="DM407" s="272">
        <v>1924.097</v>
      </c>
      <c r="DN407" s="272">
        <v>901.26300000000003</v>
      </c>
      <c r="DO407" s="272">
        <v>34.582000000000001</v>
      </c>
      <c r="DP407" s="272">
        <v>42.470999999999997</v>
      </c>
      <c r="DQ407" s="272">
        <v>10.528</v>
      </c>
      <c r="DR407" s="272">
        <v>0.153</v>
      </c>
      <c r="DS407" s="272">
        <v>-61.720999999999997</v>
      </c>
      <c r="DT407" s="272">
        <v>-9.1829999999999998</v>
      </c>
      <c r="DU407" s="272">
        <v>-0.29899999999999999</v>
      </c>
      <c r="DV407" s="272">
        <v>-4.7E-2</v>
      </c>
      <c r="DW407" s="272">
        <v>-51.710999999999999</v>
      </c>
      <c r="DX407" s="272">
        <v>-6.883</v>
      </c>
      <c r="DY407" s="272">
        <v>-41.755000000000003</v>
      </c>
      <c r="DZ407" s="272">
        <v>-3.073</v>
      </c>
      <c r="EA407" s="272">
        <v>-6.0000000000000001E-3</v>
      </c>
      <c r="EB407" s="272">
        <v>-0.39800000000000002</v>
      </c>
      <c r="EC407" s="272">
        <v>-1.4999999999999999E-2</v>
      </c>
      <c r="ED407" s="272">
        <v>0</v>
      </c>
      <c r="EE407" s="272">
        <v>-6.2E-2</v>
      </c>
      <c r="EF407" s="272">
        <v>3078.4540000000002</v>
      </c>
      <c r="EG407" s="272">
        <v>700.45299999999997</v>
      </c>
      <c r="EH407" s="272">
        <v>2378.0009999999997</v>
      </c>
      <c r="EI407" s="272">
        <v>2337.9549999999999</v>
      </c>
      <c r="EJ407" s="272">
        <v>40.045999999999999</v>
      </c>
      <c r="EK407" s="272">
        <v>155.75899999999999</v>
      </c>
      <c r="EL407" s="272">
        <v>58.883000000000003</v>
      </c>
      <c r="EM407" s="272">
        <v>96.876000000000005</v>
      </c>
      <c r="EN407" s="272">
        <v>94.733000000000004</v>
      </c>
      <c r="EO407" s="272">
        <v>2.1429999999999998</v>
      </c>
      <c r="EP407" s="272">
        <v>57.000999999999998</v>
      </c>
      <c r="EQ407" s="272">
        <v>22.776</v>
      </c>
      <c r="ER407" s="272">
        <v>34.225000000000001</v>
      </c>
      <c r="ES407" s="272">
        <v>33.536000000000001</v>
      </c>
      <c r="ET407" s="272">
        <v>0.68899999999999995</v>
      </c>
      <c r="EU407" s="272">
        <v>4.7919999999999998</v>
      </c>
      <c r="EV407" s="272">
        <v>1.7010000000000001</v>
      </c>
      <c r="EW407" s="272">
        <v>3.0910000000000002</v>
      </c>
      <c r="EX407" s="272">
        <v>3.0310000000000001</v>
      </c>
      <c r="EY407" s="272">
        <v>0.06</v>
      </c>
      <c r="EZ407" s="272">
        <v>1872.386</v>
      </c>
      <c r="FA407" s="272">
        <v>468.435</v>
      </c>
      <c r="FB407" s="272">
        <v>1403.951</v>
      </c>
      <c r="FC407" s="272">
        <v>1379.5940000000001</v>
      </c>
      <c r="FD407" s="272">
        <v>24.356999999999999</v>
      </c>
      <c r="FE407" s="272">
        <v>901.25699999999995</v>
      </c>
      <c r="FF407" s="272">
        <v>283.77699999999999</v>
      </c>
      <c r="FG407" s="272">
        <v>617.48</v>
      </c>
      <c r="FH407" s="272">
        <v>604.68299999999999</v>
      </c>
      <c r="FI407" s="272">
        <v>12.797000000000001</v>
      </c>
      <c r="FJ407" s="272">
        <v>34.183999999999997</v>
      </c>
      <c r="FK407" s="272">
        <v>-188.19399999999999</v>
      </c>
      <c r="FL407" s="272">
        <v>222.37799999999999</v>
      </c>
      <c r="FM407" s="272">
        <v>222.37799999999999</v>
      </c>
      <c r="FN407" s="272"/>
      <c r="FO407" s="272">
        <v>42.456000000000003</v>
      </c>
      <c r="FP407" s="272">
        <v>10.528</v>
      </c>
      <c r="FQ407" s="272">
        <v>9.0999999999999998E-2</v>
      </c>
      <c r="FR407" s="272">
        <v>1444.644</v>
      </c>
      <c r="FS407" s="272">
        <v>-123.962</v>
      </c>
      <c r="FT407" s="272">
        <v>1320.682</v>
      </c>
      <c r="FU407" s="272">
        <v>21.518000000000001</v>
      </c>
      <c r="FV407" s="272">
        <v>0.60099999999999998</v>
      </c>
      <c r="FW407" s="272">
        <v>20.917000000000002</v>
      </c>
      <c r="FX407" s="272">
        <v>453.25299999999999</v>
      </c>
      <c r="FY407" s="272">
        <v>402.59300000000002</v>
      </c>
      <c r="FZ407" s="272">
        <v>58.42</v>
      </c>
      <c r="GA407" s="272">
        <v>73.655000000000001</v>
      </c>
      <c r="GB407" s="272">
        <v>10.093999999999999</v>
      </c>
      <c r="GC407" s="272">
        <v>77.188999999999993</v>
      </c>
      <c r="GD407" s="272">
        <v>-77.346000000000004</v>
      </c>
      <c r="GE407" s="272">
        <v>0</v>
      </c>
      <c r="GF407" s="272">
        <v>154.535</v>
      </c>
      <c r="GG407" s="272">
        <v>223.96</v>
      </c>
      <c r="GH407" s="272">
        <v>48.792999999999999</v>
      </c>
      <c r="GI407" s="272">
        <v>1.988</v>
      </c>
      <c r="GJ407" s="272">
        <v>173.179</v>
      </c>
    </row>
    <row r="408" spans="1:192">
      <c r="A408" s="317" t="s">
        <v>629</v>
      </c>
      <c r="B408" s="271"/>
      <c r="C408" s="271"/>
      <c r="D408" s="272">
        <v>57999.735999999997</v>
      </c>
      <c r="E408" s="272">
        <v>-12098.593000000001</v>
      </c>
      <c r="F408" s="272">
        <v>-184.03800000000001</v>
      </c>
      <c r="G408" s="272">
        <v>45717.105000000003</v>
      </c>
      <c r="H408" s="272">
        <v>26407.844000000001</v>
      </c>
      <c r="I408" s="272">
        <v>19309.260999999999</v>
      </c>
      <c r="J408" s="272">
        <v>18902.261999999999</v>
      </c>
      <c r="K408" s="272">
        <v>406.99900000000002</v>
      </c>
      <c r="L408" s="272">
        <v>25606.062000000002</v>
      </c>
      <c r="M408" s="272">
        <v>21951.287</v>
      </c>
      <c r="N408" s="272">
        <v>316.92399999999998</v>
      </c>
      <c r="O408" s="272">
        <v>0</v>
      </c>
      <c r="P408" s="272">
        <v>316.92399999999998</v>
      </c>
      <c r="Q408" s="272">
        <v>135.17099999999999</v>
      </c>
      <c r="R408" s="272">
        <v>3202.68</v>
      </c>
      <c r="S408" s="272">
        <v>-610.83699999999999</v>
      </c>
      <c r="T408" s="272">
        <v>-549.40899999999999</v>
      </c>
      <c r="U408" s="272">
        <v>-83.712999999999994</v>
      </c>
      <c r="V408" s="272">
        <v>-92.47</v>
      </c>
      <c r="W408" s="272">
        <v>0</v>
      </c>
      <c r="X408" s="272">
        <v>-272.97699999999998</v>
      </c>
      <c r="Y408" s="272">
        <v>-100.249</v>
      </c>
      <c r="Z408" s="272">
        <v>-16.581</v>
      </c>
      <c r="AA408" s="272">
        <v>-44.432000000000002</v>
      </c>
      <c r="AB408" s="272">
        <v>-0.41499999999999998</v>
      </c>
      <c r="AC408" s="272">
        <v>-184.03800000000001</v>
      </c>
      <c r="AD408" s="272">
        <v>24811.187000000002</v>
      </c>
      <c r="AE408" s="272">
        <v>15062.88</v>
      </c>
      <c r="AF408" s="272">
        <v>9748.3069999999989</v>
      </c>
      <c r="AG408" s="272">
        <v>9533.3639999999996</v>
      </c>
      <c r="AH408" s="272">
        <v>214.94300000000001</v>
      </c>
      <c r="AI408" s="272">
        <v>21910.223999999998</v>
      </c>
      <c r="AJ408" s="272">
        <v>5822.799</v>
      </c>
      <c r="AK408" s="272">
        <v>9194.1380000000008</v>
      </c>
      <c r="AL408" s="272">
        <v>6854.8379999999997</v>
      </c>
      <c r="AM408" s="272">
        <v>1265.4100000000001</v>
      </c>
      <c r="AN408" s="272">
        <v>506.78399999999999</v>
      </c>
      <c r="AO408" s="272">
        <v>152.01499999999999</v>
      </c>
      <c r="AP408" s="272">
        <v>179.17099999999999</v>
      </c>
      <c r="AQ408" s="272">
        <v>1095.5160000000001</v>
      </c>
      <c r="AR408" s="272">
        <v>-232.48500000000001</v>
      </c>
      <c r="AS408" s="272">
        <v>118.59</v>
      </c>
      <c r="AT408" s="272">
        <v>0</v>
      </c>
      <c r="AU408" s="272">
        <v>-184.03800000000001</v>
      </c>
      <c r="AV408" s="272">
        <v>1458.346</v>
      </c>
      <c r="AW408" s="272">
        <v>87.870999999999995</v>
      </c>
      <c r="AX408" s="272">
        <v>340.18099999999998</v>
      </c>
      <c r="AY408" s="272">
        <v>90.358000000000004</v>
      </c>
      <c r="AZ408" s="272">
        <v>60.085999999999999</v>
      </c>
      <c r="BA408" s="272">
        <v>29.084</v>
      </c>
      <c r="BB408" s="272">
        <v>160.65299999999999</v>
      </c>
      <c r="BC408" s="272">
        <v>222.191</v>
      </c>
      <c r="BD408" s="272">
        <v>808.10299999999995</v>
      </c>
      <c r="BE408" s="272">
        <v>-7712.3029999999999</v>
      </c>
      <c r="BF408" s="272">
        <v>-7705.9610000000002</v>
      </c>
      <c r="BG408" s="272">
        <v>-7249.9189999999999</v>
      </c>
      <c r="BH408" s="272">
        <v>-456.04199999999997</v>
      </c>
      <c r="BI408" s="272">
        <v>0</v>
      </c>
      <c r="BJ408" s="272">
        <v>-7234.8590000000004</v>
      </c>
      <c r="BK408" s="272">
        <v>-471.10199999999998</v>
      </c>
      <c r="BL408" s="272">
        <v>-6.3419999999999996</v>
      </c>
      <c r="BM408" s="272">
        <v>0</v>
      </c>
      <c r="BN408" s="272">
        <v>-6253.9570000000003</v>
      </c>
      <c r="BO408" s="272">
        <v>531.197</v>
      </c>
      <c r="BP408" s="272">
        <v>210.79</v>
      </c>
      <c r="BQ408" s="272">
        <v>64.713999999999999</v>
      </c>
      <c r="BR408" s="272">
        <v>0.15</v>
      </c>
      <c r="BS408" s="272">
        <v>82.921999999999997</v>
      </c>
      <c r="BT408" s="272">
        <v>24.08</v>
      </c>
      <c r="BU408" s="272">
        <v>5.3780000000000001</v>
      </c>
      <c r="BV408" s="272">
        <v>28.346</v>
      </c>
      <c r="BW408" s="272">
        <v>25.117999999999999</v>
      </c>
      <c r="BX408" s="272">
        <v>-6909.7380000000003</v>
      </c>
      <c r="BY408" s="272">
        <v>-233.851</v>
      </c>
      <c r="BZ408" s="272">
        <v>-0.14099999999999999</v>
      </c>
      <c r="CA408" s="272">
        <v>858.255</v>
      </c>
      <c r="CB408" s="272">
        <v>-66.528000000000006</v>
      </c>
      <c r="CC408" s="272">
        <v>-66.528000000000006</v>
      </c>
      <c r="CD408" s="272">
        <v>0</v>
      </c>
      <c r="CE408" s="272">
        <v>791.72699999999998</v>
      </c>
      <c r="CF408" s="272">
        <v>688.33799999999997</v>
      </c>
      <c r="CG408" s="272">
        <v>0.28299999999999997</v>
      </c>
      <c r="CH408" s="272">
        <v>103.10599999999999</v>
      </c>
      <c r="CI408" s="272">
        <v>25209.171999999999</v>
      </c>
      <c r="CJ408" s="272">
        <v>3429.29</v>
      </c>
      <c r="CK408" s="272">
        <v>21779.882000000001</v>
      </c>
      <c r="CL408" s="272">
        <v>11446.183000000001</v>
      </c>
      <c r="CM408" s="272">
        <v>9161.6470000000008</v>
      </c>
      <c r="CN408" s="272">
        <v>1172.0519999999999</v>
      </c>
      <c r="CO408" s="272">
        <v>0</v>
      </c>
      <c r="CP408" s="272">
        <v>2.1339999999999999</v>
      </c>
      <c r="CQ408" s="272">
        <v>1169.9179999999999</v>
      </c>
      <c r="CR408" s="272">
        <v>-3482.3249999999998</v>
      </c>
      <c r="CS408" s="272">
        <v>-342.399</v>
      </c>
      <c r="CT408" s="272">
        <v>-64.233000000000004</v>
      </c>
      <c r="CU408" s="272">
        <v>-82.373999999999995</v>
      </c>
      <c r="CV408" s="272">
        <v>-9.9000000000000005E-2</v>
      </c>
      <c r="CW408" s="272">
        <v>-195.69300000000001</v>
      </c>
      <c r="CX408" s="272">
        <v>-3130.3879999999999</v>
      </c>
      <c r="CY408" s="272">
        <v>-1.4999999999999999E-2</v>
      </c>
      <c r="CZ408" s="272">
        <v>-3118.009</v>
      </c>
      <c r="DA408" s="272">
        <v>-12.364000000000001</v>
      </c>
      <c r="DB408" s="272">
        <v>0</v>
      </c>
      <c r="DC408" s="272">
        <v>-9.5380000000000003</v>
      </c>
      <c r="DD408" s="272">
        <v>21726.847000000002</v>
      </c>
      <c r="DE408" s="272">
        <v>14544.187</v>
      </c>
      <c r="DF408" s="272">
        <v>7182.66</v>
      </c>
      <c r="DG408" s="272">
        <v>7030.9279999999999</v>
      </c>
      <c r="DH408" s="272">
        <v>151.732</v>
      </c>
      <c r="DI408" s="272">
        <v>3468.462</v>
      </c>
      <c r="DJ408" s="272">
        <v>162.30199999999999</v>
      </c>
      <c r="DK408" s="272">
        <v>58.134999999999998</v>
      </c>
      <c r="DL408" s="272">
        <v>4.8929999999999998</v>
      </c>
      <c r="DM408" s="272">
        <v>1965.36</v>
      </c>
      <c r="DN408" s="272">
        <v>1070.817</v>
      </c>
      <c r="DO408" s="272">
        <v>82.575000000000003</v>
      </c>
      <c r="DP408" s="272">
        <v>111.19499999999999</v>
      </c>
      <c r="DQ408" s="272">
        <v>12.839</v>
      </c>
      <c r="DR408" s="272">
        <v>0.34599999999999997</v>
      </c>
      <c r="DS408" s="272">
        <v>-87.042000000000002</v>
      </c>
      <c r="DT408" s="272">
        <v>-7.0709999999999997</v>
      </c>
      <c r="DU408" s="272">
        <v>-0.16400000000000001</v>
      </c>
      <c r="DV408" s="272">
        <v>-0.02</v>
      </c>
      <c r="DW408" s="272">
        <v>-61.573999999999998</v>
      </c>
      <c r="DX408" s="272">
        <v>-6.5570000000000004</v>
      </c>
      <c r="DY408" s="272">
        <v>-51.381999999999998</v>
      </c>
      <c r="DZ408" s="272">
        <v>-3.6349999999999998</v>
      </c>
      <c r="EA408" s="272">
        <v>-0.24199999999999999</v>
      </c>
      <c r="EB408" s="272">
        <v>-0.28199999999999997</v>
      </c>
      <c r="EC408" s="272">
        <v>-17.465</v>
      </c>
      <c r="ED408" s="272">
        <v>0</v>
      </c>
      <c r="EE408" s="272">
        <v>-0.224</v>
      </c>
      <c r="EF408" s="272">
        <v>3381.42</v>
      </c>
      <c r="EG408" s="272">
        <v>1003.126</v>
      </c>
      <c r="EH408" s="272">
        <v>2378.2939999999999</v>
      </c>
      <c r="EI408" s="272">
        <v>2337.9699999999998</v>
      </c>
      <c r="EJ408" s="272">
        <v>40.323999999999998</v>
      </c>
      <c r="EK408" s="272">
        <v>155.23099999999999</v>
      </c>
      <c r="EL408" s="272">
        <v>58.332999999999998</v>
      </c>
      <c r="EM408" s="272">
        <v>96.89800000000001</v>
      </c>
      <c r="EN408" s="272">
        <v>94.733000000000004</v>
      </c>
      <c r="EO408" s="272">
        <v>2.165</v>
      </c>
      <c r="EP408" s="272">
        <v>57.970999999999997</v>
      </c>
      <c r="EQ408" s="272">
        <v>23.74</v>
      </c>
      <c r="ER408" s="272">
        <v>34.231000000000002</v>
      </c>
      <c r="ES408" s="272">
        <v>33.536000000000001</v>
      </c>
      <c r="ET408" s="272">
        <v>0.69499999999999995</v>
      </c>
      <c r="EU408" s="272">
        <v>4.8730000000000002</v>
      </c>
      <c r="EV408" s="272">
        <v>1.7829999999999999</v>
      </c>
      <c r="EW408" s="272">
        <v>3.0900000000000003</v>
      </c>
      <c r="EX408" s="272">
        <v>3.0310000000000001</v>
      </c>
      <c r="EY408" s="272">
        <v>5.8999999999999997E-2</v>
      </c>
      <c r="EZ408" s="272">
        <v>1903.7860000000001</v>
      </c>
      <c r="FA408" s="272">
        <v>499.61399999999998</v>
      </c>
      <c r="FB408" s="272">
        <v>1404.172</v>
      </c>
      <c r="FC408" s="272">
        <v>1379.5940000000001</v>
      </c>
      <c r="FD408" s="272">
        <v>24.577999999999999</v>
      </c>
      <c r="FE408" s="272">
        <v>1070.575</v>
      </c>
      <c r="FF408" s="272">
        <v>453.065</v>
      </c>
      <c r="FG408" s="272">
        <v>617.51</v>
      </c>
      <c r="FH408" s="272">
        <v>604.68299999999999</v>
      </c>
      <c r="FI408" s="272">
        <v>12.827</v>
      </c>
      <c r="FJ408" s="272">
        <v>82.293000000000006</v>
      </c>
      <c r="FK408" s="272">
        <v>-140.1</v>
      </c>
      <c r="FL408" s="272">
        <v>222.393</v>
      </c>
      <c r="FM408" s="272">
        <v>222.393</v>
      </c>
      <c r="FN408" s="272"/>
      <c r="FO408" s="272">
        <v>93.73</v>
      </c>
      <c r="FP408" s="272">
        <v>12.839</v>
      </c>
      <c r="FQ408" s="272">
        <v>0.122</v>
      </c>
      <c r="FR408" s="272">
        <v>1399.4390000000001</v>
      </c>
      <c r="FS408" s="272">
        <v>-139.55799999999999</v>
      </c>
      <c r="FT408" s="272">
        <v>1259.8810000000001</v>
      </c>
      <c r="FU408" s="272">
        <v>36.270000000000003</v>
      </c>
      <c r="FV408" s="272">
        <v>16.995000000000001</v>
      </c>
      <c r="FW408" s="272">
        <v>19.274999999999999</v>
      </c>
      <c r="FX408" s="272">
        <v>385.47300000000001</v>
      </c>
      <c r="FY408" s="272">
        <v>442.33699999999999</v>
      </c>
      <c r="FZ408" s="272">
        <v>40.334000000000003</v>
      </c>
      <c r="GA408" s="272">
        <v>89.308999999999997</v>
      </c>
      <c r="GB408" s="272">
        <v>12.334</v>
      </c>
      <c r="GC408" s="272">
        <v>76.686000000000007</v>
      </c>
      <c r="GD408" s="272">
        <v>-80.007000000000005</v>
      </c>
      <c r="GE408" s="272">
        <v>1E-3</v>
      </c>
      <c r="GF408" s="272">
        <v>156.69200000000001</v>
      </c>
      <c r="GG408" s="272">
        <v>177.13800000000001</v>
      </c>
      <c r="GH408" s="272">
        <v>29.475999999999999</v>
      </c>
      <c r="GI408" s="272">
        <v>2.085</v>
      </c>
      <c r="GJ408" s="272">
        <v>145.577</v>
      </c>
    </row>
    <row r="409" spans="1:19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</row>
    <row r="410" spans="1:19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</row>
    <row r="411" spans="1:192">
      <c r="A411" s="268" t="s">
        <v>587</v>
      </c>
      <c r="B411" s="273"/>
      <c r="C411" s="273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</row>
    <row r="412" spans="1:19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</row>
    <row r="413" spans="1:192">
      <c r="A413" s="274"/>
      <c r="B413" s="275" t="s">
        <v>236</v>
      </c>
      <c r="C413" s="275" t="s">
        <v>236</v>
      </c>
      <c r="D413" s="276">
        <v>5.1534655406847767</v>
      </c>
      <c r="E413" s="276">
        <v>-10.423567841702363</v>
      </c>
      <c r="F413" s="276">
        <v>-3.5007798112592399</v>
      </c>
      <c r="G413" s="276">
        <v>4.1096838310399999</v>
      </c>
      <c r="H413" s="276">
        <v>4.1096838310399999</v>
      </c>
      <c r="I413" s="277" t="s">
        <v>237</v>
      </c>
      <c r="J413" s="277" t="s">
        <v>237</v>
      </c>
      <c r="K413" s="277" t="s">
        <v>237</v>
      </c>
      <c r="L413" s="276">
        <v>2.414711586491173</v>
      </c>
      <c r="M413" s="277" t="s">
        <v>237</v>
      </c>
      <c r="N413" s="276">
        <v>4.8556596552410625</v>
      </c>
      <c r="O413" s="277" t="s">
        <v>237</v>
      </c>
      <c r="P413" s="277" t="s">
        <v>237</v>
      </c>
      <c r="Q413" s="277" t="s">
        <v>237</v>
      </c>
      <c r="R413" s="277" t="s">
        <v>237</v>
      </c>
      <c r="S413" s="276">
        <v>-10.551903791298464</v>
      </c>
      <c r="T413" s="276">
        <v>-7.678516992155104</v>
      </c>
      <c r="U413" s="277" t="s">
        <v>237</v>
      </c>
      <c r="V413" s="277" t="s">
        <v>237</v>
      </c>
      <c r="W413" s="277" t="s">
        <v>237</v>
      </c>
      <c r="X413" s="277" t="s">
        <v>237</v>
      </c>
      <c r="Y413" s="277" t="s">
        <v>237</v>
      </c>
      <c r="Z413" s="277" t="s">
        <v>237</v>
      </c>
      <c r="AA413" s="276">
        <v>18.123064931690735</v>
      </c>
      <c r="AB413" s="276">
        <v>-30.257965150046221</v>
      </c>
      <c r="AC413" s="276">
        <v>-3.5007798112592399</v>
      </c>
      <c r="AD413" s="276">
        <v>0.81393877310421303</v>
      </c>
      <c r="AE413" s="276">
        <v>0.81393877310421303</v>
      </c>
      <c r="AF413" s="277" t="s">
        <v>237</v>
      </c>
      <c r="AG413" s="277" t="s">
        <v>237</v>
      </c>
      <c r="AH413" s="277" t="s">
        <v>237</v>
      </c>
      <c r="AI413" s="276">
        <v>2.8294694208121198</v>
      </c>
      <c r="AJ413" s="277" t="s">
        <v>237</v>
      </c>
      <c r="AK413" s="277" t="s">
        <v>237</v>
      </c>
      <c r="AL413" s="277" t="s">
        <v>237</v>
      </c>
      <c r="AM413" s="276">
        <v>-2.0774939778209331</v>
      </c>
      <c r="AN413" s="277" t="s">
        <v>237</v>
      </c>
      <c r="AO413" s="277" t="s">
        <v>237</v>
      </c>
      <c r="AP413" s="277" t="s">
        <v>237</v>
      </c>
      <c r="AQ413" s="276">
        <v>-5.5095401496365684</v>
      </c>
      <c r="AR413" s="276">
        <v>-32.903595610732395</v>
      </c>
      <c r="AS413" s="277" t="s">
        <v>237</v>
      </c>
      <c r="AT413" s="277" t="s">
        <v>237</v>
      </c>
      <c r="AU413" s="276">
        <v>-3.5007798112592399</v>
      </c>
      <c r="AV413" s="276">
        <v>10.164809299242423</v>
      </c>
      <c r="AW413" s="277" t="s">
        <v>237</v>
      </c>
      <c r="AX413" s="276">
        <v>11.458046037868209</v>
      </c>
      <c r="AY413" s="277" t="s">
        <v>237</v>
      </c>
      <c r="AZ413" s="277" t="s">
        <v>237</v>
      </c>
      <c r="BA413" s="277" t="s">
        <v>237</v>
      </c>
      <c r="BB413" s="277" t="s">
        <v>237</v>
      </c>
      <c r="BC413" s="277" t="s">
        <v>237</v>
      </c>
      <c r="BD413" s="277" t="s">
        <v>237</v>
      </c>
      <c r="BE413" s="276">
        <v>-14.533912994774742</v>
      </c>
      <c r="BF413" s="276">
        <v>-11.745580276608536</v>
      </c>
      <c r="BG413" s="276">
        <v>-11.745580276608536</v>
      </c>
      <c r="BH413" s="277" t="s">
        <v>237</v>
      </c>
      <c r="BI413" s="277" t="s">
        <v>237</v>
      </c>
      <c r="BJ413" s="277" t="s">
        <v>237</v>
      </c>
      <c r="BK413" s="277" t="s">
        <v>237</v>
      </c>
      <c r="BL413" s="276">
        <v>37.862860093688909</v>
      </c>
      <c r="BM413" s="276">
        <v>-30.433641396072794</v>
      </c>
      <c r="BN413" s="276">
        <v>8.9749380561973506</v>
      </c>
      <c r="BO413" s="276">
        <v>-2.5850244151190505</v>
      </c>
      <c r="BP413" s="277" t="s">
        <v>237</v>
      </c>
      <c r="BQ413" s="277" t="s">
        <v>237</v>
      </c>
      <c r="BR413" s="277" t="s">
        <v>237</v>
      </c>
      <c r="BS413" s="276">
        <v>16.491620741432541</v>
      </c>
      <c r="BT413" s="277" t="s">
        <v>237</v>
      </c>
      <c r="BU413" s="277" t="s">
        <v>237</v>
      </c>
      <c r="BV413" s="277" t="s">
        <v>237</v>
      </c>
      <c r="BW413" s="277" t="s">
        <v>237</v>
      </c>
      <c r="BX413" s="276">
        <v>11.31124071931221</v>
      </c>
      <c r="BY413" s="277" t="s">
        <v>237</v>
      </c>
      <c r="BZ413" s="277" t="s">
        <v>237</v>
      </c>
      <c r="CA413" s="277" t="s">
        <v>237</v>
      </c>
      <c r="CB413" s="277" t="s">
        <v>237</v>
      </c>
      <c r="CC413" s="277" t="s">
        <v>237</v>
      </c>
      <c r="CD413" s="277" t="s">
        <v>237</v>
      </c>
      <c r="CE413" s="277" t="s">
        <v>237</v>
      </c>
      <c r="CF413" s="277" t="s">
        <v>237</v>
      </c>
      <c r="CG413" s="277" t="s">
        <v>237</v>
      </c>
      <c r="CH413" s="277" t="s">
        <v>237</v>
      </c>
      <c r="CI413" s="276">
        <v>7.3024382005528068</v>
      </c>
      <c r="CJ413" s="276">
        <v>2.2631156253913063</v>
      </c>
      <c r="CK413" s="276">
        <v>8.563115677061802</v>
      </c>
      <c r="CL413" s="276">
        <v>11.408763401825544</v>
      </c>
      <c r="CM413" s="276">
        <v>5.5666923278464351</v>
      </c>
      <c r="CN413" s="276">
        <v>25.377318512240453</v>
      </c>
      <c r="CO413" s="277" t="s">
        <v>237</v>
      </c>
      <c r="CP413" s="277" t="s">
        <v>237</v>
      </c>
      <c r="CQ413" s="276">
        <v>25.377318512240453</v>
      </c>
      <c r="CR413" s="276">
        <v>-7.9059575483563078</v>
      </c>
      <c r="CS413" s="276">
        <v>-13.756455399349916</v>
      </c>
      <c r="CT413" s="277" t="s">
        <v>237</v>
      </c>
      <c r="CU413" s="277" t="s">
        <v>237</v>
      </c>
      <c r="CV413" s="277" t="s">
        <v>237</v>
      </c>
      <c r="CW413" s="277" t="s">
        <v>237</v>
      </c>
      <c r="CX413" s="276">
        <v>-5.0158111295891246</v>
      </c>
      <c r="CY413" s="277" t="s">
        <v>237</v>
      </c>
      <c r="CZ413" s="277" t="s">
        <v>237</v>
      </c>
      <c r="DA413" s="277" t="s">
        <v>237</v>
      </c>
      <c r="DB413" s="276">
        <v>-12.080108685835896</v>
      </c>
      <c r="DC413" s="276">
        <v>23.439716606243628</v>
      </c>
      <c r="DD413" s="276">
        <v>7.1183882714861326</v>
      </c>
      <c r="DE413" s="276">
        <v>7.1183882714861326</v>
      </c>
      <c r="DF413" s="277" t="s">
        <v>237</v>
      </c>
      <c r="DG413" s="277" t="s">
        <v>237</v>
      </c>
      <c r="DH413" s="277" t="s">
        <v>237</v>
      </c>
      <c r="DI413" s="276">
        <v>7.8856409843429072</v>
      </c>
      <c r="DJ413" s="276">
        <v>12.617138566420957</v>
      </c>
      <c r="DK413" s="276">
        <v>3.2621811675612653</v>
      </c>
      <c r="DL413" s="276">
        <v>16.552437605069183</v>
      </c>
      <c r="DM413" s="276">
        <v>6.131429721883447</v>
      </c>
      <c r="DN413" s="276">
        <v>17.261355661485474</v>
      </c>
      <c r="DO413" s="277" t="s">
        <v>237</v>
      </c>
      <c r="DP413" s="277"/>
      <c r="DQ413" s="277" t="s">
        <v>237</v>
      </c>
      <c r="DR413" s="276">
        <v>-5.3519841667366057</v>
      </c>
      <c r="DS413" s="276">
        <v>-153.97666714676652</v>
      </c>
      <c r="DT413" s="276">
        <v>-56.260421953164659</v>
      </c>
      <c r="DU413" s="277" t="s">
        <v>237</v>
      </c>
      <c r="DV413" s="276">
        <v>-27.504244482173181</v>
      </c>
      <c r="DW413" s="277" t="s">
        <v>237</v>
      </c>
      <c r="DX413" s="277" t="s">
        <v>237</v>
      </c>
      <c r="DY413" s="277" t="s">
        <v>237</v>
      </c>
      <c r="DZ413" s="277" t="s">
        <v>237</v>
      </c>
      <c r="EA413" s="276">
        <v>-76.039119804400983</v>
      </c>
      <c r="EB413" s="277" t="s">
        <v>237</v>
      </c>
      <c r="EC413" s="277"/>
      <c r="ED413" s="277" t="s">
        <v>237</v>
      </c>
      <c r="EE413" s="276">
        <v>-100.63756309218103</v>
      </c>
      <c r="EF413" s="276">
        <v>7.4442047606749959</v>
      </c>
      <c r="EG413" s="276">
        <v>7.4442047606749959</v>
      </c>
      <c r="EH413" s="277" t="s">
        <v>237</v>
      </c>
      <c r="EI413" s="277" t="s">
        <v>237</v>
      </c>
      <c r="EJ413" s="277" t="s">
        <v>237</v>
      </c>
      <c r="EK413" s="276">
        <v>11.468874285877787</v>
      </c>
      <c r="EL413" s="276">
        <v>11.468874285877787</v>
      </c>
      <c r="EM413" s="277" t="s">
        <v>237</v>
      </c>
      <c r="EN413" s="277" t="s">
        <v>237</v>
      </c>
      <c r="EO413" s="277" t="s">
        <v>237</v>
      </c>
      <c r="EP413" s="276">
        <v>-3.5415352041428281</v>
      </c>
      <c r="EQ413" s="276">
        <v>-3.5415352041428281</v>
      </c>
      <c r="ER413" s="277" t="s">
        <v>237</v>
      </c>
      <c r="ES413" s="277" t="s">
        <v>237</v>
      </c>
      <c r="ET413" s="277" t="s">
        <v>237</v>
      </c>
      <c r="EU413" s="276">
        <v>16.267138434321101</v>
      </c>
      <c r="EV413" s="276">
        <v>16.267138434321101</v>
      </c>
      <c r="EW413" s="277" t="s">
        <v>237</v>
      </c>
      <c r="EX413" s="277" t="s">
        <v>237</v>
      </c>
      <c r="EY413" s="277" t="s">
        <v>237</v>
      </c>
      <c r="EZ413" s="276">
        <v>5.8689072308230035</v>
      </c>
      <c r="FA413" s="276">
        <v>5.8689072308230035</v>
      </c>
      <c r="FB413" s="277" t="s">
        <v>237</v>
      </c>
      <c r="FC413" s="277" t="s">
        <v>237</v>
      </c>
      <c r="FD413" s="277" t="s">
        <v>237</v>
      </c>
      <c r="FE413" s="276">
        <v>17.250868341082455</v>
      </c>
      <c r="FF413" s="276">
        <v>17.250868341082455</v>
      </c>
      <c r="FG413" s="277" t="s">
        <v>237</v>
      </c>
      <c r="FH413" s="277" t="s">
        <v>237</v>
      </c>
      <c r="FI413" s="277" t="s">
        <v>237</v>
      </c>
      <c r="FJ413" s="277" t="s">
        <v>237</v>
      </c>
      <c r="FK413" s="277" t="s">
        <v>237</v>
      </c>
      <c r="FL413" s="277" t="s">
        <v>237</v>
      </c>
      <c r="FM413" s="277" t="s">
        <v>237</v>
      </c>
      <c r="FN413" s="277"/>
      <c r="FO413" s="277"/>
      <c r="FP413" s="277" t="s">
        <v>237</v>
      </c>
      <c r="FQ413" s="276">
        <v>-6.9974773338099112</v>
      </c>
      <c r="FR413" s="276">
        <v>-9.4962266246862832</v>
      </c>
      <c r="FS413" s="276">
        <v>-41.673342443805659</v>
      </c>
      <c r="FT413" s="276">
        <v>-10.456269898316895</v>
      </c>
      <c r="FU413" s="277" t="s">
        <v>237</v>
      </c>
      <c r="FV413" s="277" t="s">
        <v>237</v>
      </c>
      <c r="FW413" s="277" t="s">
        <v>237</v>
      </c>
      <c r="FX413" s="276">
        <v>-18.357217010229622</v>
      </c>
      <c r="FY413" s="277" t="s">
        <v>237</v>
      </c>
      <c r="FZ413" s="277"/>
      <c r="GA413" s="277"/>
      <c r="GB413" s="277" t="s">
        <v>237</v>
      </c>
      <c r="GC413" s="276">
        <v>-13.698366882456236</v>
      </c>
      <c r="GD413" s="277" t="s">
        <v>237</v>
      </c>
      <c r="GE413" s="277" t="s">
        <v>237</v>
      </c>
      <c r="GF413" s="277" t="s">
        <v>237</v>
      </c>
      <c r="GG413" s="276">
        <v>-2.9608627451764495</v>
      </c>
      <c r="GH413" s="276">
        <v>-1.1012547417566387</v>
      </c>
      <c r="GI413" s="276">
        <v>-25.539062593483383</v>
      </c>
      <c r="GJ413" s="276">
        <v>11.654316994025658</v>
      </c>
    </row>
    <row r="414" spans="1:192">
      <c r="A414" s="274"/>
      <c r="B414" s="275" t="s">
        <v>238</v>
      </c>
      <c r="C414" s="275" t="s">
        <v>238</v>
      </c>
      <c r="D414" s="276">
        <v>13.262572082147312</v>
      </c>
      <c r="E414" s="276">
        <v>-17.100515750131088</v>
      </c>
      <c r="F414" s="276">
        <v>-2.6859750387359327</v>
      </c>
      <c r="G414" s="276">
        <v>12.470680742283969</v>
      </c>
      <c r="H414" s="276">
        <v>12.470680742283969</v>
      </c>
      <c r="I414" s="277" t="s">
        <v>237</v>
      </c>
      <c r="J414" s="277" t="s">
        <v>237</v>
      </c>
      <c r="K414" s="277" t="s">
        <v>237</v>
      </c>
      <c r="L414" s="276">
        <v>7.0092168421953476</v>
      </c>
      <c r="M414" s="277" t="s">
        <v>237</v>
      </c>
      <c r="N414" s="276">
        <v>0.67629181352391898</v>
      </c>
      <c r="O414" s="277" t="s">
        <v>237</v>
      </c>
      <c r="P414" s="277" t="s">
        <v>237</v>
      </c>
      <c r="Q414" s="277" t="s">
        <v>237</v>
      </c>
      <c r="R414" s="277" t="s">
        <v>237</v>
      </c>
      <c r="S414" s="276">
        <v>-14.817977808984981</v>
      </c>
      <c r="T414" s="276">
        <v>-15.310710208071869</v>
      </c>
      <c r="U414" s="277" t="s">
        <v>237</v>
      </c>
      <c r="V414" s="277" t="s">
        <v>237</v>
      </c>
      <c r="W414" s="277" t="s">
        <v>237</v>
      </c>
      <c r="X414" s="277" t="s">
        <v>237</v>
      </c>
      <c r="Y414" s="277" t="s">
        <v>237</v>
      </c>
      <c r="Z414" s="277" t="s">
        <v>237</v>
      </c>
      <c r="AA414" s="276">
        <v>-70.630544867980916</v>
      </c>
      <c r="AB414" s="276">
        <v>-8.8057555694120726</v>
      </c>
      <c r="AC414" s="276">
        <v>-2.6859750387359327</v>
      </c>
      <c r="AD414" s="276">
        <v>5.3448318756201498</v>
      </c>
      <c r="AE414" s="276">
        <v>5.3448318756201498</v>
      </c>
      <c r="AF414" s="277" t="s">
        <v>237</v>
      </c>
      <c r="AG414" s="277" t="s">
        <v>237</v>
      </c>
      <c r="AH414" s="277" t="s">
        <v>237</v>
      </c>
      <c r="AI414" s="276">
        <v>13.480296847383062</v>
      </c>
      <c r="AJ414" s="276">
        <v>38.824989667801191</v>
      </c>
      <c r="AK414" s="276">
        <v>7.0453059191587419</v>
      </c>
      <c r="AL414" s="276">
        <v>8.6773741238830144</v>
      </c>
      <c r="AM414" s="276">
        <v>-16.088475589401362</v>
      </c>
      <c r="AN414" s="277" t="s">
        <v>237</v>
      </c>
      <c r="AO414" s="277" t="s">
        <v>237</v>
      </c>
      <c r="AP414" s="277" t="s">
        <v>237</v>
      </c>
      <c r="AQ414" s="276">
        <v>-0.52869104750363582</v>
      </c>
      <c r="AR414" s="276">
        <v>-118.4856470683266</v>
      </c>
      <c r="AS414" s="277" t="s">
        <v>237</v>
      </c>
      <c r="AT414" s="277" t="s">
        <v>237</v>
      </c>
      <c r="AU414" s="276">
        <v>-2.6859750387359327</v>
      </c>
      <c r="AV414" s="276">
        <v>44.401935735350072</v>
      </c>
      <c r="AW414" s="277" t="s">
        <v>237</v>
      </c>
      <c r="AX414" s="276">
        <v>12.634534189217142</v>
      </c>
      <c r="AY414" s="277" t="s">
        <v>237</v>
      </c>
      <c r="AZ414" s="277" t="s">
        <v>237</v>
      </c>
      <c r="BA414" s="277" t="s">
        <v>237</v>
      </c>
      <c r="BB414" s="277" t="s">
        <v>237</v>
      </c>
      <c r="BC414" s="277" t="s">
        <v>237</v>
      </c>
      <c r="BD414" s="277" t="s">
        <v>237</v>
      </c>
      <c r="BE414" s="276">
        <v>-16.276050174844706</v>
      </c>
      <c r="BF414" s="276">
        <v>-18.285298243744791</v>
      </c>
      <c r="BG414" s="276">
        <v>-18.285298243744791</v>
      </c>
      <c r="BH414" s="277" t="s">
        <v>237</v>
      </c>
      <c r="BI414" s="277" t="s">
        <v>237</v>
      </c>
      <c r="BJ414" s="277" t="s">
        <v>237</v>
      </c>
      <c r="BK414" s="277" t="s">
        <v>237</v>
      </c>
      <c r="BL414" s="276">
        <v>-15.000593612727062</v>
      </c>
      <c r="BM414" s="276">
        <v>-8.805465558529372</v>
      </c>
      <c r="BN414" s="276">
        <v>52.452406722968938</v>
      </c>
      <c r="BO414" s="276">
        <v>-13.622871418746341</v>
      </c>
      <c r="BP414" s="277" t="s">
        <v>237</v>
      </c>
      <c r="BQ414" s="277" t="s">
        <v>237</v>
      </c>
      <c r="BR414" s="277" t="s">
        <v>237</v>
      </c>
      <c r="BS414" s="276">
        <v>164.11283665117753</v>
      </c>
      <c r="BT414" s="277" t="s">
        <v>237</v>
      </c>
      <c r="BU414" s="277" t="s">
        <v>237</v>
      </c>
      <c r="BV414" s="277" t="s">
        <v>237</v>
      </c>
      <c r="BW414" s="277" t="s">
        <v>237</v>
      </c>
      <c r="BX414" s="276">
        <v>9.7381862773896568</v>
      </c>
      <c r="BY414" s="277" t="s">
        <v>237</v>
      </c>
      <c r="BZ414" s="277" t="s">
        <v>237</v>
      </c>
      <c r="CA414" s="277" t="s">
        <v>237</v>
      </c>
      <c r="CB414" s="277" t="s">
        <v>237</v>
      </c>
      <c r="CC414" s="277" t="s">
        <v>237</v>
      </c>
      <c r="CD414" s="277" t="s">
        <v>237</v>
      </c>
      <c r="CE414" s="277" t="s">
        <v>237</v>
      </c>
      <c r="CF414" s="277" t="s">
        <v>237</v>
      </c>
      <c r="CG414" s="277" t="s">
        <v>237</v>
      </c>
      <c r="CH414" s="277" t="s">
        <v>237</v>
      </c>
      <c r="CI414" s="276">
        <v>10.885333235193814</v>
      </c>
      <c r="CJ414" s="276">
        <v>16.81001425404536</v>
      </c>
      <c r="CK414" s="276">
        <v>9.4891785786734957</v>
      </c>
      <c r="CL414" s="276">
        <v>9.8259170013570341</v>
      </c>
      <c r="CM414" s="276">
        <v>8.709180532352919</v>
      </c>
      <c r="CN414" s="276">
        <v>40.865659612084642</v>
      </c>
      <c r="CO414" s="277" t="s">
        <v>237</v>
      </c>
      <c r="CP414" s="277" t="s">
        <v>237</v>
      </c>
      <c r="CQ414" s="276">
        <v>40.865659612084642</v>
      </c>
      <c r="CR414" s="276">
        <v>-10.984208775651885</v>
      </c>
      <c r="CS414" s="276">
        <v>-9.3553877224085991</v>
      </c>
      <c r="CT414" s="277" t="s">
        <v>237</v>
      </c>
      <c r="CU414" s="277" t="s">
        <v>237</v>
      </c>
      <c r="CV414" s="277" t="s">
        <v>237</v>
      </c>
      <c r="CW414" s="277" t="s">
        <v>237</v>
      </c>
      <c r="CX414" s="276">
        <v>-9.9098982795388384</v>
      </c>
      <c r="CY414" s="276">
        <v>-14.068981249774195</v>
      </c>
      <c r="CZ414" s="277" t="s">
        <v>237</v>
      </c>
      <c r="DA414" s="276">
        <v>96.106522421871389</v>
      </c>
      <c r="DB414" s="276">
        <v>-24.460096446069198</v>
      </c>
      <c r="DC414" s="276">
        <v>-11.690957360351089</v>
      </c>
      <c r="DD414" s="276">
        <v>10.854958344706215</v>
      </c>
      <c r="DE414" s="276">
        <v>10.854958344706215</v>
      </c>
      <c r="DF414" s="277" t="s">
        <v>237</v>
      </c>
      <c r="DG414" s="277" t="s">
        <v>237</v>
      </c>
      <c r="DH414" s="277" t="s">
        <v>237</v>
      </c>
      <c r="DI414" s="276">
        <v>5.1771361105867033</v>
      </c>
      <c r="DJ414" s="276">
        <v>5.6218364379632337</v>
      </c>
      <c r="DK414" s="276">
        <v>-11.220635048555433</v>
      </c>
      <c r="DL414" s="276">
        <v>-9.9079107955175925</v>
      </c>
      <c r="DM414" s="276">
        <v>1.3308717188450885</v>
      </c>
      <c r="DN414" s="276">
        <v>16.767046164650143</v>
      </c>
      <c r="DO414" s="277" t="s">
        <v>237</v>
      </c>
      <c r="DP414" s="277"/>
      <c r="DQ414" s="277" t="s">
        <v>237</v>
      </c>
      <c r="DR414" s="276">
        <v>10.647159532183487</v>
      </c>
      <c r="DS414" s="277" t="s">
        <v>237</v>
      </c>
      <c r="DT414" s="277" t="s">
        <v>237</v>
      </c>
      <c r="DU414" s="276">
        <v>16.708413142772955</v>
      </c>
      <c r="DV414" s="276">
        <v>-10.785619174434082</v>
      </c>
      <c r="DW414" s="277" t="s">
        <v>237</v>
      </c>
      <c r="DX414" s="277" t="s">
        <v>237</v>
      </c>
      <c r="DY414" s="277" t="s">
        <v>237</v>
      </c>
      <c r="DZ414" s="277" t="s">
        <v>237</v>
      </c>
      <c r="EA414" s="277" t="s">
        <v>237</v>
      </c>
      <c r="EB414" s="277" t="s">
        <v>237</v>
      </c>
      <c r="EC414" s="277"/>
      <c r="ED414" s="277" t="s">
        <v>237</v>
      </c>
      <c r="EE414" s="276">
        <v>10.243622561567664</v>
      </c>
      <c r="EF414" s="276">
        <v>0.82716332921391789</v>
      </c>
      <c r="EG414" s="276">
        <v>0.82716332921391789</v>
      </c>
      <c r="EH414" s="277" t="s">
        <v>237</v>
      </c>
      <c r="EI414" s="277" t="s">
        <v>237</v>
      </c>
      <c r="EJ414" s="277" t="s">
        <v>237</v>
      </c>
      <c r="EK414" s="276">
        <v>-3.3006485616989254</v>
      </c>
      <c r="EL414" s="276">
        <v>-3.3006485616989254</v>
      </c>
      <c r="EM414" s="277" t="s">
        <v>237</v>
      </c>
      <c r="EN414" s="277" t="s">
        <v>237</v>
      </c>
      <c r="EO414" s="277" t="s">
        <v>237</v>
      </c>
      <c r="EP414" s="276">
        <v>-10.817897730344605</v>
      </c>
      <c r="EQ414" s="276">
        <v>-10.817897730344605</v>
      </c>
      <c r="ER414" s="277" t="s">
        <v>237</v>
      </c>
      <c r="ES414" s="277" t="s">
        <v>237</v>
      </c>
      <c r="ET414" s="277" t="s">
        <v>237</v>
      </c>
      <c r="EU414" s="276">
        <v>-10.499087035909927</v>
      </c>
      <c r="EV414" s="276">
        <v>-10.499087035909927</v>
      </c>
      <c r="EW414" s="277" t="s">
        <v>237</v>
      </c>
      <c r="EX414" s="277" t="s">
        <v>237</v>
      </c>
      <c r="EY414" s="277" t="s">
        <v>237</v>
      </c>
      <c r="EZ414" s="276">
        <v>-3.1664224133401691</v>
      </c>
      <c r="FA414" s="276">
        <v>-3.1664224133401691</v>
      </c>
      <c r="FB414" s="277" t="s">
        <v>237</v>
      </c>
      <c r="FC414" s="277" t="s">
        <v>237</v>
      </c>
      <c r="FD414" s="277" t="s">
        <v>237</v>
      </c>
      <c r="FE414" s="276">
        <v>12.149371368701775</v>
      </c>
      <c r="FF414" s="276">
        <v>12.149371368701775</v>
      </c>
      <c r="FG414" s="277" t="s">
        <v>237</v>
      </c>
      <c r="FH414" s="277" t="s">
        <v>237</v>
      </c>
      <c r="FI414" s="277" t="s">
        <v>237</v>
      </c>
      <c r="FJ414" s="277" t="s">
        <v>237</v>
      </c>
      <c r="FK414" s="277" t="s">
        <v>237</v>
      </c>
      <c r="FL414" s="277" t="s">
        <v>237</v>
      </c>
      <c r="FM414" s="277" t="s">
        <v>237</v>
      </c>
      <c r="FN414" s="277"/>
      <c r="FO414" s="277"/>
      <c r="FP414" s="277" t="s">
        <v>237</v>
      </c>
      <c r="FQ414" s="276">
        <v>11.346848877687535</v>
      </c>
      <c r="FR414" s="276">
        <v>50.520611337758027</v>
      </c>
      <c r="FS414" s="276">
        <v>-113.56749654908614</v>
      </c>
      <c r="FT414" s="276">
        <v>48.649086291809986</v>
      </c>
      <c r="FU414" s="277" t="s">
        <v>237</v>
      </c>
      <c r="FV414" s="277" t="s">
        <v>237</v>
      </c>
      <c r="FW414" s="277" t="s">
        <v>237</v>
      </c>
      <c r="FX414" s="276">
        <v>12.933803092975218</v>
      </c>
      <c r="FY414" s="277" t="s">
        <v>237</v>
      </c>
      <c r="FZ414" s="277"/>
      <c r="GA414" s="277"/>
      <c r="GB414" s="277" t="s">
        <v>237</v>
      </c>
      <c r="GC414" s="276">
        <v>9.7140536787917657</v>
      </c>
      <c r="GD414" s="277" t="s">
        <v>237</v>
      </c>
      <c r="GE414" s="277" t="s">
        <v>237</v>
      </c>
      <c r="GF414" s="277" t="s">
        <v>237</v>
      </c>
      <c r="GG414" s="276">
        <v>49.911037436394594</v>
      </c>
      <c r="GH414" s="277" t="s">
        <v>237</v>
      </c>
      <c r="GI414" s="276">
        <v>-42.76990570926958</v>
      </c>
      <c r="GJ414" s="276">
        <v>-13.367640907617623</v>
      </c>
    </row>
    <row r="415" spans="1:192">
      <c r="A415" s="274"/>
      <c r="B415" s="275" t="s">
        <v>239</v>
      </c>
      <c r="C415" s="275" t="s">
        <v>239</v>
      </c>
      <c r="D415" s="276">
        <v>9.4513022572485692</v>
      </c>
      <c r="E415" s="276">
        <v>-20.694230232255933</v>
      </c>
      <c r="F415" s="276">
        <v>-2.132369400664905</v>
      </c>
      <c r="G415" s="276">
        <v>6.9965610229510835</v>
      </c>
      <c r="H415" s="276">
        <v>2.2795714605263835</v>
      </c>
      <c r="I415" s="277" t="s">
        <v>237</v>
      </c>
      <c r="J415" s="277" t="s">
        <v>237</v>
      </c>
      <c r="K415" s="277" t="s">
        <v>237</v>
      </c>
      <c r="L415" s="276">
        <v>4.43595110937264</v>
      </c>
      <c r="M415" s="277" t="s">
        <v>237</v>
      </c>
      <c r="N415" s="276">
        <v>4.7395329724931372</v>
      </c>
      <c r="O415" s="277" t="s">
        <v>237</v>
      </c>
      <c r="P415" s="277" t="s">
        <v>237</v>
      </c>
      <c r="Q415" s="277" t="s">
        <v>237</v>
      </c>
      <c r="R415" s="277" t="s">
        <v>237</v>
      </c>
      <c r="S415" s="276">
        <v>-14.177012072042528</v>
      </c>
      <c r="T415" s="276">
        <v>-13.78020772472434</v>
      </c>
      <c r="U415" s="277" t="s">
        <v>237</v>
      </c>
      <c r="V415" s="277" t="s">
        <v>237</v>
      </c>
      <c r="W415" s="276">
        <v>-21.706831867070473</v>
      </c>
      <c r="X415" s="277" t="s">
        <v>237</v>
      </c>
      <c r="Y415" s="276">
        <v>84.541677880337858</v>
      </c>
      <c r="Z415" s="277" t="s">
        <v>237</v>
      </c>
      <c r="AA415" s="276">
        <v>-58.135029793960626</v>
      </c>
      <c r="AB415" s="276">
        <v>-11.704525818678729</v>
      </c>
      <c r="AC415" s="276">
        <v>-2.132369400664905</v>
      </c>
      <c r="AD415" s="276">
        <v>2.1595317538515171</v>
      </c>
      <c r="AE415" s="276">
        <v>-9.9425853134398299</v>
      </c>
      <c r="AF415" s="277" t="s">
        <v>237</v>
      </c>
      <c r="AG415" s="277" t="s">
        <v>237</v>
      </c>
      <c r="AH415" s="277" t="s">
        <v>237</v>
      </c>
      <c r="AI415" s="276">
        <v>5.6440644148346886</v>
      </c>
      <c r="AJ415" s="276">
        <v>-9.0532892075298381</v>
      </c>
      <c r="AK415" s="276">
        <v>10.830794304186176</v>
      </c>
      <c r="AL415" s="276">
        <v>11.116597289090958</v>
      </c>
      <c r="AM415" s="276">
        <v>-14.469144998719699</v>
      </c>
      <c r="AN415" s="277" t="s">
        <v>237</v>
      </c>
      <c r="AO415" s="277" t="s">
        <v>237</v>
      </c>
      <c r="AP415" s="277" t="s">
        <v>237</v>
      </c>
      <c r="AQ415" s="276">
        <v>0.37500329074601774</v>
      </c>
      <c r="AR415" s="276">
        <v>-43.150203802464112</v>
      </c>
      <c r="AS415" s="277" t="s">
        <v>237</v>
      </c>
      <c r="AT415" s="277" t="s">
        <v>237</v>
      </c>
      <c r="AU415" s="276">
        <v>-2.132369400664905</v>
      </c>
      <c r="AV415" s="276">
        <v>14.791555601003241</v>
      </c>
      <c r="AW415" s="277" t="s">
        <v>237</v>
      </c>
      <c r="AX415" s="276">
        <v>5.0232240370807544</v>
      </c>
      <c r="AY415" s="277" t="s">
        <v>237</v>
      </c>
      <c r="AZ415" s="277" t="s">
        <v>237</v>
      </c>
      <c r="BA415" s="277" t="s">
        <v>237</v>
      </c>
      <c r="BB415" s="277" t="s">
        <v>237</v>
      </c>
      <c r="BC415" s="277" t="s">
        <v>237</v>
      </c>
      <c r="BD415" s="277" t="s">
        <v>237</v>
      </c>
      <c r="BE415" s="276">
        <v>-33.88116844742386</v>
      </c>
      <c r="BF415" s="276">
        <v>-37.092619635781325</v>
      </c>
      <c r="BG415" s="276">
        <v>-37.092619635781325</v>
      </c>
      <c r="BH415" s="277" t="s">
        <v>237</v>
      </c>
      <c r="BI415" s="277" t="s">
        <v>237</v>
      </c>
      <c r="BJ415" s="277" t="s">
        <v>237</v>
      </c>
      <c r="BK415" s="276">
        <v>-81.945882790302477</v>
      </c>
      <c r="BL415" s="276">
        <v>-182.15557734991998</v>
      </c>
      <c r="BM415" s="276">
        <v>-15.512486891676703</v>
      </c>
      <c r="BN415" s="276">
        <v>10.624126785726165</v>
      </c>
      <c r="BO415" s="276">
        <v>-16.128141008904208</v>
      </c>
      <c r="BP415" s="277" t="s">
        <v>237</v>
      </c>
      <c r="BQ415" s="277" t="s">
        <v>237</v>
      </c>
      <c r="BR415" s="277" t="s">
        <v>237</v>
      </c>
      <c r="BS415" s="276">
        <v>28.565455560466127</v>
      </c>
      <c r="BT415" s="277" t="s">
        <v>237</v>
      </c>
      <c r="BU415" s="277" t="s">
        <v>237</v>
      </c>
      <c r="BV415" s="277" t="s">
        <v>237</v>
      </c>
      <c r="BW415" s="277" t="s">
        <v>237</v>
      </c>
      <c r="BX415" s="276">
        <v>-12.694475024254391</v>
      </c>
      <c r="BY415" s="277" t="s">
        <v>237</v>
      </c>
      <c r="BZ415" s="277" t="s">
        <v>237</v>
      </c>
      <c r="CA415" s="277" t="s">
        <v>237</v>
      </c>
      <c r="CB415" s="277" t="s">
        <v>237</v>
      </c>
      <c r="CC415" s="277" t="s">
        <v>237</v>
      </c>
      <c r="CD415" s="277" t="s">
        <v>237</v>
      </c>
      <c r="CE415" s="277" t="s">
        <v>237</v>
      </c>
      <c r="CF415" s="277" t="s">
        <v>237</v>
      </c>
      <c r="CG415" s="277" t="s">
        <v>237</v>
      </c>
      <c r="CH415" s="277" t="s">
        <v>237</v>
      </c>
      <c r="CI415" s="276">
        <v>12.973965029761956</v>
      </c>
      <c r="CJ415" s="276">
        <v>8.065187107668514</v>
      </c>
      <c r="CK415" s="276">
        <v>14.208066358665327</v>
      </c>
      <c r="CL415" s="276">
        <v>16.710191998732533</v>
      </c>
      <c r="CM415" s="276">
        <v>12.075593474430198</v>
      </c>
      <c r="CN415" s="276">
        <v>-13.647165223169171</v>
      </c>
      <c r="CO415" s="277" t="s">
        <v>237</v>
      </c>
      <c r="CP415" s="277" t="s">
        <v>237</v>
      </c>
      <c r="CQ415" s="276">
        <v>-13.647165223169171</v>
      </c>
      <c r="CR415" s="276">
        <v>-26.978506137439481</v>
      </c>
      <c r="CS415" s="276">
        <v>-23.862068801774072</v>
      </c>
      <c r="CT415" s="276">
        <v>-25.878127972188501</v>
      </c>
      <c r="CU415" s="277" t="s">
        <v>237</v>
      </c>
      <c r="CV415" s="277" t="s">
        <v>237</v>
      </c>
      <c r="CW415" s="276">
        <v>18.058542602315146</v>
      </c>
      <c r="CX415" s="276">
        <v>-28.841597672780807</v>
      </c>
      <c r="CY415" s="276">
        <v>-32.949398619315353</v>
      </c>
      <c r="CZ415" s="276">
        <v>-21.985680408684296</v>
      </c>
      <c r="DA415" s="276">
        <v>35.192957313952292</v>
      </c>
      <c r="DB415" s="276">
        <v>1.6888825086581421E-3</v>
      </c>
      <c r="DC415" s="277" t="s">
        <v>237</v>
      </c>
      <c r="DD415" s="276">
        <v>8.6667078831082467</v>
      </c>
      <c r="DE415" s="276">
        <v>8.6667078831082467</v>
      </c>
      <c r="DF415" s="277" t="s">
        <v>237</v>
      </c>
      <c r="DG415" s="277" t="s">
        <v>237</v>
      </c>
      <c r="DH415" s="277" t="s">
        <v>237</v>
      </c>
      <c r="DI415" s="276">
        <v>13.737423038128549</v>
      </c>
      <c r="DJ415" s="276">
        <v>20.823860484666092</v>
      </c>
      <c r="DK415" s="276">
        <v>8.7348731128623314</v>
      </c>
      <c r="DL415" s="276">
        <v>-8.1486042692939229</v>
      </c>
      <c r="DM415" s="276">
        <v>2.3080639670823362</v>
      </c>
      <c r="DN415" s="276">
        <v>25.040869764656424</v>
      </c>
      <c r="DO415" s="277" t="s">
        <v>237</v>
      </c>
      <c r="DP415" s="277"/>
      <c r="DQ415" s="277" t="s">
        <v>237</v>
      </c>
      <c r="DR415" s="276">
        <v>21.134197858335789</v>
      </c>
      <c r="DS415" s="276">
        <v>20.514123549094556</v>
      </c>
      <c r="DT415" s="276">
        <v>-26.360056071023301</v>
      </c>
      <c r="DU415" s="276">
        <v>-27.02989563063861</v>
      </c>
      <c r="DV415" s="276">
        <v>11.418269230769226</v>
      </c>
      <c r="DW415" s="276">
        <v>70.811428398861494</v>
      </c>
      <c r="DX415" s="277" t="s">
        <v>237</v>
      </c>
      <c r="DY415" s="277" t="s">
        <v>237</v>
      </c>
      <c r="DZ415" s="277" t="s">
        <v>237</v>
      </c>
      <c r="EA415" s="276">
        <v>-96.569082527690639</v>
      </c>
      <c r="EB415" s="277" t="s">
        <v>237</v>
      </c>
      <c r="EC415" s="277"/>
      <c r="ED415" s="277" t="s">
        <v>237</v>
      </c>
      <c r="EE415" s="276">
        <v>-30.373211388110338</v>
      </c>
      <c r="EF415" s="276">
        <v>15.470332071894003</v>
      </c>
      <c r="EG415" s="276">
        <v>15.470332071894003</v>
      </c>
      <c r="EH415" s="277" t="s">
        <v>237</v>
      </c>
      <c r="EI415" s="277" t="s">
        <v>237</v>
      </c>
      <c r="EJ415" s="277" t="s">
        <v>237</v>
      </c>
      <c r="EK415" s="276">
        <v>20.09000463649523</v>
      </c>
      <c r="EL415" s="276">
        <v>20.09000463649523</v>
      </c>
      <c r="EM415" s="277" t="s">
        <v>237</v>
      </c>
      <c r="EN415" s="277" t="s">
        <v>237</v>
      </c>
      <c r="EO415" s="277" t="s">
        <v>237</v>
      </c>
      <c r="EP415" s="276">
        <v>7.4809188071753798</v>
      </c>
      <c r="EQ415" s="276">
        <v>7.4809188071753798</v>
      </c>
      <c r="ER415" s="277" t="s">
        <v>237</v>
      </c>
      <c r="ES415" s="277" t="s">
        <v>237</v>
      </c>
      <c r="ET415" s="277" t="s">
        <v>237</v>
      </c>
      <c r="EU415" s="276">
        <v>-8.0329819789187233</v>
      </c>
      <c r="EV415" s="276">
        <v>-8.0329819789187233</v>
      </c>
      <c r="EW415" s="277" t="s">
        <v>237</v>
      </c>
      <c r="EX415" s="277" t="s">
        <v>237</v>
      </c>
      <c r="EY415" s="277" t="s">
        <v>237</v>
      </c>
      <c r="EZ415" s="276">
        <v>5.9742974810542098</v>
      </c>
      <c r="FA415" s="276">
        <v>5.9742974810542098</v>
      </c>
      <c r="FB415" s="277" t="s">
        <v>237</v>
      </c>
      <c r="FC415" s="277" t="s">
        <v>237</v>
      </c>
      <c r="FD415" s="277" t="s">
        <v>237</v>
      </c>
      <c r="FE415" s="276">
        <v>22.075793686601941</v>
      </c>
      <c r="FF415" s="276">
        <v>22.075793686601941</v>
      </c>
      <c r="FG415" s="277" t="s">
        <v>237</v>
      </c>
      <c r="FH415" s="277" t="s">
        <v>237</v>
      </c>
      <c r="FI415" s="277" t="s">
        <v>237</v>
      </c>
      <c r="FJ415" s="277" t="s">
        <v>237</v>
      </c>
      <c r="FK415" s="277" t="s">
        <v>237</v>
      </c>
      <c r="FL415" s="277" t="s">
        <v>237</v>
      </c>
      <c r="FM415" s="277" t="s">
        <v>237</v>
      </c>
      <c r="FN415" s="277"/>
      <c r="FO415" s="277"/>
      <c r="FP415" s="277" t="s">
        <v>237</v>
      </c>
      <c r="FQ415" s="276">
        <v>20.884759321727884</v>
      </c>
      <c r="FR415" s="276">
        <v>-4.0146331829880575</v>
      </c>
      <c r="FS415" s="276">
        <v>26.76224146523797</v>
      </c>
      <c r="FT415" s="276">
        <v>-3.0444792203582596</v>
      </c>
      <c r="FU415" s="277" t="s">
        <v>237</v>
      </c>
      <c r="FV415" s="277" t="s">
        <v>237</v>
      </c>
      <c r="FW415" s="277" t="s">
        <v>237</v>
      </c>
      <c r="FX415" s="276">
        <v>18.400748846986303</v>
      </c>
      <c r="FY415" s="276">
        <v>75.660526100701048</v>
      </c>
      <c r="FZ415" s="276"/>
      <c r="GA415" s="276"/>
      <c r="GB415" s="277" t="s">
        <v>237</v>
      </c>
      <c r="GC415" s="276">
        <v>24.425633862231734</v>
      </c>
      <c r="GD415" s="277" t="s">
        <v>237</v>
      </c>
      <c r="GE415" s="277" t="s">
        <v>237</v>
      </c>
      <c r="GF415" s="277" t="s">
        <v>237</v>
      </c>
      <c r="GG415" s="276">
        <v>-42.982201739278644</v>
      </c>
      <c r="GH415" s="276">
        <v>-71.018426059009897</v>
      </c>
      <c r="GI415" s="276">
        <v>-51.901693201920651</v>
      </c>
      <c r="GJ415" s="276">
        <v>8.5574842977624872</v>
      </c>
    </row>
    <row r="416" spans="1:192">
      <c r="A416" s="274"/>
      <c r="B416" s="275" t="s">
        <v>240</v>
      </c>
      <c r="C416" s="275" t="s">
        <v>240</v>
      </c>
      <c r="D416" s="276">
        <v>6.5336225137555504</v>
      </c>
      <c r="E416" s="276">
        <v>3.975241020075901</v>
      </c>
      <c r="F416" s="276">
        <v>-1.8248382566625305</v>
      </c>
      <c r="G416" s="276">
        <v>9.139033492899129</v>
      </c>
      <c r="H416" s="276">
        <v>8.7449049419109617</v>
      </c>
      <c r="I416" s="276">
        <v>17.685013669862911</v>
      </c>
      <c r="J416" s="276">
        <v>17.685013669862911</v>
      </c>
      <c r="K416" s="277" t="s">
        <v>237</v>
      </c>
      <c r="L416" s="276">
        <v>-0.17364959471177616</v>
      </c>
      <c r="M416" s="276">
        <v>3.6244545994354493</v>
      </c>
      <c r="N416" s="276">
        <v>0.96089258003267286</v>
      </c>
      <c r="O416" s="277" t="s">
        <v>237</v>
      </c>
      <c r="P416" s="277" t="s">
        <v>237</v>
      </c>
      <c r="Q416" s="277" t="s">
        <v>237</v>
      </c>
      <c r="R416" s="276">
        <v>-14.979155022278546</v>
      </c>
      <c r="S416" s="276">
        <v>16.222156617021835</v>
      </c>
      <c r="T416" s="276">
        <v>0.94951597574354252</v>
      </c>
      <c r="U416" s="277" t="s">
        <v>237</v>
      </c>
      <c r="V416" s="277" t="s">
        <v>237</v>
      </c>
      <c r="W416" s="276">
        <v>-11.76848469317966</v>
      </c>
      <c r="X416" s="276">
        <v>90.701401716831469</v>
      </c>
      <c r="Y416" s="276">
        <v>1.0228942877716352</v>
      </c>
      <c r="Z416" s="277" t="s">
        <v>237</v>
      </c>
      <c r="AA416" s="276">
        <v>8.8422073912915735</v>
      </c>
      <c r="AB416" s="276">
        <v>96.644080521063714</v>
      </c>
      <c r="AC416" s="276">
        <v>-1.8248382566625305</v>
      </c>
      <c r="AD416" s="276">
        <v>4.0260667253415212</v>
      </c>
      <c r="AE416" s="276">
        <v>2.1905468460084991</v>
      </c>
      <c r="AF416" s="276">
        <v>17.685013669862911</v>
      </c>
      <c r="AG416" s="276">
        <v>17.685013669862911</v>
      </c>
      <c r="AH416" s="277" t="s">
        <v>237</v>
      </c>
      <c r="AI416" s="276">
        <v>3.4770819895049545</v>
      </c>
      <c r="AJ416" s="276">
        <v>13.934726682438791</v>
      </c>
      <c r="AK416" s="276">
        <v>-9.8243894146489597E-2</v>
      </c>
      <c r="AL416" s="276">
        <v>5.0150050846770728</v>
      </c>
      <c r="AM416" s="276">
        <v>-19.083612750114312</v>
      </c>
      <c r="AN416" s="276">
        <v>114.21149151985024</v>
      </c>
      <c r="AO416" s="277" t="s">
        <v>237</v>
      </c>
      <c r="AP416" s="277" t="s">
        <v>237</v>
      </c>
      <c r="AQ416" s="276">
        <v>-2.9826445827469055</v>
      </c>
      <c r="AR416" s="276">
        <v>5.4904789422492097</v>
      </c>
      <c r="AS416" s="277" t="s">
        <v>237</v>
      </c>
      <c r="AT416" s="277" t="s">
        <v>237</v>
      </c>
      <c r="AU416" s="276">
        <v>-1.8248382566625305</v>
      </c>
      <c r="AV416" s="276">
        <v>-0.46895348627281036</v>
      </c>
      <c r="AW416" s="276">
        <v>-3.6935785958391372</v>
      </c>
      <c r="AX416" s="276">
        <v>4.8414352008859476</v>
      </c>
      <c r="AY416" s="277" t="s">
        <v>237</v>
      </c>
      <c r="AZ416" s="277" t="s">
        <v>237</v>
      </c>
      <c r="BA416" s="277" t="s">
        <v>237</v>
      </c>
      <c r="BB416" s="277" t="s">
        <v>237</v>
      </c>
      <c r="BC416" s="277" t="s">
        <v>237</v>
      </c>
      <c r="BD416" s="276">
        <v>-3.0027934758821169</v>
      </c>
      <c r="BE416" s="276">
        <v>20.089354745325704</v>
      </c>
      <c r="BF416" s="276">
        <v>20.72209682247135</v>
      </c>
      <c r="BG416" s="276">
        <v>20.72209682247135</v>
      </c>
      <c r="BH416" s="277" t="s">
        <v>237</v>
      </c>
      <c r="BI416" s="276">
        <v>-35.024231624747067</v>
      </c>
      <c r="BJ416" s="276">
        <v>89.545391898495225</v>
      </c>
      <c r="BK416" s="276">
        <v>20.018097170127998</v>
      </c>
      <c r="BL416" s="276">
        <v>-122.64278657934211</v>
      </c>
      <c r="BM416" s="276">
        <v>29.52842076274376</v>
      </c>
      <c r="BN416" s="276">
        <v>4.7148507589016644</v>
      </c>
      <c r="BO416" s="276">
        <v>-18.609650208618895</v>
      </c>
      <c r="BP416" s="276">
        <v>112.03936435089631</v>
      </c>
      <c r="BQ416" s="277" t="s">
        <v>237</v>
      </c>
      <c r="BR416" s="277" t="s">
        <v>237</v>
      </c>
      <c r="BS416" s="276">
        <v>-4.7765623650131044</v>
      </c>
      <c r="BT416" s="277" t="s">
        <v>237</v>
      </c>
      <c r="BU416" s="277" t="s">
        <v>237</v>
      </c>
      <c r="BV416" s="277" t="s">
        <v>237</v>
      </c>
      <c r="BW416" s="277" t="s">
        <v>237</v>
      </c>
      <c r="BX416" s="276">
        <v>27.018790358102134</v>
      </c>
      <c r="BY416" s="277" t="s">
        <v>237</v>
      </c>
      <c r="BZ416" s="277" t="s">
        <v>237</v>
      </c>
      <c r="CA416" s="277" t="s">
        <v>237</v>
      </c>
      <c r="CB416" s="277" t="s">
        <v>237</v>
      </c>
      <c r="CC416" s="277" t="s">
        <v>237</v>
      </c>
      <c r="CD416" s="277" t="s">
        <v>237</v>
      </c>
      <c r="CE416" s="277" t="s">
        <v>237</v>
      </c>
      <c r="CF416" s="277" t="s">
        <v>237</v>
      </c>
      <c r="CG416" s="277" t="s">
        <v>237</v>
      </c>
      <c r="CH416" s="277" t="s">
        <v>237</v>
      </c>
      <c r="CI416" s="276">
        <v>13.327348399667974</v>
      </c>
      <c r="CJ416" s="276">
        <v>16.612173342743112</v>
      </c>
      <c r="CK416" s="276">
        <v>12.545938882703643</v>
      </c>
      <c r="CL416" s="276">
        <v>6.7376287758053062</v>
      </c>
      <c r="CM416" s="276">
        <v>18.839203933551598</v>
      </c>
      <c r="CN416" s="276">
        <v>16.748155154080028</v>
      </c>
      <c r="CO416" s="277" t="s">
        <v>237</v>
      </c>
      <c r="CP416" s="277" t="s">
        <v>237</v>
      </c>
      <c r="CQ416" s="276">
        <v>16.748155154080028</v>
      </c>
      <c r="CR416" s="276">
        <v>-2.7728823069916015</v>
      </c>
      <c r="CS416" s="276">
        <v>-16.764059690086675</v>
      </c>
      <c r="CT416" s="276">
        <v>-22.391499937175723</v>
      </c>
      <c r="CU416" s="276">
        <v>70.572296148216225</v>
      </c>
      <c r="CV416" s="276">
        <v>-3.3701500991220552</v>
      </c>
      <c r="CW416" s="276">
        <v>-27.048141036156437</v>
      </c>
      <c r="CX416" s="276">
        <v>5.120077307120118</v>
      </c>
      <c r="CY416" s="276">
        <v>-3.9878280922791105</v>
      </c>
      <c r="CZ416" s="276">
        <v>28.065610905054907</v>
      </c>
      <c r="DA416" s="276">
        <v>-5.3356499763070602</v>
      </c>
      <c r="DB416" s="276">
        <v>-16.487712468526428</v>
      </c>
      <c r="DC416" s="276">
        <v>34.066211154912942</v>
      </c>
      <c r="DD416" s="276">
        <v>17.12051475625373</v>
      </c>
      <c r="DE416" s="276">
        <v>17.12051475625373</v>
      </c>
      <c r="DF416" s="277" t="s">
        <v>237</v>
      </c>
      <c r="DG416" s="277" t="s">
        <v>237</v>
      </c>
      <c r="DH416" s="277" t="s">
        <v>237</v>
      </c>
      <c r="DI416" s="276">
        <v>6.5529008402999693</v>
      </c>
      <c r="DJ416" s="276">
        <v>0.98052781934080235</v>
      </c>
      <c r="DK416" s="276">
        <v>1.683754663327335</v>
      </c>
      <c r="DL416" s="276">
        <v>-10.248044692737427</v>
      </c>
      <c r="DM416" s="276">
        <v>5.4752239375328475</v>
      </c>
      <c r="DN416" s="276">
        <v>3.524694592789956</v>
      </c>
      <c r="DO416" s="276">
        <v>21.030943666658139</v>
      </c>
      <c r="DP416" s="276"/>
      <c r="DQ416" s="277" t="s">
        <v>237</v>
      </c>
      <c r="DR416" s="276">
        <v>27.176957824093275</v>
      </c>
      <c r="DS416" s="276">
        <v>15.766097854818113</v>
      </c>
      <c r="DT416" s="276">
        <v>30.606444796619133</v>
      </c>
      <c r="DU416" s="276">
        <v>4.1289513995265281</v>
      </c>
      <c r="DV416" s="276">
        <v>64.450474898236095</v>
      </c>
      <c r="DW416" s="276">
        <v>67.246344323354947</v>
      </c>
      <c r="DX416" s="277" t="s">
        <v>237</v>
      </c>
      <c r="DY416" s="277" t="s">
        <v>237</v>
      </c>
      <c r="DZ416" s="277" t="s">
        <v>237</v>
      </c>
      <c r="EA416" s="276">
        <v>-2.697696006383925</v>
      </c>
      <c r="EB416" s="277" t="s">
        <v>237</v>
      </c>
      <c r="EC416" s="277"/>
      <c r="ED416" s="277" t="s">
        <v>237</v>
      </c>
      <c r="EE416" s="276">
        <v>-33.371049256996315</v>
      </c>
      <c r="EF416" s="276">
        <v>7.3302029363145369</v>
      </c>
      <c r="EG416" s="276">
        <v>7.3302029363145369</v>
      </c>
      <c r="EH416" s="277" t="s">
        <v>237</v>
      </c>
      <c r="EI416" s="277" t="s">
        <v>237</v>
      </c>
      <c r="EJ416" s="277" t="s">
        <v>237</v>
      </c>
      <c r="EK416" s="276">
        <v>5.386180808627091</v>
      </c>
      <c r="EL416" s="276">
        <v>5.386180808627091</v>
      </c>
      <c r="EM416" s="277" t="s">
        <v>237</v>
      </c>
      <c r="EN416" s="277" t="s">
        <v>237</v>
      </c>
      <c r="EO416" s="277" t="s">
        <v>237</v>
      </c>
      <c r="EP416" s="276">
        <v>2.1546253941215916</v>
      </c>
      <c r="EQ416" s="276">
        <v>2.1546253941215916</v>
      </c>
      <c r="ER416" s="277" t="s">
        <v>237</v>
      </c>
      <c r="ES416" s="277" t="s">
        <v>237</v>
      </c>
      <c r="ET416" s="277" t="s">
        <v>237</v>
      </c>
      <c r="EU416" s="276">
        <v>-8.4018855716794576</v>
      </c>
      <c r="EV416" s="276">
        <v>-8.4018855716794576</v>
      </c>
      <c r="EW416" s="277" t="s">
        <v>237</v>
      </c>
      <c r="EX416" s="277" t="s">
        <v>237</v>
      </c>
      <c r="EY416" s="277" t="s">
        <v>237</v>
      </c>
      <c r="EZ416" s="276">
        <v>6.4795216828260109</v>
      </c>
      <c r="FA416" s="276">
        <v>6.4795216828260109</v>
      </c>
      <c r="FB416" s="277" t="s">
        <v>237</v>
      </c>
      <c r="FC416" s="277" t="s">
        <v>237</v>
      </c>
      <c r="FD416" s="277" t="s">
        <v>237</v>
      </c>
      <c r="FE416" s="276">
        <v>3.5798958397876364</v>
      </c>
      <c r="FF416" s="276">
        <v>3.5798958397876364</v>
      </c>
      <c r="FG416" s="277" t="s">
        <v>237</v>
      </c>
      <c r="FH416" s="277" t="s">
        <v>237</v>
      </c>
      <c r="FI416" s="277" t="s">
        <v>237</v>
      </c>
      <c r="FJ416" s="276">
        <v>18.440635699724915</v>
      </c>
      <c r="FK416" s="276">
        <v>18.440635699724915</v>
      </c>
      <c r="FL416" s="277" t="s">
        <v>237</v>
      </c>
      <c r="FM416" s="277" t="s">
        <v>237</v>
      </c>
      <c r="FN416" s="277"/>
      <c r="FO416" s="277"/>
      <c r="FP416" s="277" t="s">
        <v>237</v>
      </c>
      <c r="FQ416" s="276">
        <v>26.996601086114971</v>
      </c>
      <c r="FR416" s="276">
        <v>2.8738937340939903</v>
      </c>
      <c r="FS416" s="276">
        <v>-17.136811662005965</v>
      </c>
      <c r="FT416" s="276">
        <v>2.414404008558062</v>
      </c>
      <c r="FU416" s="277" t="s">
        <v>237</v>
      </c>
      <c r="FV416" s="277" t="s">
        <v>237</v>
      </c>
      <c r="FW416" s="277" t="s">
        <v>237</v>
      </c>
      <c r="FX416" s="276">
        <v>8.6274013553962039</v>
      </c>
      <c r="FY416" s="276">
        <v>3.2909716666641722</v>
      </c>
      <c r="FZ416" s="276"/>
      <c r="GA416" s="276"/>
      <c r="GB416" s="277" t="s">
        <v>237</v>
      </c>
      <c r="GC416" s="276">
        <v>-3.3981762529065804</v>
      </c>
      <c r="GD416" s="277" t="s">
        <v>237</v>
      </c>
      <c r="GE416" s="277" t="s">
        <v>237</v>
      </c>
      <c r="GF416" s="277" t="s">
        <v>237</v>
      </c>
      <c r="GG416" s="276">
        <v>0.11438448131639246</v>
      </c>
      <c r="GH416" s="276">
        <v>17.492678810741051</v>
      </c>
      <c r="GI416" s="276">
        <v>-1.3660843294364799</v>
      </c>
      <c r="GJ416" s="276">
        <v>-7.7797053007738022</v>
      </c>
    </row>
    <row r="417" spans="1:192">
      <c r="A417" s="274"/>
      <c r="B417" s="275" t="s">
        <v>241</v>
      </c>
      <c r="C417" s="275" t="s">
        <v>241</v>
      </c>
      <c r="D417" s="276">
        <v>8.8378873682304953</v>
      </c>
      <c r="E417" s="276">
        <v>-13.651739725524878</v>
      </c>
      <c r="F417" s="276">
        <v>-1.9826685906072443</v>
      </c>
      <c r="G417" s="276">
        <v>7.7989760137849364</v>
      </c>
      <c r="H417" s="276">
        <v>8.2992316684618501</v>
      </c>
      <c r="I417" s="276">
        <v>-2.2241628377503986</v>
      </c>
      <c r="J417" s="276">
        <v>-2.2241628377503986</v>
      </c>
      <c r="K417" s="277" t="s">
        <v>237</v>
      </c>
      <c r="L417" s="276">
        <v>3.1207958383104661</v>
      </c>
      <c r="M417" s="276">
        <v>6.1742620576386127</v>
      </c>
      <c r="N417" s="276">
        <v>-14.406718424316637</v>
      </c>
      <c r="O417" s="277" t="s">
        <v>237</v>
      </c>
      <c r="P417" s="277" t="s">
        <v>237</v>
      </c>
      <c r="Q417" s="277" t="s">
        <v>237</v>
      </c>
      <c r="R417" s="276">
        <v>2.614926967068286</v>
      </c>
      <c r="S417" s="276">
        <v>-0.47331987008382775</v>
      </c>
      <c r="T417" s="276">
        <v>-0.9950045024419073</v>
      </c>
      <c r="U417" s="277" t="s">
        <v>237</v>
      </c>
      <c r="V417" s="277" t="s">
        <v>237</v>
      </c>
      <c r="W417" s="276">
        <v>6.9398462961069621E-2</v>
      </c>
      <c r="X417" s="276">
        <v>-53.237900477164281</v>
      </c>
      <c r="Y417" s="276">
        <v>-16.576309023140855</v>
      </c>
      <c r="Z417" s="277" t="s">
        <v>237</v>
      </c>
      <c r="AA417" s="276">
        <v>-5.6774873275171673</v>
      </c>
      <c r="AB417" s="276">
        <v>100</v>
      </c>
      <c r="AC417" s="276">
        <v>-1.9826685906072443</v>
      </c>
      <c r="AD417" s="276">
        <v>3.6837431012463635</v>
      </c>
      <c r="AE417" s="276">
        <v>4.5980371343749722</v>
      </c>
      <c r="AF417" s="276">
        <v>-2.2241628377503986</v>
      </c>
      <c r="AG417" s="276">
        <v>-2.2241628377503986</v>
      </c>
      <c r="AH417" s="277" t="s">
        <v>237</v>
      </c>
      <c r="AI417" s="276">
        <v>6.0778649516684844</v>
      </c>
      <c r="AJ417" s="276">
        <v>-12.898426199454731</v>
      </c>
      <c r="AK417" s="276">
        <v>17.102056161419135</v>
      </c>
      <c r="AL417" s="276">
        <v>6.1985008492656037</v>
      </c>
      <c r="AM417" s="276">
        <v>-8.4382200962151934</v>
      </c>
      <c r="AN417" s="276">
        <v>9.69141043368802</v>
      </c>
      <c r="AO417" s="276">
        <v>74.038569770467234</v>
      </c>
      <c r="AP417" s="277" t="s">
        <v>237</v>
      </c>
      <c r="AQ417" s="276">
        <v>0.91495330406735176</v>
      </c>
      <c r="AR417" s="276">
        <v>-40.103276858985915</v>
      </c>
      <c r="AS417" s="277" t="s">
        <v>237</v>
      </c>
      <c r="AT417" s="277" t="s">
        <v>237</v>
      </c>
      <c r="AU417" s="276">
        <v>-1.9826685906072443</v>
      </c>
      <c r="AV417" s="276">
        <v>16.092530615275987</v>
      </c>
      <c r="AW417" s="276">
        <v>16.498130945598309</v>
      </c>
      <c r="AX417" s="276">
        <v>16.244562852854905</v>
      </c>
      <c r="AY417" s="277" t="s">
        <v>237</v>
      </c>
      <c r="AZ417" s="277" t="s">
        <v>237</v>
      </c>
      <c r="BA417" s="277" t="s">
        <v>237</v>
      </c>
      <c r="BB417" s="277" t="s">
        <v>237</v>
      </c>
      <c r="BC417" s="277" t="s">
        <v>237</v>
      </c>
      <c r="BD417" s="276">
        <v>14.105453245634047</v>
      </c>
      <c r="BE417" s="276">
        <v>-8.7830386958640396</v>
      </c>
      <c r="BF417" s="276">
        <v>-3.1294016497985231</v>
      </c>
      <c r="BG417" s="276">
        <v>-3.1294016497985231</v>
      </c>
      <c r="BH417" s="277" t="s">
        <v>237</v>
      </c>
      <c r="BI417" s="276">
        <v>25.521849954066749</v>
      </c>
      <c r="BJ417" s="277" t="s">
        <v>237</v>
      </c>
      <c r="BK417" s="276">
        <v>-39.231572109454262</v>
      </c>
      <c r="BL417" s="276">
        <v>43.481976319011345</v>
      </c>
      <c r="BM417" s="276">
        <v>-53.921951751496138</v>
      </c>
      <c r="BN417" s="276">
        <v>17.566282107274695</v>
      </c>
      <c r="BO417" s="276">
        <v>-8.9745840741812355</v>
      </c>
      <c r="BP417" s="276">
        <v>9.2555455455734563</v>
      </c>
      <c r="BQ417" s="276">
        <v>73.793895279564993</v>
      </c>
      <c r="BR417" s="277" t="s">
        <v>237</v>
      </c>
      <c r="BS417" s="276">
        <v>17.174282175869255</v>
      </c>
      <c r="BT417" s="277" t="s">
        <v>237</v>
      </c>
      <c r="BU417" s="277" t="s">
        <v>237</v>
      </c>
      <c r="BV417" s="277" t="s">
        <v>237</v>
      </c>
      <c r="BW417" s="277" t="s">
        <v>237</v>
      </c>
      <c r="BX417" s="276">
        <v>23.346007535620121</v>
      </c>
      <c r="BY417" s="277" t="s">
        <v>237</v>
      </c>
      <c r="BZ417" s="277" t="s">
        <v>237</v>
      </c>
      <c r="CA417" s="276">
        <v>17.511087360133967</v>
      </c>
      <c r="CB417" s="276">
        <v>5.2774323747713137</v>
      </c>
      <c r="CC417" s="276">
        <v>-80.731328736959895</v>
      </c>
      <c r="CD417" s="276">
        <v>9.8740638709154567</v>
      </c>
      <c r="CE417" s="276">
        <v>51.933726874391418</v>
      </c>
      <c r="CF417" s="277" t="s">
        <v>237</v>
      </c>
      <c r="CG417" s="277" t="s">
        <v>237</v>
      </c>
      <c r="CH417" s="277" t="s">
        <v>237</v>
      </c>
      <c r="CI417" s="276">
        <v>13.355441241325794</v>
      </c>
      <c r="CJ417" s="276">
        <v>27.827328309284717</v>
      </c>
      <c r="CK417" s="276">
        <v>9.7884200263564178</v>
      </c>
      <c r="CL417" s="276">
        <v>16.610713047461772</v>
      </c>
      <c r="CM417" s="276">
        <v>2.8112258053957415</v>
      </c>
      <c r="CN417" s="276">
        <v>30.420713455324385</v>
      </c>
      <c r="CO417" s="277" t="s">
        <v>237</v>
      </c>
      <c r="CP417" s="277" t="s">
        <v>237</v>
      </c>
      <c r="CQ417" s="276">
        <v>11.660701372170301</v>
      </c>
      <c r="CR417" s="276">
        <v>-28.317220467440752</v>
      </c>
      <c r="CS417" s="276">
        <v>-26.189513994209847</v>
      </c>
      <c r="CT417" s="276">
        <v>-24.292693579006034</v>
      </c>
      <c r="CU417" s="276">
        <v>21.778464609391353</v>
      </c>
      <c r="CV417" s="276">
        <v>-3.4063926940639373</v>
      </c>
      <c r="CW417" s="276">
        <v>-39.86562745416736</v>
      </c>
      <c r="CX417" s="276">
        <v>-30.424335256540235</v>
      </c>
      <c r="CY417" s="276">
        <v>-35.13934522223807</v>
      </c>
      <c r="CZ417" s="276">
        <v>-8.7827362440469017</v>
      </c>
      <c r="DA417" s="276">
        <v>-180.17334452975049</v>
      </c>
      <c r="DB417" s="276">
        <v>-25.713905988534012</v>
      </c>
      <c r="DC417" s="276">
        <v>-25.540766167019566</v>
      </c>
      <c r="DD417" s="276">
        <v>8.6370448053363109</v>
      </c>
      <c r="DE417" s="276">
        <v>8.6370448053363109</v>
      </c>
      <c r="DF417" s="277" t="s">
        <v>237</v>
      </c>
      <c r="DG417" s="277" t="s">
        <v>237</v>
      </c>
      <c r="DH417" s="277" t="s">
        <v>237</v>
      </c>
      <c r="DI417" s="276">
        <v>4.097314872532456</v>
      </c>
      <c r="DJ417" s="276">
        <v>14.884374371669441</v>
      </c>
      <c r="DK417" s="276">
        <v>8.2065044488459655</v>
      </c>
      <c r="DL417" s="276">
        <v>-10.656309132556521</v>
      </c>
      <c r="DM417" s="276">
        <v>1.7398257490692308</v>
      </c>
      <c r="DN417" s="276">
        <v>7.5052003241389738</v>
      </c>
      <c r="DO417" s="276">
        <v>5.6226656949884735</v>
      </c>
      <c r="DP417" s="276"/>
      <c r="DQ417" s="277" t="s">
        <v>237</v>
      </c>
      <c r="DR417" s="276">
        <v>1.9642986002379716</v>
      </c>
      <c r="DS417" s="276">
        <v>-4.2361926447741265</v>
      </c>
      <c r="DT417" s="276">
        <v>-115.75950427064143</v>
      </c>
      <c r="DU417" s="276">
        <v>-39.552618200305034</v>
      </c>
      <c r="DV417" s="276">
        <v>-42.366412213740446</v>
      </c>
      <c r="DW417" s="276">
        <v>-56.255758245808011</v>
      </c>
      <c r="DX417" s="277" t="s">
        <v>237</v>
      </c>
      <c r="DY417" s="277" t="s">
        <v>237</v>
      </c>
      <c r="DZ417" s="277" t="s">
        <v>237</v>
      </c>
      <c r="EA417" s="276">
        <v>27.661421724289671</v>
      </c>
      <c r="EB417" s="276">
        <v>97.729922081109279</v>
      </c>
      <c r="EC417" s="276"/>
      <c r="ED417" s="277" t="s">
        <v>237</v>
      </c>
      <c r="EE417" s="276">
        <v>-1.705220292969859</v>
      </c>
      <c r="EF417" s="276">
        <v>4.0935189893145632</v>
      </c>
      <c r="EG417" s="276">
        <v>4.0935189893145632</v>
      </c>
      <c r="EH417" s="277" t="s">
        <v>237</v>
      </c>
      <c r="EI417" s="277" t="s">
        <v>237</v>
      </c>
      <c r="EJ417" s="277" t="s">
        <v>237</v>
      </c>
      <c r="EK417" s="276">
        <v>5.6198770062000332</v>
      </c>
      <c r="EL417" s="276">
        <v>5.6198770062000332</v>
      </c>
      <c r="EM417" s="277" t="s">
        <v>237</v>
      </c>
      <c r="EN417" s="277" t="s">
        <v>237</v>
      </c>
      <c r="EO417" s="277" t="s">
        <v>237</v>
      </c>
      <c r="EP417" s="276">
        <v>5.8234361972911932</v>
      </c>
      <c r="EQ417" s="276">
        <v>5.8234361972911932</v>
      </c>
      <c r="ER417" s="277" t="s">
        <v>237</v>
      </c>
      <c r="ES417" s="277" t="s">
        <v>237</v>
      </c>
      <c r="ET417" s="277" t="s">
        <v>237</v>
      </c>
      <c r="EU417" s="276">
        <v>-11.357214934409694</v>
      </c>
      <c r="EV417" s="276">
        <v>-11.357214934409694</v>
      </c>
      <c r="EW417" s="277" t="s">
        <v>237</v>
      </c>
      <c r="EX417" s="277" t="s">
        <v>237</v>
      </c>
      <c r="EY417" s="277" t="s">
        <v>237</v>
      </c>
      <c r="EZ417" s="276">
        <v>1.5082375719070369</v>
      </c>
      <c r="FA417" s="276">
        <v>1.5082375719070369</v>
      </c>
      <c r="FB417" s="277" t="s">
        <v>237</v>
      </c>
      <c r="FC417" s="277" t="s">
        <v>237</v>
      </c>
      <c r="FD417" s="277" t="s">
        <v>237</v>
      </c>
      <c r="FE417" s="276">
        <v>9.8325412455010426</v>
      </c>
      <c r="FF417" s="276">
        <v>9.8325412455010426</v>
      </c>
      <c r="FG417" s="277" t="s">
        <v>237</v>
      </c>
      <c r="FH417" s="277" t="s">
        <v>237</v>
      </c>
      <c r="FI417" s="277" t="s">
        <v>237</v>
      </c>
      <c r="FJ417" s="276">
        <v>8.4375339421333475</v>
      </c>
      <c r="FK417" s="276">
        <v>8.4375339421333475</v>
      </c>
      <c r="FL417" s="277" t="s">
        <v>237</v>
      </c>
      <c r="FM417" s="277" t="s">
        <v>237</v>
      </c>
      <c r="FN417" s="277"/>
      <c r="FO417" s="277"/>
      <c r="FP417" s="277" t="s">
        <v>237</v>
      </c>
      <c r="FQ417" s="276">
        <v>1.9722209731479798</v>
      </c>
      <c r="FR417" s="276">
        <v>7.3557300714031042</v>
      </c>
      <c r="FS417" s="276">
        <v>27.034656790661369</v>
      </c>
      <c r="FT417" s="276">
        <v>8.6229057818832437</v>
      </c>
      <c r="FU417" s="277" t="s">
        <v>237</v>
      </c>
      <c r="FV417" s="277" t="s">
        <v>237</v>
      </c>
      <c r="FW417" s="277" t="s">
        <v>237</v>
      </c>
      <c r="FX417" s="276">
        <v>11.789707520859249</v>
      </c>
      <c r="FY417" s="276">
        <v>14.674653030560625</v>
      </c>
      <c r="FZ417" s="276"/>
      <c r="GA417" s="276"/>
      <c r="GB417" s="277" t="s">
        <v>237</v>
      </c>
      <c r="GC417" s="276">
        <v>7.8285658472627562</v>
      </c>
      <c r="GD417" s="277" t="s">
        <v>237</v>
      </c>
      <c r="GE417" s="277" t="s">
        <v>237</v>
      </c>
      <c r="GF417" s="277" t="s">
        <v>237</v>
      </c>
      <c r="GG417" s="276">
        <v>0.88104241837595687</v>
      </c>
      <c r="GH417" s="276">
        <v>16.919610638784732</v>
      </c>
      <c r="GI417" s="276">
        <v>-2.240274633402894</v>
      </c>
      <c r="GJ417" s="276">
        <v>-8.1902662165350275</v>
      </c>
    </row>
    <row r="418" spans="1:192">
      <c r="A418" s="274"/>
      <c r="B418" s="275" t="s">
        <v>242</v>
      </c>
      <c r="C418" s="275" t="s">
        <v>242</v>
      </c>
      <c r="D418" s="276">
        <v>7.169589313745842</v>
      </c>
      <c r="E418" s="276">
        <v>-10.993165578668808</v>
      </c>
      <c r="F418" s="276">
        <v>-2.0004064913542394</v>
      </c>
      <c r="G418" s="276">
        <v>6.2985269516142521</v>
      </c>
      <c r="H418" s="276">
        <v>6.0028203694816735</v>
      </c>
      <c r="I418" s="276">
        <v>12.860985365815859</v>
      </c>
      <c r="J418" s="276">
        <v>12.860985365815859</v>
      </c>
      <c r="K418" s="277" t="s">
        <v>237</v>
      </c>
      <c r="L418" s="276">
        <v>11.081801407099938</v>
      </c>
      <c r="M418" s="276">
        <v>13.925630824212174</v>
      </c>
      <c r="N418" s="276">
        <v>7.9693863552523698</v>
      </c>
      <c r="O418" s="277" t="s">
        <v>237</v>
      </c>
      <c r="P418" s="277" t="s">
        <v>237</v>
      </c>
      <c r="Q418" s="277" t="s">
        <v>237</v>
      </c>
      <c r="R418" s="276">
        <v>-0.2453251317802467</v>
      </c>
      <c r="S418" s="276">
        <v>-4.1738134101337092</v>
      </c>
      <c r="T418" s="276">
        <v>-4.9586369553915874</v>
      </c>
      <c r="U418" s="277" t="s">
        <v>237</v>
      </c>
      <c r="V418" s="277" t="s">
        <v>237</v>
      </c>
      <c r="W418" s="276">
        <v>-4.8992556845901341</v>
      </c>
      <c r="X418" s="276">
        <v>-63.052078037620738</v>
      </c>
      <c r="Y418" s="276">
        <v>24.533447317802946</v>
      </c>
      <c r="Z418" s="277" t="s">
        <v>237</v>
      </c>
      <c r="AA418" s="276">
        <v>25.067778936392077</v>
      </c>
      <c r="AB418" s="277" t="s">
        <v>237</v>
      </c>
      <c r="AC418" s="276">
        <v>-2.0004064913542394</v>
      </c>
      <c r="AD418" s="276">
        <v>12.526620788840004</v>
      </c>
      <c r="AE418" s="276">
        <v>12.478250288120339</v>
      </c>
      <c r="AF418" s="276">
        <v>12.860985365815859</v>
      </c>
      <c r="AG418" s="276">
        <v>12.860985365815859</v>
      </c>
      <c r="AH418" s="277" t="s">
        <v>237</v>
      </c>
      <c r="AI418" s="276">
        <v>14.16613316217212</v>
      </c>
      <c r="AJ418" s="276">
        <v>22.059977989445432</v>
      </c>
      <c r="AK418" s="276">
        <v>13.241543665880727</v>
      </c>
      <c r="AL418" s="276">
        <v>11.098490419298109</v>
      </c>
      <c r="AM418" s="276">
        <v>14.484793450119163</v>
      </c>
      <c r="AN418" s="276">
        <v>-2.4796404445999398</v>
      </c>
      <c r="AO418" s="276">
        <v>-46.546828646616383</v>
      </c>
      <c r="AP418" s="277" t="s">
        <v>237</v>
      </c>
      <c r="AQ418" s="276">
        <v>1.8755069271805314</v>
      </c>
      <c r="AR418" s="276">
        <v>-0.28811608235967956</v>
      </c>
      <c r="AS418" s="277" t="s">
        <v>237</v>
      </c>
      <c r="AT418" s="277" t="s">
        <v>237</v>
      </c>
      <c r="AU418" s="276">
        <v>-2.0004064913542394</v>
      </c>
      <c r="AV418" s="276">
        <v>0.48425319955455137</v>
      </c>
      <c r="AW418" s="276">
        <v>-0.4097731747996336</v>
      </c>
      <c r="AX418" s="276">
        <v>0.57495972967178666</v>
      </c>
      <c r="AY418" s="277" t="s">
        <v>237</v>
      </c>
      <c r="AZ418" s="277" t="s">
        <v>237</v>
      </c>
      <c r="BA418" s="277" t="s">
        <v>237</v>
      </c>
      <c r="BB418" s="277" t="s">
        <v>237</v>
      </c>
      <c r="BC418" s="277" t="s">
        <v>237</v>
      </c>
      <c r="BD418" s="276">
        <v>3.6485882404482837</v>
      </c>
      <c r="BE418" s="276">
        <v>-2.8106564636562914</v>
      </c>
      <c r="BF418" s="276">
        <v>1.4104338007314774</v>
      </c>
      <c r="BG418" s="276">
        <v>1.4104338007314774</v>
      </c>
      <c r="BH418" s="277" t="s">
        <v>237</v>
      </c>
      <c r="BI418" s="276">
        <v>0.33751709684014314</v>
      </c>
      <c r="BJ418" s="276">
        <v>4.7968574036930143</v>
      </c>
      <c r="BK418" s="276">
        <v>0.25005635441949908</v>
      </c>
      <c r="BL418" s="276">
        <v>-15.284299899684523</v>
      </c>
      <c r="BM418" s="276">
        <v>-16.895238010890523</v>
      </c>
      <c r="BN418" s="276">
        <v>5.0242468584220913E-2</v>
      </c>
      <c r="BO418" s="276">
        <v>15.81407690015876</v>
      </c>
      <c r="BP418" s="276">
        <v>-2.872241297882383</v>
      </c>
      <c r="BQ418" s="276">
        <v>-46.49697725148021</v>
      </c>
      <c r="BR418" s="277" t="s">
        <v>237</v>
      </c>
      <c r="BS418" s="276">
        <v>-0.49079321864600628</v>
      </c>
      <c r="BT418" s="277" t="s">
        <v>237</v>
      </c>
      <c r="BU418" s="277" t="s">
        <v>237</v>
      </c>
      <c r="BV418" s="277" t="s">
        <v>237</v>
      </c>
      <c r="BW418" s="277" t="s">
        <v>237</v>
      </c>
      <c r="BX418" s="276">
        <v>1.473788735510362</v>
      </c>
      <c r="BY418" s="277" t="s">
        <v>237</v>
      </c>
      <c r="BZ418" s="277" t="s">
        <v>237</v>
      </c>
      <c r="CA418" s="276">
        <v>-1.1653654349152043</v>
      </c>
      <c r="CB418" s="276">
        <v>-16.234825797545824</v>
      </c>
      <c r="CC418" s="276">
        <v>-76.748621874251029</v>
      </c>
      <c r="CD418" s="276">
        <v>-9.7494514903408724</v>
      </c>
      <c r="CE418" s="276">
        <v>-17.551682168206806</v>
      </c>
      <c r="CF418" s="277" t="s">
        <v>237</v>
      </c>
      <c r="CG418" s="277" t="s">
        <v>237</v>
      </c>
      <c r="CH418" s="277" t="s">
        <v>237</v>
      </c>
      <c r="CI418" s="276">
        <v>7.7407124528183893</v>
      </c>
      <c r="CJ418" s="276">
        <v>4.6713334398055899</v>
      </c>
      <c r="CK418" s="276">
        <v>8.6215548771454742</v>
      </c>
      <c r="CL418" s="276">
        <v>10.215329906791826</v>
      </c>
      <c r="CM418" s="276">
        <v>6.6645493807567178</v>
      </c>
      <c r="CN418" s="276">
        <v>19.280156939263225</v>
      </c>
      <c r="CO418" s="277" t="s">
        <v>237</v>
      </c>
      <c r="CP418" s="276">
        <v>82.385088318532254</v>
      </c>
      <c r="CQ418" s="276">
        <v>5.9812348593844202</v>
      </c>
      <c r="CR418" s="276">
        <v>-18.201440352876013</v>
      </c>
      <c r="CS418" s="276">
        <v>-33.619722915098315</v>
      </c>
      <c r="CT418" s="276">
        <v>-32.132261293872723</v>
      </c>
      <c r="CU418" s="276">
        <v>-57.118455712874542</v>
      </c>
      <c r="CV418" s="276">
        <v>42.638876622803146</v>
      </c>
      <c r="CW418" s="276">
        <v>-40.103197134547273</v>
      </c>
      <c r="CX418" s="276">
        <v>-11.720544507271985</v>
      </c>
      <c r="CY418" s="276">
        <v>-8.2765783435987057</v>
      </c>
      <c r="CZ418" s="276">
        <v>-27.521580508203364</v>
      </c>
      <c r="DA418" s="276">
        <v>-7.0829899059097956</v>
      </c>
      <c r="DB418" s="276">
        <v>3.7526549990869733</v>
      </c>
      <c r="DC418" s="276">
        <v>4.2361673514573859</v>
      </c>
      <c r="DD418" s="276">
        <v>3.8441639096091031</v>
      </c>
      <c r="DE418" s="276">
        <v>3.8441639096091031</v>
      </c>
      <c r="DF418" s="277" t="s">
        <v>237</v>
      </c>
      <c r="DG418" s="277" t="s">
        <v>237</v>
      </c>
      <c r="DH418" s="277" t="s">
        <v>237</v>
      </c>
      <c r="DI418" s="276">
        <v>2.4505107569707616</v>
      </c>
      <c r="DJ418" s="276">
        <v>-1.783711716692935</v>
      </c>
      <c r="DK418" s="276">
        <v>0.56905749851807408</v>
      </c>
      <c r="DL418" s="276">
        <v>0.9196299186266812</v>
      </c>
      <c r="DM418" s="276">
        <v>1.5359654778518519</v>
      </c>
      <c r="DN418" s="276">
        <v>5.2519790316381831</v>
      </c>
      <c r="DO418" s="276">
        <v>1.5421009103523953</v>
      </c>
      <c r="DP418" s="276"/>
      <c r="DQ418" s="277" t="s">
        <v>237</v>
      </c>
      <c r="DR418" s="276">
        <v>3.2156447089494287</v>
      </c>
      <c r="DS418" s="276">
        <v>26.278543228698524</v>
      </c>
      <c r="DT418" s="276">
        <v>27.651662162257519</v>
      </c>
      <c r="DU418" s="276">
        <v>27.285974499089257</v>
      </c>
      <c r="DV418" s="277" t="s">
        <v>237</v>
      </c>
      <c r="DW418" s="276">
        <v>44.300876010781671</v>
      </c>
      <c r="DX418" s="277" t="s">
        <v>237</v>
      </c>
      <c r="DY418" s="277" t="s">
        <v>237</v>
      </c>
      <c r="DZ418" s="277" t="s">
        <v>237</v>
      </c>
      <c r="EA418" s="276">
        <v>33.718604256065412</v>
      </c>
      <c r="EB418" s="277" t="s">
        <v>237</v>
      </c>
      <c r="EC418" s="277"/>
      <c r="ED418" s="277" t="s">
        <v>237</v>
      </c>
      <c r="EE418" s="276">
        <v>-40.761851800361448</v>
      </c>
      <c r="EF418" s="276">
        <v>3.2368252420539281</v>
      </c>
      <c r="EG418" s="276">
        <v>3.2368252420539281</v>
      </c>
      <c r="EH418" s="277" t="s">
        <v>237</v>
      </c>
      <c r="EI418" s="277" t="s">
        <v>237</v>
      </c>
      <c r="EJ418" s="277" t="s">
        <v>237</v>
      </c>
      <c r="EK418" s="276">
        <v>3.0694420724724525</v>
      </c>
      <c r="EL418" s="276">
        <v>3.0694420724724525</v>
      </c>
      <c r="EM418" s="277" t="s">
        <v>237</v>
      </c>
      <c r="EN418" s="277" t="s">
        <v>237</v>
      </c>
      <c r="EO418" s="277" t="s">
        <v>237</v>
      </c>
      <c r="EP418" s="276">
        <v>3.3616821454659358</v>
      </c>
      <c r="EQ418" s="276">
        <v>3.3616821454659358</v>
      </c>
      <c r="ER418" s="277" t="s">
        <v>237</v>
      </c>
      <c r="ES418" s="277" t="s">
        <v>237</v>
      </c>
      <c r="ET418" s="277" t="s">
        <v>237</v>
      </c>
      <c r="EU418" s="276">
        <v>-5.2991063805566476</v>
      </c>
      <c r="EV418" s="276">
        <v>-5.2991063805566476</v>
      </c>
      <c r="EW418" s="277" t="s">
        <v>237</v>
      </c>
      <c r="EX418" s="277" t="s">
        <v>237</v>
      </c>
      <c r="EY418" s="277" t="s">
        <v>237</v>
      </c>
      <c r="EZ418" s="276">
        <v>1.8357038651284945</v>
      </c>
      <c r="FA418" s="276">
        <v>1.8357038651284945</v>
      </c>
      <c r="FB418" s="277" t="s">
        <v>237</v>
      </c>
      <c r="FC418" s="277" t="s">
        <v>237</v>
      </c>
      <c r="FD418" s="277" t="s">
        <v>237</v>
      </c>
      <c r="FE418" s="276">
        <v>6.9506340822052026</v>
      </c>
      <c r="FF418" s="276">
        <v>6.9506340822052026</v>
      </c>
      <c r="FG418" s="277" t="s">
        <v>237</v>
      </c>
      <c r="FH418" s="277" t="s">
        <v>237</v>
      </c>
      <c r="FI418" s="277" t="s">
        <v>237</v>
      </c>
      <c r="FJ418" s="276">
        <v>1.3871873935762939</v>
      </c>
      <c r="FK418" s="276">
        <v>1.3871873935762939</v>
      </c>
      <c r="FL418" s="277" t="s">
        <v>237</v>
      </c>
      <c r="FM418" s="277" t="s">
        <v>237</v>
      </c>
      <c r="FN418" s="277"/>
      <c r="FO418" s="277"/>
      <c r="FP418" s="277" t="s">
        <v>237</v>
      </c>
      <c r="FQ418" s="276">
        <v>2.0705229478154559</v>
      </c>
      <c r="FR418" s="276">
        <v>16.839226053347428</v>
      </c>
      <c r="FS418" s="276">
        <v>3.1387233619048756</v>
      </c>
      <c r="FT418" s="276">
        <v>17.333702831278003</v>
      </c>
      <c r="FU418" s="277" t="s">
        <v>237</v>
      </c>
      <c r="FV418" s="277" t="s">
        <v>237</v>
      </c>
      <c r="FW418" s="277" t="s">
        <v>237</v>
      </c>
      <c r="FX418" s="276">
        <v>-1.6956951937591049</v>
      </c>
      <c r="FY418" s="276">
        <v>11.315829489583871</v>
      </c>
      <c r="FZ418" s="276"/>
      <c r="GA418" s="276"/>
      <c r="GB418" s="277" t="s">
        <v>237</v>
      </c>
      <c r="GC418" s="276">
        <v>65.168282295431311</v>
      </c>
      <c r="GD418" s="277" t="s">
        <v>237</v>
      </c>
      <c r="GE418" s="277" t="s">
        <v>237</v>
      </c>
      <c r="GF418" s="277" t="s">
        <v>237</v>
      </c>
      <c r="GG418" s="276">
        <v>7.8291016499090125</v>
      </c>
      <c r="GH418" s="276">
        <v>5.2213684375338767</v>
      </c>
      <c r="GI418" s="276">
        <v>-40.195559053687909</v>
      </c>
      <c r="GJ418" s="276">
        <v>17.01383993341549</v>
      </c>
    </row>
    <row r="419" spans="1:192">
      <c r="A419" s="274"/>
      <c r="B419" s="275" t="s">
        <v>243</v>
      </c>
      <c r="C419" s="275" t="s">
        <v>243</v>
      </c>
      <c r="D419" s="276">
        <v>6.4600807727425558</v>
      </c>
      <c r="E419" s="276">
        <v>-2.1381557729550034</v>
      </c>
      <c r="F419" s="276">
        <v>-1.9994941869822189</v>
      </c>
      <c r="G419" s="276">
        <v>7.5004811579910093</v>
      </c>
      <c r="H419" s="276">
        <v>-13.889690169486284</v>
      </c>
      <c r="I419" s="277" t="s">
        <v>237</v>
      </c>
      <c r="J419" s="277" t="s">
        <v>237</v>
      </c>
      <c r="K419" s="277" t="s">
        <v>237</v>
      </c>
      <c r="L419" s="276">
        <v>6.4884991169568966</v>
      </c>
      <c r="M419" s="276">
        <v>8.3510613932049971</v>
      </c>
      <c r="N419" s="276">
        <v>9.7308378393328372</v>
      </c>
      <c r="O419" s="277" t="s">
        <v>237</v>
      </c>
      <c r="P419" s="277" t="s">
        <v>237</v>
      </c>
      <c r="Q419" s="277" t="s">
        <v>237</v>
      </c>
      <c r="R419" s="276">
        <v>-5.6764143021762168</v>
      </c>
      <c r="S419" s="276">
        <v>-2.8910113862376834</v>
      </c>
      <c r="T419" s="276">
        <v>-3.8050569249065247</v>
      </c>
      <c r="U419" s="277" t="s">
        <v>237</v>
      </c>
      <c r="V419" s="277" t="s">
        <v>237</v>
      </c>
      <c r="W419" s="276">
        <v>-5.5991176922253576</v>
      </c>
      <c r="X419" s="276">
        <v>37.083643910495312</v>
      </c>
      <c r="Y419" s="276">
        <v>22.900642296407892</v>
      </c>
      <c r="Z419" s="277" t="s">
        <v>237</v>
      </c>
      <c r="AA419" s="276">
        <v>44.812066823701905</v>
      </c>
      <c r="AB419" s="277" t="s">
        <v>237</v>
      </c>
      <c r="AC419" s="276">
        <v>-1.9994941869822189</v>
      </c>
      <c r="AD419" s="276">
        <v>7.1839930135369956</v>
      </c>
      <c r="AE419" s="276">
        <v>-10.65810317723737</v>
      </c>
      <c r="AF419" s="276">
        <v>130.10051665622322</v>
      </c>
      <c r="AG419" s="276">
        <v>130.10051665622322</v>
      </c>
      <c r="AH419" s="277" t="s">
        <v>237</v>
      </c>
      <c r="AI419" s="276">
        <v>8.5458075958697854</v>
      </c>
      <c r="AJ419" s="276">
        <v>5.344900145575723</v>
      </c>
      <c r="AK419" s="276">
        <v>8.855061898487838</v>
      </c>
      <c r="AL419" s="276">
        <v>10.081720250388296</v>
      </c>
      <c r="AM419" s="276">
        <v>-15.133929717380699</v>
      </c>
      <c r="AN419" s="276">
        <v>8.6434239880957069</v>
      </c>
      <c r="AO419" s="276">
        <v>-19.843498958643263</v>
      </c>
      <c r="AP419" s="277" t="s">
        <v>237</v>
      </c>
      <c r="AQ419" s="276">
        <v>3.9675293125789066</v>
      </c>
      <c r="AR419" s="276">
        <v>6.0915759426562408</v>
      </c>
      <c r="AS419" s="277" t="s">
        <v>237</v>
      </c>
      <c r="AT419" s="277" t="s">
        <v>237</v>
      </c>
      <c r="AU419" s="276">
        <v>-1.9994941869822189</v>
      </c>
      <c r="AV419" s="276">
        <v>16.380919560175592</v>
      </c>
      <c r="AW419" s="276">
        <v>9.7829445419776153</v>
      </c>
      <c r="AX419" s="276">
        <v>24.148612301152969</v>
      </c>
      <c r="AY419" s="277" t="s">
        <v>237</v>
      </c>
      <c r="AZ419" s="277" t="s">
        <v>237</v>
      </c>
      <c r="BA419" s="277" t="s">
        <v>237</v>
      </c>
      <c r="BB419" s="277" t="s">
        <v>237</v>
      </c>
      <c r="BC419" s="277" t="s">
        <v>237</v>
      </c>
      <c r="BD419" s="276">
        <v>17.687953985307871</v>
      </c>
      <c r="BE419" s="276">
        <v>26.095399872009921</v>
      </c>
      <c r="BF419" s="276">
        <v>41.898477211694697</v>
      </c>
      <c r="BG419" s="276">
        <v>41.898477211694697</v>
      </c>
      <c r="BH419" s="277" t="s">
        <v>237</v>
      </c>
      <c r="BI419" s="276">
        <v>77.686075191757325</v>
      </c>
      <c r="BJ419" s="276">
        <v>-24.65938957852849</v>
      </c>
      <c r="BK419" s="276">
        <v>2.950388900567587</v>
      </c>
      <c r="BL419" s="276">
        <v>44.443603712671511</v>
      </c>
      <c r="BM419" s="276">
        <v>-24.213534294109703</v>
      </c>
      <c r="BN419" s="276">
        <v>24.52388017011009</v>
      </c>
      <c r="BO419" s="276">
        <v>22.792151330995882</v>
      </c>
      <c r="BP419" s="276">
        <v>8.3306173514445501</v>
      </c>
      <c r="BQ419" s="276">
        <v>-19.907834530832094</v>
      </c>
      <c r="BR419" s="277" t="s">
        <v>237</v>
      </c>
      <c r="BS419" s="276">
        <v>10.220113039553251</v>
      </c>
      <c r="BT419" s="277" t="s">
        <v>237</v>
      </c>
      <c r="BU419" s="277" t="s">
        <v>237</v>
      </c>
      <c r="BV419" s="277" t="s">
        <v>237</v>
      </c>
      <c r="BW419" s="277" t="s">
        <v>237</v>
      </c>
      <c r="BX419" s="276">
        <v>53.199622625792912</v>
      </c>
      <c r="BY419" s="277" t="s">
        <v>237</v>
      </c>
      <c r="BZ419" s="277" t="s">
        <v>237</v>
      </c>
      <c r="CA419" s="276">
        <v>7.2731084823364132</v>
      </c>
      <c r="CB419" s="276">
        <v>-0.61425459880092836</v>
      </c>
      <c r="CC419" s="276">
        <v>34.323602031764686</v>
      </c>
      <c r="CD419" s="276">
        <v>-6.6444388967120576</v>
      </c>
      <c r="CE419" s="276">
        <v>16.1136990733022</v>
      </c>
      <c r="CF419" s="277" t="s">
        <v>237</v>
      </c>
      <c r="CG419" s="277" t="s">
        <v>237</v>
      </c>
      <c r="CH419" s="277" t="s">
        <v>237</v>
      </c>
      <c r="CI419" s="276">
        <v>7.111619272115</v>
      </c>
      <c r="CJ419" s="276">
        <v>0.29282056699861286</v>
      </c>
      <c r="CK419" s="276">
        <v>8.9972963237635586</v>
      </c>
      <c r="CL419" s="276">
        <v>8.3900362165623168</v>
      </c>
      <c r="CM419" s="276">
        <v>2.1647665866440859</v>
      </c>
      <c r="CN419" s="277" t="s">
        <v>237</v>
      </c>
      <c r="CO419" s="276">
        <v>-100</v>
      </c>
      <c r="CP419" s="276">
        <v>-50.993900155171495</v>
      </c>
      <c r="CQ419" s="277" t="s">
        <v>237</v>
      </c>
      <c r="CR419" s="276">
        <v>-8.6434548433319183</v>
      </c>
      <c r="CS419" s="276">
        <v>-15.863448373671803</v>
      </c>
      <c r="CT419" s="276">
        <v>-14.023117116563382</v>
      </c>
      <c r="CU419" s="276">
        <v>-183.11263048973765</v>
      </c>
      <c r="CV419" s="276">
        <v>76.012317167051577</v>
      </c>
      <c r="CW419" s="276">
        <v>-13.714005319309747</v>
      </c>
      <c r="CX419" s="276">
        <v>-3.1794844460221614</v>
      </c>
      <c r="CY419" s="276">
        <v>-3.908392327386859</v>
      </c>
      <c r="CZ419" s="276">
        <v>-5.9264548614503711</v>
      </c>
      <c r="DA419" s="276">
        <v>79.273875927147685</v>
      </c>
      <c r="DB419" s="276">
        <v>-5.5874317485550797</v>
      </c>
      <c r="DC419" s="276">
        <v>-2.2042136869178703</v>
      </c>
      <c r="DD419" s="276">
        <v>6.4621314531294161</v>
      </c>
      <c r="DE419" s="276">
        <v>-25.794849566487382</v>
      </c>
      <c r="DF419" s="277" t="s">
        <v>237</v>
      </c>
      <c r="DG419" s="277" t="s">
        <v>237</v>
      </c>
      <c r="DH419" s="277" t="s">
        <v>237</v>
      </c>
      <c r="DI419" s="276">
        <v>-2.975472040412444</v>
      </c>
      <c r="DJ419" s="276">
        <v>-0.26059489638061939</v>
      </c>
      <c r="DK419" s="276">
        <v>4.4371095131439473</v>
      </c>
      <c r="DL419" s="276">
        <v>-1.2923178881095609</v>
      </c>
      <c r="DM419" s="276">
        <v>2.6966331860115571</v>
      </c>
      <c r="DN419" s="276">
        <v>9.6151926472542453</v>
      </c>
      <c r="DO419" s="276">
        <v>4.9405298169938145</v>
      </c>
      <c r="DP419" s="276"/>
      <c r="DQ419" s="277" t="s">
        <v>237</v>
      </c>
      <c r="DR419" s="276">
        <v>-98.432781082072296</v>
      </c>
      <c r="DS419" s="276">
        <v>23.798691277239339</v>
      </c>
      <c r="DT419" s="276">
        <v>32.556302242336173</v>
      </c>
      <c r="DU419" s="276">
        <v>4.0223303750357813</v>
      </c>
      <c r="DV419" s="276">
        <v>30.905377808032686</v>
      </c>
      <c r="DW419" s="276">
        <v>32.622569034872818</v>
      </c>
      <c r="DX419" s="277" t="s">
        <v>237</v>
      </c>
      <c r="DY419" s="277" t="s">
        <v>237</v>
      </c>
      <c r="DZ419" s="277" t="s">
        <v>237</v>
      </c>
      <c r="EA419" s="276">
        <v>-0.27698998701868482</v>
      </c>
      <c r="EB419" s="276">
        <v>87.545257060101378</v>
      </c>
      <c r="EC419" s="276"/>
      <c r="ED419" s="277" t="s">
        <v>237</v>
      </c>
      <c r="EE419" s="276">
        <v>61.329382716049381</v>
      </c>
      <c r="EF419" s="276">
        <v>-2.5684835850421792</v>
      </c>
      <c r="EG419" s="276">
        <v>-37.362165017450955</v>
      </c>
      <c r="EH419" s="277" t="s">
        <v>237</v>
      </c>
      <c r="EI419" s="277" t="s">
        <v>237</v>
      </c>
      <c r="EJ419" s="277" t="s">
        <v>237</v>
      </c>
      <c r="EK419" s="276">
        <v>3.9925038598185782</v>
      </c>
      <c r="EL419" s="276">
        <v>-29.490683772320804</v>
      </c>
      <c r="EM419" s="277" t="s">
        <v>237</v>
      </c>
      <c r="EN419" s="277" t="s">
        <v>237</v>
      </c>
      <c r="EO419" s="277" t="s">
        <v>237</v>
      </c>
      <c r="EP419" s="276">
        <v>5.0337450720079859</v>
      </c>
      <c r="EQ419" s="276">
        <v>-29.209047818559036</v>
      </c>
      <c r="ER419" s="277" t="s">
        <v>237</v>
      </c>
      <c r="ES419" s="277" t="s">
        <v>237</v>
      </c>
      <c r="ET419" s="277" t="s">
        <v>237</v>
      </c>
      <c r="EU419" s="276">
        <v>1.3222743118163172</v>
      </c>
      <c r="EV419" s="276">
        <v>-34.541411227310981</v>
      </c>
      <c r="EW419" s="277" t="s">
        <v>237</v>
      </c>
      <c r="EX419" s="277" t="s">
        <v>237</v>
      </c>
      <c r="EY419" s="277" t="s">
        <v>237</v>
      </c>
      <c r="EZ419" s="276">
        <v>2.8229574751991455</v>
      </c>
      <c r="FA419" s="276">
        <v>-31.350353494404832</v>
      </c>
      <c r="FB419" s="277" t="s">
        <v>237</v>
      </c>
      <c r="FC419" s="277" t="s">
        <v>237</v>
      </c>
      <c r="FD419" s="277" t="s">
        <v>237</v>
      </c>
      <c r="FE419" s="276">
        <v>9.8674476947075433</v>
      </c>
      <c r="FF419" s="276">
        <v>-28.131549887697069</v>
      </c>
      <c r="FG419" s="277" t="s">
        <v>237</v>
      </c>
      <c r="FH419" s="277" t="s">
        <v>237</v>
      </c>
      <c r="FI419" s="277" t="s">
        <v>237</v>
      </c>
      <c r="FJ419" s="276">
        <v>5.1346549310652492</v>
      </c>
      <c r="FK419" s="276">
        <v>-81.904608467932533</v>
      </c>
      <c r="FL419" s="277" t="s">
        <v>237</v>
      </c>
      <c r="FM419" s="277" t="s">
        <v>237</v>
      </c>
      <c r="FN419" s="277"/>
      <c r="FO419" s="277"/>
      <c r="FP419" s="277" t="s">
        <v>237</v>
      </c>
      <c r="FQ419" s="276">
        <v>-99.993353466790182</v>
      </c>
      <c r="FR419" s="276">
        <v>-13.94736408973451</v>
      </c>
      <c r="FS419" s="276">
        <v>-26.285640893912142</v>
      </c>
      <c r="FT419" s="276">
        <v>-14.769426660662345</v>
      </c>
      <c r="FU419" s="277" t="s">
        <v>237</v>
      </c>
      <c r="FV419" s="277" t="s">
        <v>237</v>
      </c>
      <c r="FW419" s="277" t="s">
        <v>237</v>
      </c>
      <c r="FX419" s="276">
        <v>-3.1171808090816016</v>
      </c>
      <c r="FY419" s="276">
        <v>14.259727249960154</v>
      </c>
      <c r="FZ419" s="276"/>
      <c r="GA419" s="276"/>
      <c r="GB419" s="277" t="s">
        <v>237</v>
      </c>
      <c r="GC419" s="276">
        <v>-28.742527771916595</v>
      </c>
      <c r="GD419" s="277" t="s">
        <v>237</v>
      </c>
      <c r="GE419" s="277" t="s">
        <v>237</v>
      </c>
      <c r="GF419" s="277" t="s">
        <v>237</v>
      </c>
      <c r="GG419" s="276">
        <v>-38.64311747186305</v>
      </c>
      <c r="GH419" s="276">
        <v>-88.314728278443411</v>
      </c>
      <c r="GI419" s="276">
        <v>-13.7936270911898</v>
      </c>
      <c r="GJ419" s="276">
        <v>-6.8172940323655702</v>
      </c>
    </row>
    <row r="420" spans="1:192">
      <c r="A420" s="274"/>
      <c r="B420" s="275" t="s">
        <v>244</v>
      </c>
      <c r="C420" s="275" t="s">
        <v>244</v>
      </c>
      <c r="D420" s="276">
        <v>7.8335533587855481</v>
      </c>
      <c r="E420" s="276">
        <v>-17.187769599668449</v>
      </c>
      <c r="F420" s="276">
        <v>-2.0001202175938277</v>
      </c>
      <c r="G420" s="276">
        <v>5.7108262253437969</v>
      </c>
      <c r="H420" s="276">
        <v>2.0446040314679363</v>
      </c>
      <c r="I420" s="276">
        <v>17.60266610279719</v>
      </c>
      <c r="J420" s="276">
        <v>17.60266610279719</v>
      </c>
      <c r="K420" s="277" t="s">
        <v>237</v>
      </c>
      <c r="L420" s="276">
        <v>5.9901354423352995</v>
      </c>
      <c r="M420" s="276">
        <v>7.0678716164372499</v>
      </c>
      <c r="N420" s="276">
        <v>9.7880534606046066</v>
      </c>
      <c r="O420" s="277" t="s">
        <v>237</v>
      </c>
      <c r="P420" s="277" t="s">
        <v>237</v>
      </c>
      <c r="Q420" s="277" t="s">
        <v>237</v>
      </c>
      <c r="R420" s="276">
        <v>-3.6450820289488055</v>
      </c>
      <c r="S420" s="276">
        <v>-12.859858790934735</v>
      </c>
      <c r="T420" s="276">
        <v>-12.362329475000026</v>
      </c>
      <c r="U420" s="277" t="s">
        <v>237</v>
      </c>
      <c r="V420" s="277" t="s">
        <v>237</v>
      </c>
      <c r="W420" s="276">
        <v>-4.9199248980802297</v>
      </c>
      <c r="X420" s="276">
        <v>-63.591030167874614</v>
      </c>
      <c r="Y420" s="276">
        <v>-18.144752501432524</v>
      </c>
      <c r="Z420" s="277" t="s">
        <v>237</v>
      </c>
      <c r="AA420" s="276">
        <v>-61.6994058967515</v>
      </c>
      <c r="AB420" s="277" t="s">
        <v>237</v>
      </c>
      <c r="AC420" s="276">
        <v>-2.0001202175938277</v>
      </c>
      <c r="AD420" s="276">
        <v>4.7531506043403473</v>
      </c>
      <c r="AE420" s="276">
        <v>1.7121780907865254</v>
      </c>
      <c r="AF420" s="276">
        <v>12.887343407049887</v>
      </c>
      <c r="AG420" s="276">
        <v>12.887343407049887</v>
      </c>
      <c r="AH420" s="277" t="s">
        <v>237</v>
      </c>
      <c r="AI420" s="276">
        <v>6.9977609716063247</v>
      </c>
      <c r="AJ420" s="276">
        <v>16.407821206249455</v>
      </c>
      <c r="AK420" s="276">
        <v>8.8222359751825898</v>
      </c>
      <c r="AL420" s="276">
        <v>-3.5812967634418515</v>
      </c>
      <c r="AM420" s="276">
        <v>-14.009479368233691</v>
      </c>
      <c r="AN420" s="276">
        <v>11.681472397126173</v>
      </c>
      <c r="AO420" s="276">
        <v>-39.983766755998992</v>
      </c>
      <c r="AP420" s="277" t="s">
        <v>237</v>
      </c>
      <c r="AQ420" s="276">
        <v>6.1526542784256941</v>
      </c>
      <c r="AR420" s="276">
        <v>-17.385999689342217</v>
      </c>
      <c r="AS420" s="277" t="s">
        <v>237</v>
      </c>
      <c r="AT420" s="277" t="s">
        <v>237</v>
      </c>
      <c r="AU420" s="276">
        <v>-2.0001202175938277</v>
      </c>
      <c r="AV420" s="276">
        <v>7.9913114719287579</v>
      </c>
      <c r="AW420" s="276">
        <v>22.318110406199008</v>
      </c>
      <c r="AX420" s="276">
        <v>-1.1824176821602754</v>
      </c>
      <c r="AY420" s="277" t="s">
        <v>237</v>
      </c>
      <c r="AZ420" s="277" t="s">
        <v>237</v>
      </c>
      <c r="BA420" s="277" t="s">
        <v>237</v>
      </c>
      <c r="BB420" s="277" t="s">
        <v>237</v>
      </c>
      <c r="BC420" s="277" t="s">
        <v>237</v>
      </c>
      <c r="BD420" s="276">
        <v>-12.669605165214252</v>
      </c>
      <c r="BE420" s="276">
        <v>-58.444691991647524</v>
      </c>
      <c r="BF420" s="276">
        <v>-105.1429741572333</v>
      </c>
      <c r="BG420" s="276">
        <v>-105.1429741572333</v>
      </c>
      <c r="BH420" s="277" t="s">
        <v>237</v>
      </c>
      <c r="BI420" s="277" t="s">
        <v>237</v>
      </c>
      <c r="BJ420" s="276">
        <v>-89.900841666713475</v>
      </c>
      <c r="BK420" s="276">
        <v>-22.804414456369877</v>
      </c>
      <c r="BL420" s="276">
        <v>-32.859672220456709</v>
      </c>
      <c r="BM420" s="276">
        <v>7.4081792610017709</v>
      </c>
      <c r="BN420" s="276">
        <v>2.2508797856420513</v>
      </c>
      <c r="BO420" s="276">
        <v>-19.296297263272105</v>
      </c>
      <c r="BP420" s="276">
        <v>11.2648274088398</v>
      </c>
      <c r="BQ420" s="276">
        <v>-39.983361355293241</v>
      </c>
      <c r="BR420" s="277" t="s">
        <v>237</v>
      </c>
      <c r="BS420" s="276">
        <v>22.254428168783473</v>
      </c>
      <c r="BT420" s="277" t="s">
        <v>237</v>
      </c>
      <c r="BU420" s="277" t="s">
        <v>237</v>
      </c>
      <c r="BV420" s="277" t="s">
        <v>237</v>
      </c>
      <c r="BW420" s="277" t="s">
        <v>237</v>
      </c>
      <c r="BX420" s="276">
        <v>-18.919180875269639</v>
      </c>
      <c r="BY420" s="277" t="s">
        <v>237</v>
      </c>
      <c r="BZ420" s="277" t="s">
        <v>237</v>
      </c>
      <c r="CA420" s="276">
        <v>-12.860521223570025</v>
      </c>
      <c r="CB420" s="276">
        <v>15.460081218760822</v>
      </c>
      <c r="CC420" s="276">
        <v>4.5956641431520975</v>
      </c>
      <c r="CD420" s="276">
        <v>16.614894762975517</v>
      </c>
      <c r="CE420" s="276">
        <v>-9.8699256106478597</v>
      </c>
      <c r="CF420" s="277" t="s">
        <v>237</v>
      </c>
      <c r="CG420" s="277" t="s">
        <v>237</v>
      </c>
      <c r="CH420" s="277" t="s">
        <v>237</v>
      </c>
      <c r="CI420" s="276">
        <v>11.718497358397597</v>
      </c>
      <c r="CJ420" s="276">
        <v>8.162760585385497</v>
      </c>
      <c r="CK420" s="276">
        <v>12.62327772682618</v>
      </c>
      <c r="CL420" s="276">
        <v>12.602057050442676</v>
      </c>
      <c r="CM420" s="276">
        <v>11.078556791444498</v>
      </c>
      <c r="CN420" s="276">
        <v>29.320853591895638</v>
      </c>
      <c r="CO420" s="277" t="s">
        <v>237</v>
      </c>
      <c r="CP420" s="277" t="s">
        <v>237</v>
      </c>
      <c r="CQ420" s="276">
        <v>25.342183399444359</v>
      </c>
      <c r="CR420" s="276">
        <v>-15.847922613920231</v>
      </c>
      <c r="CS420" s="276">
        <v>-10.359238549062908</v>
      </c>
      <c r="CT420" s="276">
        <v>-27.445083979285531</v>
      </c>
      <c r="CU420" s="276">
        <v>-22.388826174658107</v>
      </c>
      <c r="CV420" s="276">
        <v>-187.19512195121953</v>
      </c>
      <c r="CW420" s="276">
        <v>55.313136959500461</v>
      </c>
      <c r="CX420" s="276">
        <v>-22.051036928943471</v>
      </c>
      <c r="CY420" s="276">
        <v>-17.192969863467301</v>
      </c>
      <c r="CZ420" s="276">
        <v>-37.687347227074667</v>
      </c>
      <c r="DA420" s="277" t="s">
        <v>237</v>
      </c>
      <c r="DB420" s="276">
        <v>-10.033676975295041</v>
      </c>
      <c r="DC420" s="276">
        <v>-11.098416843479683</v>
      </c>
      <c r="DD420" s="276">
        <v>9.9317757876242201</v>
      </c>
      <c r="DE420" s="276">
        <v>5.485888177834406</v>
      </c>
      <c r="DF420" s="276">
        <v>20.159259838109715</v>
      </c>
      <c r="DG420" s="276">
        <v>20.159259838109715</v>
      </c>
      <c r="DH420" s="277" t="s">
        <v>237</v>
      </c>
      <c r="DI420" s="276">
        <v>4.3407557215424024</v>
      </c>
      <c r="DJ420" s="276">
        <v>-4.6087406758345259E-2</v>
      </c>
      <c r="DK420" s="276">
        <v>9.4381109330202921</v>
      </c>
      <c r="DL420" s="276">
        <v>3.7710513064398783</v>
      </c>
      <c r="DM420" s="276">
        <v>3.173730001039107</v>
      </c>
      <c r="DN420" s="276">
        <v>6.712660535605762</v>
      </c>
      <c r="DO420" s="276">
        <v>9.7442390185808385</v>
      </c>
      <c r="DP420" s="276"/>
      <c r="DQ420" s="277" t="s">
        <v>237</v>
      </c>
      <c r="DR420" s="276">
        <v>-89.199776161163953</v>
      </c>
      <c r="DS420" s="276">
        <v>-3.8650826119889552</v>
      </c>
      <c r="DT420" s="276">
        <v>7.6560421125701348</v>
      </c>
      <c r="DU420" s="276">
        <v>0.20879940343027942</v>
      </c>
      <c r="DV420" s="276">
        <v>71.428571428571416</v>
      </c>
      <c r="DW420" s="276">
        <v>-78.578803249988752</v>
      </c>
      <c r="DX420" s="277" t="s">
        <v>237</v>
      </c>
      <c r="DY420" s="277" t="s">
        <v>237</v>
      </c>
      <c r="DZ420" s="277" t="s">
        <v>237</v>
      </c>
      <c r="EA420" s="276">
        <v>-11.909827009020599</v>
      </c>
      <c r="EB420" s="277" t="s">
        <v>237</v>
      </c>
      <c r="EC420" s="277"/>
      <c r="ED420" s="277" t="s">
        <v>237</v>
      </c>
      <c r="EE420" s="276">
        <v>86.770189508096237</v>
      </c>
      <c r="EF420" s="276">
        <v>4.3480269164750425</v>
      </c>
      <c r="EG420" s="276">
        <v>-5.7406426632741878</v>
      </c>
      <c r="EH420" s="276">
        <v>22.5103022007793</v>
      </c>
      <c r="EI420" s="276">
        <v>22.5103022007793</v>
      </c>
      <c r="EJ420" s="277" t="s">
        <v>237</v>
      </c>
      <c r="EK420" s="276">
        <v>0.60386577851008694</v>
      </c>
      <c r="EL420" s="276">
        <v>-17.448022457868717</v>
      </c>
      <c r="EM420" s="276">
        <v>38.617758307183578</v>
      </c>
      <c r="EN420" s="276">
        <v>38.617758307183578</v>
      </c>
      <c r="EO420" s="277" t="s">
        <v>237</v>
      </c>
      <c r="EP420" s="276">
        <v>10.059834194401066</v>
      </c>
      <c r="EQ420" s="276">
        <v>0.32088078209341808</v>
      </c>
      <c r="ER420" s="276">
        <v>30.19340763016687</v>
      </c>
      <c r="ES420" s="276">
        <v>30.19340763016687</v>
      </c>
      <c r="ET420" s="277" t="s">
        <v>237</v>
      </c>
      <c r="EU420" s="276">
        <v>8.2987305730217162</v>
      </c>
      <c r="EV420" s="276">
        <v>6.8037829400422334</v>
      </c>
      <c r="EW420" s="276">
        <v>11.027316909669858</v>
      </c>
      <c r="EX420" s="276">
        <v>11.027316909669858</v>
      </c>
      <c r="EY420" s="277" t="s">
        <v>237</v>
      </c>
      <c r="EZ420" s="276">
        <v>2.9970038167958855</v>
      </c>
      <c r="FA420" s="276">
        <v>-6.2644794428548289</v>
      </c>
      <c r="FB420" s="276">
        <v>21.602094568992293</v>
      </c>
      <c r="FC420" s="276">
        <v>21.602094568992293</v>
      </c>
      <c r="FD420" s="277" t="s">
        <v>237</v>
      </c>
      <c r="FE420" s="276">
        <v>6.5845232700658887</v>
      </c>
      <c r="FF420" s="276">
        <v>-1.1554609117074239</v>
      </c>
      <c r="FG420" s="276">
        <v>21.223348039889927</v>
      </c>
      <c r="FH420" s="276">
        <v>21.223348039889927</v>
      </c>
      <c r="FI420" s="277" t="s">
        <v>237</v>
      </c>
      <c r="FJ420" s="276">
        <v>9.6560188745800364</v>
      </c>
      <c r="FK420" s="276">
        <v>-55.591859361482314</v>
      </c>
      <c r="FL420" s="276">
        <v>23.220999289290273</v>
      </c>
      <c r="FM420" s="276">
        <v>23.220999289290273</v>
      </c>
      <c r="FN420" s="277"/>
      <c r="FO420" s="277"/>
      <c r="FP420" s="277" t="s">
        <v>237</v>
      </c>
      <c r="FQ420" s="277" t="s">
        <v>237</v>
      </c>
      <c r="FR420" s="276">
        <v>5.3530186676357498</v>
      </c>
      <c r="FS420" s="276">
        <v>-1.4309541728535797</v>
      </c>
      <c r="FT420" s="276">
        <v>5.4717582993460701</v>
      </c>
      <c r="FU420" s="277" t="s">
        <v>237</v>
      </c>
      <c r="FV420" s="277" t="s">
        <v>237</v>
      </c>
      <c r="FW420" s="277" t="s">
        <v>237</v>
      </c>
      <c r="FX420" s="276">
        <v>10.519952680362792</v>
      </c>
      <c r="FY420" s="276">
        <v>12.156405234097745</v>
      </c>
      <c r="FZ420" s="276"/>
      <c r="GA420" s="276"/>
      <c r="GB420" s="277" t="s">
        <v>237</v>
      </c>
      <c r="GC420" s="276">
        <v>-17.145838768588579</v>
      </c>
      <c r="GD420" s="277" t="s">
        <v>237</v>
      </c>
      <c r="GE420" s="277" t="s">
        <v>237</v>
      </c>
      <c r="GF420" s="277" t="s">
        <v>237</v>
      </c>
      <c r="GG420" s="276">
        <v>16.239158982351338</v>
      </c>
      <c r="GH420" s="276">
        <v>19.008203746785846</v>
      </c>
      <c r="GI420" s="276">
        <v>-33.09943924136109</v>
      </c>
      <c r="GJ420" s="276">
        <v>19.508217235338286</v>
      </c>
    </row>
    <row r="421" spans="1:192">
      <c r="A421" s="274"/>
      <c r="B421" s="275" t="s">
        <v>245</v>
      </c>
      <c r="C421" s="275" t="s">
        <v>245</v>
      </c>
      <c r="D421" s="276">
        <v>7.4806704102964527</v>
      </c>
      <c r="E421" s="276">
        <v>-4.6430325663885492</v>
      </c>
      <c r="F421" s="276">
        <v>-1.9999410698763966</v>
      </c>
      <c r="G421" s="276">
        <v>8.2023555022657373</v>
      </c>
      <c r="H421" s="276">
        <v>4.5260942943928866</v>
      </c>
      <c r="I421" s="276">
        <v>18.549237819725946</v>
      </c>
      <c r="J421" s="276">
        <v>14.805070371556813</v>
      </c>
      <c r="K421" s="277" t="s">
        <v>237</v>
      </c>
      <c r="L421" s="276">
        <v>3.4117521099840817</v>
      </c>
      <c r="M421" s="276">
        <v>3.7782563584283309</v>
      </c>
      <c r="N421" s="276">
        <v>1.3309408711427853</v>
      </c>
      <c r="O421" s="277" t="s">
        <v>237</v>
      </c>
      <c r="P421" s="277" t="s">
        <v>237</v>
      </c>
      <c r="Q421" s="277" t="s">
        <v>237</v>
      </c>
      <c r="R421" s="276">
        <v>2.8021459365962427</v>
      </c>
      <c r="S421" s="276">
        <v>-6.8809814850513842</v>
      </c>
      <c r="T421" s="276">
        <v>-7.7706278028406031</v>
      </c>
      <c r="U421" s="276">
        <v>-7.0396657203406692</v>
      </c>
      <c r="V421" s="277" t="s">
        <v>237</v>
      </c>
      <c r="W421" s="276">
        <v>-7.773639269704784</v>
      </c>
      <c r="X421" s="276">
        <v>7.8208720677054719</v>
      </c>
      <c r="Y421" s="276">
        <v>-1.322588467923971</v>
      </c>
      <c r="Z421" s="277" t="s">
        <v>237</v>
      </c>
      <c r="AA421" s="276">
        <v>53.804198995892293</v>
      </c>
      <c r="AB421" s="277" t="s">
        <v>237</v>
      </c>
      <c r="AC421" s="276">
        <v>-1.9999410698763966</v>
      </c>
      <c r="AD421" s="276">
        <v>2.7363384150169363</v>
      </c>
      <c r="AE421" s="276">
        <v>-7.3634950881643757</v>
      </c>
      <c r="AF421" s="276">
        <v>27.077644838851604</v>
      </c>
      <c r="AG421" s="276">
        <v>22.435304777035967</v>
      </c>
      <c r="AH421" s="277" t="s">
        <v>237</v>
      </c>
      <c r="AI421" s="276">
        <v>3.8913458028000374</v>
      </c>
      <c r="AJ421" s="276">
        <v>-2.7625306407901751</v>
      </c>
      <c r="AK421" s="276">
        <v>8.2372699764142769</v>
      </c>
      <c r="AL421" s="276">
        <v>3.9911149410479991</v>
      </c>
      <c r="AM421" s="276">
        <v>-3.0165342853939441</v>
      </c>
      <c r="AN421" s="276">
        <v>8.4463667221939627</v>
      </c>
      <c r="AO421" s="276">
        <v>10.120355748337333</v>
      </c>
      <c r="AP421" s="277" t="s">
        <v>237</v>
      </c>
      <c r="AQ421" s="276">
        <v>5.6891922355791751</v>
      </c>
      <c r="AR421" s="276">
        <v>-19.524191040649363</v>
      </c>
      <c r="AS421" s="277" t="s">
        <v>237</v>
      </c>
      <c r="AT421" s="277" t="s">
        <v>237</v>
      </c>
      <c r="AU421" s="276">
        <v>-1.9999410698763966</v>
      </c>
      <c r="AV421" s="276">
        <v>15.229412956275016</v>
      </c>
      <c r="AW421" s="276">
        <v>16.570783425647729</v>
      </c>
      <c r="AX421" s="276">
        <v>18.695198307382253</v>
      </c>
      <c r="AY421" s="277" t="s">
        <v>237</v>
      </c>
      <c r="AZ421" s="277" t="s">
        <v>237</v>
      </c>
      <c r="BA421" s="277" t="s">
        <v>237</v>
      </c>
      <c r="BB421" s="277" t="s">
        <v>237</v>
      </c>
      <c r="BC421" s="277" t="s">
        <v>237</v>
      </c>
      <c r="BD421" s="276">
        <v>-3.5588503222927863</v>
      </c>
      <c r="BE421" s="276">
        <v>4.491748157797157</v>
      </c>
      <c r="BF421" s="276">
        <v>5.6236358844718577</v>
      </c>
      <c r="BG421" s="276">
        <v>5.6236358844718577</v>
      </c>
      <c r="BH421" s="277" t="s">
        <v>237</v>
      </c>
      <c r="BI421" s="276">
        <v>-20.510310078444959</v>
      </c>
      <c r="BJ421" s="276">
        <v>21.597728048868827</v>
      </c>
      <c r="BK421" s="276">
        <v>20.712988032348818</v>
      </c>
      <c r="BL421" s="276">
        <v>45.289595079446443</v>
      </c>
      <c r="BM421" s="276">
        <v>-1.7279125174295471</v>
      </c>
      <c r="BN421" s="276">
        <v>18.706354625151718</v>
      </c>
      <c r="BO421" s="276">
        <v>-12.603345237400131</v>
      </c>
      <c r="BP421" s="276">
        <v>8.3390755972681276</v>
      </c>
      <c r="BQ421" s="276">
        <v>10.200461410209183</v>
      </c>
      <c r="BR421" s="277" t="s">
        <v>237</v>
      </c>
      <c r="BS421" s="276">
        <v>16.815400226954981</v>
      </c>
      <c r="BT421" s="277" t="s">
        <v>237</v>
      </c>
      <c r="BU421" s="277" t="s">
        <v>237</v>
      </c>
      <c r="BV421" s="277" t="s">
        <v>237</v>
      </c>
      <c r="BW421" s="277" t="s">
        <v>237</v>
      </c>
      <c r="BX421" s="276">
        <v>28.959245674700117</v>
      </c>
      <c r="BY421" s="277" t="s">
        <v>237</v>
      </c>
      <c r="BZ421" s="277" t="s">
        <v>237</v>
      </c>
      <c r="CA421" s="276">
        <v>21.092968993420328</v>
      </c>
      <c r="CB421" s="276">
        <v>3.1222745849547282</v>
      </c>
      <c r="CC421" s="276">
        <v>7.2634312611588969</v>
      </c>
      <c r="CD421" s="276">
        <v>2.6186502200942563</v>
      </c>
      <c r="CE421" s="276">
        <v>47.222931441581558</v>
      </c>
      <c r="CF421" s="277" t="s">
        <v>237</v>
      </c>
      <c r="CG421" s="277" t="s">
        <v>237</v>
      </c>
      <c r="CH421" s="277" t="s">
        <v>237</v>
      </c>
      <c r="CI421" s="276">
        <v>8.4993505750210918</v>
      </c>
      <c r="CJ421" s="276">
        <v>9.220478994405978</v>
      </c>
      <c r="CK421" s="276">
        <v>8.3231222240817431</v>
      </c>
      <c r="CL421" s="276">
        <v>9.2538134654283581</v>
      </c>
      <c r="CM421" s="276">
        <v>8.7494231697734417</v>
      </c>
      <c r="CN421" s="276">
        <v>-6.0893511746754072</v>
      </c>
      <c r="CO421" s="277" t="s">
        <v>237</v>
      </c>
      <c r="CP421" s="276">
        <v>-20.067854262369806</v>
      </c>
      <c r="CQ421" s="276">
        <v>-5.3304312398025413</v>
      </c>
      <c r="CR421" s="276">
        <v>-5.9109755835241264</v>
      </c>
      <c r="CS421" s="276">
        <v>-10.282475852252549</v>
      </c>
      <c r="CT421" s="276">
        <v>-11.387753569404657</v>
      </c>
      <c r="CU421" s="276">
        <v>-107.30094767918771</v>
      </c>
      <c r="CV421" s="276">
        <v>59.69382053860766</v>
      </c>
      <c r="CW421" s="276">
        <v>39.634338888677014</v>
      </c>
      <c r="CX421" s="276">
        <v>-2.0584796418908478</v>
      </c>
      <c r="CY421" s="276">
        <v>-3.9222492541190017</v>
      </c>
      <c r="CZ421" s="276">
        <v>6.9446031311213954</v>
      </c>
      <c r="DA421" s="276">
        <v>-105.77021040119789</v>
      </c>
      <c r="DB421" s="276">
        <v>-6.6871795753312284</v>
      </c>
      <c r="DC421" s="276">
        <v>-5.7926006402437924</v>
      </c>
      <c r="DD421" s="276">
        <v>9.679561072230852</v>
      </c>
      <c r="DE421" s="276">
        <v>7.3070226272406549</v>
      </c>
      <c r="DF421" s="276">
        <v>14.470942103120537</v>
      </c>
      <c r="DG421" s="276">
        <v>11.083901844542718</v>
      </c>
      <c r="DH421" s="277" t="s">
        <v>237</v>
      </c>
      <c r="DI421" s="276">
        <v>3.8971891424239939</v>
      </c>
      <c r="DJ421" s="276">
        <v>3.779543695068079</v>
      </c>
      <c r="DK421" s="276">
        <v>1.8899372496276599</v>
      </c>
      <c r="DL421" s="276">
        <v>0.296543915458024</v>
      </c>
      <c r="DM421" s="276">
        <v>3.475543562023939</v>
      </c>
      <c r="DN421" s="276">
        <v>4.2900800231139442</v>
      </c>
      <c r="DO421" s="276">
        <v>7.3417391441771214</v>
      </c>
      <c r="DP421" s="276"/>
      <c r="DQ421" s="277" t="s">
        <v>237</v>
      </c>
      <c r="DR421" s="276">
        <v>38.106453132359853</v>
      </c>
      <c r="DS421" s="276">
        <v>-2.2279940254037425</v>
      </c>
      <c r="DT421" s="276">
        <v>-8.4207723870078546</v>
      </c>
      <c r="DU421" s="276">
        <v>-2.5780899716036516</v>
      </c>
      <c r="DV421" s="276">
        <v>8.6206896551724022</v>
      </c>
      <c r="DW421" s="276">
        <v>-22.133125534161199</v>
      </c>
      <c r="DX421" s="277" t="s">
        <v>237</v>
      </c>
      <c r="DY421" s="277" t="s">
        <v>237</v>
      </c>
      <c r="DZ421" s="277" t="s">
        <v>237</v>
      </c>
      <c r="EA421" s="276">
        <v>9.9048054110608525</v>
      </c>
      <c r="EB421" s="277" t="s">
        <v>237</v>
      </c>
      <c r="EC421" s="277"/>
      <c r="ED421" s="277" t="s">
        <v>237</v>
      </c>
      <c r="EE421" s="276">
        <v>22.93436293436293</v>
      </c>
      <c r="EF421" s="276">
        <v>3.9225865636401998</v>
      </c>
      <c r="EG421" s="276">
        <v>-0.36724597500270106</v>
      </c>
      <c r="EH421" s="276">
        <v>9.8645306096511671</v>
      </c>
      <c r="EI421" s="276">
        <v>7.1726639954631644</v>
      </c>
      <c r="EJ421" s="277" t="s">
        <v>237</v>
      </c>
      <c r="EK421" s="276">
        <v>3.4156900010558582</v>
      </c>
      <c r="EL421" s="276">
        <v>3.2324123929737767</v>
      </c>
      <c r="EM421" s="276">
        <v>3.6455364110852209</v>
      </c>
      <c r="EN421" s="276">
        <v>1.0696119508725734</v>
      </c>
      <c r="EO421" s="277" t="s">
        <v>237</v>
      </c>
      <c r="EP421" s="276">
        <v>1.8497251175728209</v>
      </c>
      <c r="EQ421" s="276">
        <v>-3.5603352074433583</v>
      </c>
      <c r="ER421" s="276">
        <v>10.467854797436541</v>
      </c>
      <c r="ES421" s="276">
        <v>7.6734074594080486</v>
      </c>
      <c r="ET421" s="277" t="s">
        <v>237</v>
      </c>
      <c r="EU421" s="276">
        <v>0.43818809223858401</v>
      </c>
      <c r="EV421" s="276">
        <v>-10.935350756533701</v>
      </c>
      <c r="EW421" s="276">
        <v>20.407547169811309</v>
      </c>
      <c r="EX421" s="276">
        <v>16.966037735849049</v>
      </c>
      <c r="EY421" s="277" t="s">
        <v>237</v>
      </c>
      <c r="EZ421" s="276">
        <v>3.3997275372189977</v>
      </c>
      <c r="FA421" s="276">
        <v>1.8458379044998374E-2</v>
      </c>
      <c r="FB421" s="276">
        <v>8.6356611304658042</v>
      </c>
      <c r="FC421" s="276">
        <v>5.6681564714093007</v>
      </c>
      <c r="FD421" s="277" t="s">
        <v>237</v>
      </c>
      <c r="FE421" s="276">
        <v>4.657544018528859</v>
      </c>
      <c r="FF421" s="276">
        <v>0.59100807483607987</v>
      </c>
      <c r="FG421" s="276">
        <v>10.928838010600526</v>
      </c>
      <c r="FH421" s="276">
        <v>7.8158373623112674</v>
      </c>
      <c r="FI421" s="277" t="s">
        <v>237</v>
      </c>
      <c r="FJ421" s="276">
        <v>6.657596336008277</v>
      </c>
      <c r="FK421" s="277" t="s">
        <v>237</v>
      </c>
      <c r="FL421" s="276">
        <v>16.453859300555802</v>
      </c>
      <c r="FM421" s="276">
        <v>16.453859300555802</v>
      </c>
      <c r="FN421" s="277"/>
      <c r="FO421" s="277"/>
      <c r="FP421" s="277" t="s">
        <v>237</v>
      </c>
      <c r="FQ421" s="277" t="s">
        <v>237</v>
      </c>
      <c r="FR421" s="276">
        <v>7.7886832915866462</v>
      </c>
      <c r="FS421" s="276">
        <v>-5.0454714086611219</v>
      </c>
      <c r="FT421" s="276">
        <v>7.8685516291504642</v>
      </c>
      <c r="FU421" s="277" t="s">
        <v>237</v>
      </c>
      <c r="FV421" s="277" t="s">
        <v>237</v>
      </c>
      <c r="FW421" s="277" t="s">
        <v>237</v>
      </c>
      <c r="FX421" s="276">
        <v>20.757661302970423</v>
      </c>
      <c r="FY421" s="276">
        <v>9.5410764268576518</v>
      </c>
      <c r="FZ421" s="276"/>
      <c r="GA421" s="276"/>
      <c r="GB421" s="277" t="s">
        <v>237</v>
      </c>
      <c r="GC421" s="276">
        <v>0.5485232067510607</v>
      </c>
      <c r="GD421" s="276">
        <v>-7.6378951145031868</v>
      </c>
      <c r="GE421" s="277" t="s">
        <v>237</v>
      </c>
      <c r="GF421" s="276">
        <v>5.6986326667230989</v>
      </c>
      <c r="GG421" s="276">
        <v>-8.2437670894876245</v>
      </c>
      <c r="GH421" s="276">
        <v>0.92392534518591285</v>
      </c>
      <c r="GI421" s="276">
        <v>23.096502391714584</v>
      </c>
      <c r="GJ421" s="276">
        <v>-10.26756576582237</v>
      </c>
    </row>
    <row r="422" spans="1:192">
      <c r="A422" s="274"/>
      <c r="B422" s="275" t="s">
        <v>246</v>
      </c>
      <c r="C422" s="275" t="s">
        <v>246</v>
      </c>
      <c r="D422" s="276">
        <v>12.246270814425204</v>
      </c>
      <c r="E422" s="276">
        <v>-4.7179163760911011</v>
      </c>
      <c r="F422" s="276">
        <v>-2.0004477536488388</v>
      </c>
      <c r="G422" s="276">
        <v>14.093351937500842</v>
      </c>
      <c r="H422" s="276">
        <v>15.388875244163284</v>
      </c>
      <c r="I422" s="276">
        <v>10.878401106998318</v>
      </c>
      <c r="J422" s="276">
        <v>11.327941078691701</v>
      </c>
      <c r="K422" s="276">
        <v>-2.9055625643706602</v>
      </c>
      <c r="L422" s="276">
        <v>13.03391419800931</v>
      </c>
      <c r="M422" s="276">
        <v>12.596832976620918</v>
      </c>
      <c r="N422" s="276">
        <v>12.690750505212762</v>
      </c>
      <c r="O422" s="277" t="s">
        <v>237</v>
      </c>
      <c r="P422" s="277" t="s">
        <v>237</v>
      </c>
      <c r="Q422" s="277" t="s">
        <v>237</v>
      </c>
      <c r="R422" s="276">
        <v>9.336567180212807</v>
      </c>
      <c r="S422" s="276">
        <v>-5.1684243410289348</v>
      </c>
      <c r="T422" s="276">
        <v>-4.80047036165882</v>
      </c>
      <c r="U422" s="276">
        <v>-5.4556389629261721</v>
      </c>
      <c r="V422" s="276">
        <v>-6.8704250674200615</v>
      </c>
      <c r="W422" s="276">
        <v>-3.6348008028658567</v>
      </c>
      <c r="X422" s="276">
        <v>-43.585714652494268</v>
      </c>
      <c r="Y422" s="276">
        <v>-18.110685617497602</v>
      </c>
      <c r="Z422" s="277" t="s">
        <v>237</v>
      </c>
      <c r="AA422" s="276">
        <v>-2.7696817006701941</v>
      </c>
      <c r="AB422" s="277" t="s">
        <v>237</v>
      </c>
      <c r="AC422" s="276">
        <v>-2.0004477536488388</v>
      </c>
      <c r="AD422" s="276">
        <v>14.668745469626623</v>
      </c>
      <c r="AE422" s="276">
        <v>18.219295812082041</v>
      </c>
      <c r="AF422" s="276">
        <v>8.4308463393520512</v>
      </c>
      <c r="AG422" s="276">
        <v>9.2526120668178429</v>
      </c>
      <c r="AH422" s="276">
        <v>-13.242089283172831</v>
      </c>
      <c r="AI422" s="276">
        <v>12.599312878543529</v>
      </c>
      <c r="AJ422" s="276">
        <v>19.443379824750981</v>
      </c>
      <c r="AK422" s="276">
        <v>11.208370088550696</v>
      </c>
      <c r="AL422" s="276">
        <v>12.078003534543713</v>
      </c>
      <c r="AM422" s="276">
        <v>12.279270890097651</v>
      </c>
      <c r="AN422" s="276">
        <v>10.159832482940409</v>
      </c>
      <c r="AO422" s="276">
        <v>34.830909553834857</v>
      </c>
      <c r="AP422" s="277" t="s">
        <v>237</v>
      </c>
      <c r="AQ422" s="276">
        <v>4.5088060830488477</v>
      </c>
      <c r="AR422" s="276">
        <v>7.4086248080397432</v>
      </c>
      <c r="AS422" s="277" t="s">
        <v>237</v>
      </c>
      <c r="AT422" s="277" t="s">
        <v>237</v>
      </c>
      <c r="AU422" s="276">
        <v>-2.0004477536488388</v>
      </c>
      <c r="AV422" s="276">
        <v>21.097683510261334</v>
      </c>
      <c r="AW422" s="276">
        <v>21.789351325121167</v>
      </c>
      <c r="AX422" s="276">
        <v>16.392282050653126</v>
      </c>
      <c r="AY422" s="277" t="s">
        <v>237</v>
      </c>
      <c r="AZ422" s="277" t="s">
        <v>237</v>
      </c>
      <c r="BA422" s="277" t="s">
        <v>237</v>
      </c>
      <c r="BB422" s="277" t="s">
        <v>237</v>
      </c>
      <c r="BC422" s="277" t="s">
        <v>237</v>
      </c>
      <c r="BD422" s="276">
        <v>8.4245956031083757</v>
      </c>
      <c r="BE422" s="276">
        <v>5.6099168072358614</v>
      </c>
      <c r="BF422" s="276">
        <v>8.7380726517873093</v>
      </c>
      <c r="BG422" s="276">
        <v>12.553835928876554</v>
      </c>
      <c r="BH422" s="277" t="s">
        <v>237</v>
      </c>
      <c r="BI422" s="276">
        <v>-36.670596744310458</v>
      </c>
      <c r="BJ422" s="276">
        <v>50.537588788888449</v>
      </c>
      <c r="BK422" s="276">
        <v>51.133029857262429</v>
      </c>
      <c r="BL422" s="276">
        <v>-39.085628630316656</v>
      </c>
      <c r="BM422" s="276">
        <v>-2.0702651130864256</v>
      </c>
      <c r="BN422" s="276">
        <v>24.886178520274072</v>
      </c>
      <c r="BO422" s="276">
        <v>10.197314072903744</v>
      </c>
      <c r="BP422" s="276">
        <v>10.143308576374221</v>
      </c>
      <c r="BQ422" s="276">
        <v>34.826054448695942</v>
      </c>
      <c r="BR422" s="277" t="s">
        <v>237</v>
      </c>
      <c r="BS422" s="276">
        <v>21.775491175288639</v>
      </c>
      <c r="BT422" s="277" t="s">
        <v>237</v>
      </c>
      <c r="BU422" s="277" t="s">
        <v>237</v>
      </c>
      <c r="BV422" s="277" t="s">
        <v>237</v>
      </c>
      <c r="BW422" s="277" t="s">
        <v>237</v>
      </c>
      <c r="BX422" s="276">
        <v>25.333094434408686</v>
      </c>
      <c r="BY422" s="277" t="s">
        <v>237</v>
      </c>
      <c r="BZ422" s="277" t="s">
        <v>237</v>
      </c>
      <c r="CA422" s="276">
        <v>-3.0544258310546843</v>
      </c>
      <c r="CB422" s="276">
        <v>2.824555985491183</v>
      </c>
      <c r="CC422" s="276">
        <v>12.889550090915277</v>
      </c>
      <c r="CD422" s="276">
        <v>1.6588907920356117</v>
      </c>
      <c r="CE422" s="276">
        <v>-3.2176484794281963</v>
      </c>
      <c r="CF422" s="277" t="s">
        <v>237</v>
      </c>
      <c r="CG422" s="277" t="s">
        <v>237</v>
      </c>
      <c r="CH422" s="277" t="s">
        <v>237</v>
      </c>
      <c r="CI422" s="276">
        <v>10.468334239258795</v>
      </c>
      <c r="CJ422" s="276">
        <v>-23.357702363467396</v>
      </c>
      <c r="CK422" s="276">
        <v>18.803172718637519</v>
      </c>
      <c r="CL422" s="276">
        <v>26.244849061790791</v>
      </c>
      <c r="CM422" s="276">
        <v>10.601204428253906</v>
      </c>
      <c r="CN422" s="276">
        <v>7.6765843218619834</v>
      </c>
      <c r="CO422" s="277" t="s">
        <v>237</v>
      </c>
      <c r="CP422" s="276">
        <v>-13.007666407098295</v>
      </c>
      <c r="CQ422" s="276">
        <v>8.6247542130065113</v>
      </c>
      <c r="CR422" s="276">
        <v>-6.8766861401803174</v>
      </c>
      <c r="CS422" s="276">
        <v>-14.599787228288852</v>
      </c>
      <c r="CT422" s="276">
        <v>-16.46913404844782</v>
      </c>
      <c r="CU422" s="276">
        <v>15.898183064792587</v>
      </c>
      <c r="CV422" s="276">
        <v>-2.0792902689215338</v>
      </c>
      <c r="CW422" s="276">
        <v>-20.404486090894387</v>
      </c>
      <c r="CX422" s="276">
        <v>-1.2685464214621744</v>
      </c>
      <c r="CY422" s="276">
        <v>-6.3190390162312386</v>
      </c>
      <c r="CZ422" s="276">
        <v>12.631903353057197</v>
      </c>
      <c r="DA422" s="276">
        <v>59.828207051762938</v>
      </c>
      <c r="DB422" s="276">
        <v>2.300330298880195</v>
      </c>
      <c r="DC422" s="276">
        <v>3.637584932957866</v>
      </c>
      <c r="DD422" s="276">
        <v>12.049732736242369</v>
      </c>
      <c r="DE422" s="276">
        <v>9.9089677909325466</v>
      </c>
      <c r="DF422" s="276">
        <v>16.102478151375536</v>
      </c>
      <c r="DG422" s="276">
        <v>16.334811925013831</v>
      </c>
      <c r="DH422" s="276">
        <v>8.4826861986089259</v>
      </c>
      <c r="DI422" s="276">
        <v>2.7354010821778729</v>
      </c>
      <c r="DJ422" s="276">
        <v>6.6633170900809393</v>
      </c>
      <c r="DK422" s="276">
        <v>5.1075029355792223</v>
      </c>
      <c r="DL422" s="276">
        <v>4.945704762928707</v>
      </c>
      <c r="DM422" s="276">
        <v>0.73568188387417977</v>
      </c>
      <c r="DN422" s="276">
        <v>5.2294967871305511</v>
      </c>
      <c r="DO422" s="276">
        <v>4.9777747241624271</v>
      </c>
      <c r="DP422" s="276"/>
      <c r="DQ422" s="277" t="s">
        <v>237</v>
      </c>
      <c r="DR422" s="276">
        <v>110.02728512960438</v>
      </c>
      <c r="DS422" s="276">
        <v>8.5147940732150182</v>
      </c>
      <c r="DT422" s="276">
        <v>-4.8966503444988527</v>
      </c>
      <c r="DU422" s="276">
        <v>-19.559991258104457</v>
      </c>
      <c r="DV422" s="277" t="s">
        <v>237</v>
      </c>
      <c r="DW422" s="276">
        <v>25.496531994154825</v>
      </c>
      <c r="DX422" s="277" t="s">
        <v>237</v>
      </c>
      <c r="DY422" s="277" t="s">
        <v>237</v>
      </c>
      <c r="DZ422" s="277" t="s">
        <v>237</v>
      </c>
      <c r="EA422" s="276">
        <v>9.5273922750431321</v>
      </c>
      <c r="EB422" s="276">
        <v>87.630229866049277</v>
      </c>
      <c r="EC422" s="276"/>
      <c r="ED422" s="277" t="s">
        <v>237</v>
      </c>
      <c r="EE422" s="276">
        <v>8.9679358717434905</v>
      </c>
      <c r="EF422" s="276">
        <v>2.9037857187026752</v>
      </c>
      <c r="EG422" s="276">
        <v>0.45208886633610823</v>
      </c>
      <c r="EH422" s="276">
        <v>5.9834233575043934</v>
      </c>
      <c r="EI422" s="276">
        <v>6.0280513910146354</v>
      </c>
      <c r="EJ422" s="276">
        <v>4.2066246056782362</v>
      </c>
      <c r="EK422" s="276">
        <v>6.8085197316481629</v>
      </c>
      <c r="EL422" s="276">
        <v>23.003881934468851</v>
      </c>
      <c r="EM422" s="276">
        <v>-13.420947935885767</v>
      </c>
      <c r="EN422" s="276">
        <v>-14.104449208813541</v>
      </c>
      <c r="EO422" s="276">
        <v>13.397077782552643</v>
      </c>
      <c r="EP422" s="276">
        <v>4.2569337557825966</v>
      </c>
      <c r="EQ422" s="276">
        <v>4.0632370283018906</v>
      </c>
      <c r="ER422" s="276">
        <v>4.5263060791488545</v>
      </c>
      <c r="ES422" s="276">
        <v>4.4439770755560222</v>
      </c>
      <c r="ET422" s="276">
        <v>7.6985413290113422</v>
      </c>
      <c r="EU422" s="276">
        <v>-1.0961444074821427</v>
      </c>
      <c r="EV422" s="276">
        <v>-10.530888030888025</v>
      </c>
      <c r="EW422" s="276">
        <v>11.15707659521123</v>
      </c>
      <c r="EX422" s="276">
        <v>11.678926313072658</v>
      </c>
      <c r="EY422" s="276">
        <v>-6.5789473684210584</v>
      </c>
      <c r="EZ422" s="276">
        <v>0.86159027454182413</v>
      </c>
      <c r="FA422" s="276">
        <v>-1.9648158805543139</v>
      </c>
      <c r="FB422" s="276">
        <v>4.8911416889338746</v>
      </c>
      <c r="FC422" s="276">
        <v>4.942424360376064</v>
      </c>
      <c r="FD422" s="276">
        <v>3.0650467125751124</v>
      </c>
      <c r="FE422" s="276">
        <v>5.5583550830803503</v>
      </c>
      <c r="FF422" s="276">
        <v>3.125594857617064</v>
      </c>
      <c r="FG422" s="276">
        <v>8.9604509599421505</v>
      </c>
      <c r="FH422" s="276">
        <v>9.0804262210590974</v>
      </c>
      <c r="FI422" s="276">
        <v>4.805221102475052</v>
      </c>
      <c r="FJ422" s="276">
        <v>5.6699743886400258</v>
      </c>
      <c r="FK422" s="277" t="s">
        <v>237</v>
      </c>
      <c r="FL422" s="276">
        <v>12.208914611707669</v>
      </c>
      <c r="FM422" s="276">
        <v>12.208914611707669</v>
      </c>
      <c r="FN422" s="277"/>
      <c r="FO422" s="277"/>
      <c r="FP422" s="277" t="s">
        <v>237</v>
      </c>
      <c r="FQ422" s="277" t="s">
        <v>237</v>
      </c>
      <c r="FR422" s="276">
        <v>15.195856412404979</v>
      </c>
      <c r="FS422" s="276">
        <v>-27.398463227222823</v>
      </c>
      <c r="FT422" s="276">
        <v>14.849876888818887</v>
      </c>
      <c r="FU422" s="277" t="s">
        <v>237</v>
      </c>
      <c r="FV422" s="277" t="s">
        <v>237</v>
      </c>
      <c r="FW422" s="277" t="s">
        <v>237</v>
      </c>
      <c r="FX422" s="276">
        <v>18.386230072404945</v>
      </c>
      <c r="FY422" s="276">
        <v>6.5564557787326843</v>
      </c>
      <c r="FZ422" s="276"/>
      <c r="GA422" s="276"/>
      <c r="GB422" s="277" t="s">
        <v>237</v>
      </c>
      <c r="GC422" s="276">
        <v>23.336005661996353</v>
      </c>
      <c r="GD422" s="276">
        <v>7.2922138401980998</v>
      </c>
      <c r="GE422" s="277" t="s">
        <v>237</v>
      </c>
      <c r="GF422" s="276">
        <v>32.155709401336082</v>
      </c>
      <c r="GG422" s="276">
        <v>15.61225749603825</v>
      </c>
      <c r="GH422" s="276">
        <v>28.208212698283244</v>
      </c>
      <c r="GI422" s="276">
        <v>44.467023172905535</v>
      </c>
      <c r="GJ422" s="276">
        <v>12.836674880344161</v>
      </c>
    </row>
    <row r="423" spans="1:192">
      <c r="A423" s="274"/>
      <c r="B423" s="275" t="s">
        <v>247</v>
      </c>
      <c r="C423" s="275" t="s">
        <v>247</v>
      </c>
      <c r="D423" s="276">
        <v>12.485562396430772</v>
      </c>
      <c r="E423" s="276">
        <v>-16.389154776908622</v>
      </c>
      <c r="F423" s="276">
        <v>-1.9633387378840095</v>
      </c>
      <c r="G423" s="276">
        <v>11.620558791292545</v>
      </c>
      <c r="H423" s="276">
        <v>12.326294469504909</v>
      </c>
      <c r="I423" s="276">
        <v>9.7979722297391767</v>
      </c>
      <c r="J423" s="276">
        <v>9.6507954325279695</v>
      </c>
      <c r="K423" s="276">
        <v>14.972312454156354</v>
      </c>
      <c r="L423" s="276">
        <v>13.036051562266207</v>
      </c>
      <c r="M423" s="276">
        <v>11.19967362975509</v>
      </c>
      <c r="N423" s="276">
        <v>23.698498809726082</v>
      </c>
      <c r="O423" s="277" t="s">
        <v>237</v>
      </c>
      <c r="P423" s="277" t="s">
        <v>237</v>
      </c>
      <c r="Q423" s="276">
        <v>-12.497419280528003</v>
      </c>
      <c r="R423" s="276">
        <v>17.854761206940893</v>
      </c>
      <c r="S423" s="276">
        <v>-3.833818956919651</v>
      </c>
      <c r="T423" s="276">
        <v>-4.2487573772165481</v>
      </c>
      <c r="U423" s="276">
        <v>-6.0850159404888409</v>
      </c>
      <c r="V423" s="276">
        <v>-1.0273972602739687</v>
      </c>
      <c r="W423" s="276">
        <v>-4.9373346210457818</v>
      </c>
      <c r="X423" s="276">
        <v>25.521231931222413</v>
      </c>
      <c r="Y423" s="276">
        <v>-10.602777734478515</v>
      </c>
      <c r="Z423" s="276">
        <v>19.386211368057051</v>
      </c>
      <c r="AA423" s="276">
        <v>49.730015542132001</v>
      </c>
      <c r="AB423" s="277" t="s">
        <v>237</v>
      </c>
      <c r="AC423" s="276">
        <v>-1.9633387378840095</v>
      </c>
      <c r="AD423" s="276">
        <v>14.784484671087659</v>
      </c>
      <c r="AE423" s="276">
        <v>15.415804011398457</v>
      </c>
      <c r="AF423" s="276">
        <v>13.575203509323771</v>
      </c>
      <c r="AG423" s="276">
        <v>13.888686284114092</v>
      </c>
      <c r="AH423" s="276">
        <v>3.1638751729304508</v>
      </c>
      <c r="AI423" s="276">
        <v>11.293517009221807</v>
      </c>
      <c r="AJ423" s="276">
        <v>9.5299839882489401</v>
      </c>
      <c r="AK423" s="276">
        <v>11.074687859330792</v>
      </c>
      <c r="AL423" s="276">
        <v>13.033480379400553</v>
      </c>
      <c r="AM423" s="276">
        <v>32.898451067568601</v>
      </c>
      <c r="AN423" s="276">
        <v>10.401697353520632</v>
      </c>
      <c r="AO423" s="276">
        <v>45.821033543366994</v>
      </c>
      <c r="AP423" s="277" t="s">
        <v>237</v>
      </c>
      <c r="AQ423" s="276">
        <v>5.1216393493762444</v>
      </c>
      <c r="AR423" s="276">
        <v>32.380037059927588</v>
      </c>
      <c r="AS423" s="276">
        <v>-11.894773909488164</v>
      </c>
      <c r="AT423" s="276">
        <v>-60.367454068241472</v>
      </c>
      <c r="AU423" s="276">
        <v>-1.9633387378840095</v>
      </c>
      <c r="AV423" s="276">
        <v>16.40611029239648</v>
      </c>
      <c r="AW423" s="276">
        <v>16.615659916437206</v>
      </c>
      <c r="AX423" s="276">
        <v>14.749201554498683</v>
      </c>
      <c r="AY423" s="277" t="s">
        <v>237</v>
      </c>
      <c r="AZ423" s="277" t="s">
        <v>237</v>
      </c>
      <c r="BA423" s="277" t="s">
        <v>237</v>
      </c>
      <c r="BB423" s="277" t="s">
        <v>237</v>
      </c>
      <c r="BC423" s="276">
        <v>41.330672006556789</v>
      </c>
      <c r="BD423" s="276">
        <v>16.092057639222695</v>
      </c>
      <c r="BE423" s="276">
        <v>-34.17028164231504</v>
      </c>
      <c r="BF423" s="276">
        <v>-45.147033287763684</v>
      </c>
      <c r="BG423" s="276">
        <v>-38.287523259385992</v>
      </c>
      <c r="BH423" s="277" t="s">
        <v>237</v>
      </c>
      <c r="BI423" s="276">
        <v>-53.469130783673755</v>
      </c>
      <c r="BJ423" s="276">
        <v>13.153866827796406</v>
      </c>
      <c r="BK423" s="276">
        <v>-134.27568271961124</v>
      </c>
      <c r="BL423" s="276">
        <v>-79.731914320355671</v>
      </c>
      <c r="BM423" s="276">
        <v>-3.0820635910883682</v>
      </c>
      <c r="BN423" s="276">
        <v>14.501575998356675</v>
      </c>
      <c r="BO423" s="276">
        <v>24.859471739912308</v>
      </c>
      <c r="BP423" s="276">
        <v>10.2919274521449</v>
      </c>
      <c r="BQ423" s="276">
        <v>45.771381224841306</v>
      </c>
      <c r="BR423" s="277" t="s">
        <v>237</v>
      </c>
      <c r="BS423" s="276">
        <v>16.460950653819506</v>
      </c>
      <c r="BT423" s="277" t="s">
        <v>237</v>
      </c>
      <c r="BU423" s="277" t="s">
        <v>237</v>
      </c>
      <c r="BV423" s="277" t="s">
        <v>237</v>
      </c>
      <c r="BW423" s="277" t="s">
        <v>237</v>
      </c>
      <c r="BX423" s="276">
        <v>9.6765252647188333</v>
      </c>
      <c r="BY423" s="276">
        <v>16.247713988596843</v>
      </c>
      <c r="BZ423" s="276">
        <v>78.894767783656675</v>
      </c>
      <c r="CA423" s="276">
        <v>7.1912709843744365</v>
      </c>
      <c r="CB423" s="276">
        <v>-1.9663315189451407</v>
      </c>
      <c r="CC423" s="276">
        <v>-33.814057843213853</v>
      </c>
      <c r="CD423" s="276">
        <v>1.3008547165144437</v>
      </c>
      <c r="CE423" s="276">
        <v>10.916389059398213</v>
      </c>
      <c r="CF423" s="276">
        <v>20.26048721374293</v>
      </c>
      <c r="CG423" s="276">
        <v>15.592702039136114</v>
      </c>
      <c r="CH423" s="276">
        <v>-40.296237226061784</v>
      </c>
      <c r="CI423" s="276">
        <v>12.57869505905035</v>
      </c>
      <c r="CJ423" s="276">
        <v>-10.930781515229182</v>
      </c>
      <c r="CK423" s="276">
        <v>16.315750238024993</v>
      </c>
      <c r="CL423" s="276">
        <v>20.697929440260268</v>
      </c>
      <c r="CM423" s="276">
        <v>11.100573432752242</v>
      </c>
      <c r="CN423" s="276">
        <v>5.3984938505744076</v>
      </c>
      <c r="CO423" s="277" t="s">
        <v>237</v>
      </c>
      <c r="CP423" s="276">
        <v>-37.948989497837786</v>
      </c>
      <c r="CQ423" s="276">
        <v>6.989831835809766</v>
      </c>
      <c r="CR423" s="276">
        <v>-19.700489741179918</v>
      </c>
      <c r="CS423" s="276">
        <v>-26.344811159903269</v>
      </c>
      <c r="CT423" s="276">
        <v>-21.514801083410728</v>
      </c>
      <c r="CU423" s="276">
        <v>-24.346774036178662</v>
      </c>
      <c r="CV423" s="276">
        <v>-12.574687669744694</v>
      </c>
      <c r="CW423" s="276">
        <v>-119.79872181003454</v>
      </c>
      <c r="CX423" s="276">
        <v>-15.743118936816755</v>
      </c>
      <c r="CY423" s="276">
        <v>-15.020625414443236</v>
      </c>
      <c r="CZ423" s="276">
        <v>-16.735399940739075</v>
      </c>
      <c r="DA423" s="276">
        <v>-86.109918019010621</v>
      </c>
      <c r="DB423" s="276">
        <v>0.31688416205867298</v>
      </c>
      <c r="DC423" s="276">
        <v>-4.9528807742834919</v>
      </c>
      <c r="DD423" s="276">
        <v>9.5877451055095637</v>
      </c>
      <c r="DE423" s="276">
        <v>10.667313768651567</v>
      </c>
      <c r="DF423" s="276">
        <v>7.6530067219155855</v>
      </c>
      <c r="DG423" s="276">
        <v>7.2463627086996478</v>
      </c>
      <c r="DH423" s="276">
        <v>21.954928938553824</v>
      </c>
      <c r="DI423" s="276">
        <v>3.9981412831771834</v>
      </c>
      <c r="DJ423" s="276">
        <v>5.5159015034485401</v>
      </c>
      <c r="DK423" s="276">
        <v>20.000077046351073</v>
      </c>
      <c r="DL423" s="276">
        <v>7.601680155721759</v>
      </c>
      <c r="DM423" s="276">
        <v>2.2054693594479571</v>
      </c>
      <c r="DN423" s="276">
        <v>3.8736636310270609</v>
      </c>
      <c r="DO423" s="276">
        <v>20.025828770445337</v>
      </c>
      <c r="DP423" s="276"/>
      <c r="DQ423" s="277" t="s">
        <v>237</v>
      </c>
      <c r="DR423" s="276">
        <v>-46.492367651835018</v>
      </c>
      <c r="DS423" s="276">
        <v>-62.599452904775397</v>
      </c>
      <c r="DT423" s="276">
        <v>-54.142741080403745</v>
      </c>
      <c r="DU423" s="276">
        <v>-95.253473068486485</v>
      </c>
      <c r="DV423" s="276">
        <v>74.098124098124089</v>
      </c>
      <c r="DW423" s="276">
        <v>-61.341473521368009</v>
      </c>
      <c r="DX423" s="277" t="s">
        <v>237</v>
      </c>
      <c r="DY423" s="277" t="s">
        <v>237</v>
      </c>
      <c r="DZ423" s="277" t="s">
        <v>237</v>
      </c>
      <c r="EA423" s="276">
        <v>-19.075468457637683</v>
      </c>
      <c r="EB423" s="277" t="s">
        <v>237</v>
      </c>
      <c r="EC423" s="277"/>
      <c r="ED423" s="277" t="s">
        <v>237</v>
      </c>
      <c r="EE423" s="276">
        <v>-0.44028618602091402</v>
      </c>
      <c r="EF423" s="276">
        <v>3.218366364819401</v>
      </c>
      <c r="EG423" s="276">
        <v>1.0187194705239615</v>
      </c>
      <c r="EH423" s="276">
        <v>5.8371935943753375</v>
      </c>
      <c r="EI423" s="276">
        <v>5.234246929196452</v>
      </c>
      <c r="EJ423" s="276">
        <v>30.26220856605163</v>
      </c>
      <c r="EK423" s="276">
        <v>1.5907931402047637</v>
      </c>
      <c r="EL423" s="276">
        <v>-11.366266844159599</v>
      </c>
      <c r="EM423" s="276">
        <v>24.584354905861129</v>
      </c>
      <c r="EN423" s="276">
        <v>24.992668154287532</v>
      </c>
      <c r="EO423" s="276">
        <v>12.449076267171957</v>
      </c>
      <c r="EP423" s="276">
        <v>14.921125787508439</v>
      </c>
      <c r="EQ423" s="276">
        <v>13.838504741736479</v>
      </c>
      <c r="ER423" s="276">
        <v>16.42004726463292</v>
      </c>
      <c r="ES423" s="276">
        <v>16.060047724046282</v>
      </c>
      <c r="ET423" s="276">
        <v>29.872084273890145</v>
      </c>
      <c r="EU423" s="276">
        <v>13.845390383767089</v>
      </c>
      <c r="EV423" s="276">
        <v>35.05232495414824</v>
      </c>
      <c r="EW423" s="276">
        <v>-8.3229953761136759</v>
      </c>
      <c r="EX423" s="276">
        <v>-8.8282874971111642</v>
      </c>
      <c r="EY423" s="276">
        <v>12.20657276995305</v>
      </c>
      <c r="EZ423" s="276">
        <v>1.9958060765856156</v>
      </c>
      <c r="FA423" s="276">
        <v>0.66108127653030657</v>
      </c>
      <c r="FB423" s="276">
        <v>3.7743189683669738</v>
      </c>
      <c r="FC423" s="276">
        <v>3.4184436654831933</v>
      </c>
      <c r="FD423" s="276">
        <v>16.677305960558005</v>
      </c>
      <c r="FE423" s="276">
        <v>3.5833057379231428</v>
      </c>
      <c r="FF423" s="276">
        <v>1.3404997193337196</v>
      </c>
      <c r="FG423" s="276">
        <v>6.5518021577914034</v>
      </c>
      <c r="FH423" s="276">
        <v>5.1564494476896643</v>
      </c>
      <c r="FI423" s="276">
        <v>56.849864756412913</v>
      </c>
      <c r="FJ423" s="276">
        <v>13.857737923257702</v>
      </c>
      <c r="FK423" s="276">
        <v>92.99470175020835</v>
      </c>
      <c r="FL423" s="276">
        <v>6.0713886771090184</v>
      </c>
      <c r="FM423" s="276">
        <v>6.0713886771090184</v>
      </c>
      <c r="FN423" s="277"/>
      <c r="FO423" s="277"/>
      <c r="FP423" s="277" t="s">
        <v>237</v>
      </c>
      <c r="FQ423" s="276">
        <v>-66.13683483068418</v>
      </c>
      <c r="FR423" s="276">
        <v>8.7755193889442289</v>
      </c>
      <c r="FS423" s="276">
        <v>-15.739984565704404</v>
      </c>
      <c r="FT423" s="276">
        <v>8.5564815203186182</v>
      </c>
      <c r="FU423" s="277" t="s">
        <v>237</v>
      </c>
      <c r="FV423" s="277" t="s">
        <v>237</v>
      </c>
      <c r="FW423" s="277" t="s">
        <v>237</v>
      </c>
      <c r="FX423" s="276">
        <v>9.3879137809390851</v>
      </c>
      <c r="FY423" s="276">
        <v>5.5596566824099272</v>
      </c>
      <c r="FZ423" s="276"/>
      <c r="GA423" s="276"/>
      <c r="GB423" s="277" t="s">
        <v>237</v>
      </c>
      <c r="GC423" s="276">
        <v>10.966283176628014</v>
      </c>
      <c r="GD423" s="276">
        <v>44.420582318164442</v>
      </c>
      <c r="GE423" s="277" t="s">
        <v>237</v>
      </c>
      <c r="GF423" s="276">
        <v>-3.964451952296578</v>
      </c>
      <c r="GG423" s="276">
        <v>9.7663661458386581</v>
      </c>
      <c r="GH423" s="276">
        <v>22.264276967605475</v>
      </c>
      <c r="GI423" s="276">
        <v>-38.412753251240041</v>
      </c>
      <c r="GJ423" s="276">
        <v>11.776892622551001</v>
      </c>
    </row>
    <row r="424" spans="1:192">
      <c r="A424" s="274"/>
      <c r="B424" s="275" t="s">
        <v>248</v>
      </c>
      <c r="C424" s="275" t="s">
        <v>248</v>
      </c>
      <c r="D424" s="276">
        <v>12.928282201566608</v>
      </c>
      <c r="E424" s="276">
        <v>-17.474779699396482</v>
      </c>
      <c r="F424" s="276">
        <v>-5.7585478987862171</v>
      </c>
      <c r="G424" s="276">
        <v>11.872300939544118</v>
      </c>
      <c r="H424" s="276">
        <v>12.406427626128988</v>
      </c>
      <c r="I424" s="276">
        <v>10.461136967854262</v>
      </c>
      <c r="J424" s="276">
        <v>10.51924617463567</v>
      </c>
      <c r="K424" s="276">
        <v>8.5127325728539542</v>
      </c>
      <c r="L424" s="276">
        <v>14.589038132804534</v>
      </c>
      <c r="M424" s="276">
        <v>9.0085095122649363</v>
      </c>
      <c r="N424" s="276">
        <v>38.284557253831011</v>
      </c>
      <c r="O424" s="277" t="s">
        <v>237</v>
      </c>
      <c r="P424" s="277" t="s">
        <v>237</v>
      </c>
      <c r="Q424" s="276">
        <v>37.052729878277468</v>
      </c>
      <c r="R424" s="276">
        <v>27.897828747359878</v>
      </c>
      <c r="S424" s="276">
        <v>-8.7067564386270515</v>
      </c>
      <c r="T424" s="276">
        <v>-8.2970758700796754</v>
      </c>
      <c r="U424" s="276">
        <v>-65.220483641536262</v>
      </c>
      <c r="V424" s="276">
        <v>-8.4170879175339532</v>
      </c>
      <c r="W424" s="276">
        <v>-4.7961594298674219</v>
      </c>
      <c r="X424" s="276">
        <v>-10.203013511826448</v>
      </c>
      <c r="Y424" s="276">
        <v>-2.2756206985648153</v>
      </c>
      <c r="Z424" s="276">
        <v>-52.65080428954424</v>
      </c>
      <c r="AA424" s="276">
        <v>-104.78102887741446</v>
      </c>
      <c r="AB424" s="277" t="s">
        <v>237</v>
      </c>
      <c r="AC424" s="276">
        <v>-5.7585478987862171</v>
      </c>
      <c r="AD424" s="276">
        <v>15.603772775976413</v>
      </c>
      <c r="AE424" s="276">
        <v>17.183612519406985</v>
      </c>
      <c r="AF424" s="276">
        <v>12.528575466133148</v>
      </c>
      <c r="AG424" s="276">
        <v>12.133341840272639</v>
      </c>
      <c r="AH424" s="276">
        <v>27.019606388110013</v>
      </c>
      <c r="AI424" s="276">
        <v>8.9449600606537274</v>
      </c>
      <c r="AJ424" s="276">
        <v>15.058707049044871</v>
      </c>
      <c r="AK424" s="276">
        <v>6.1355076019393309</v>
      </c>
      <c r="AL424" s="276">
        <v>9.210659415173529</v>
      </c>
      <c r="AM424" s="276">
        <v>45.076480194447619</v>
      </c>
      <c r="AN424" s="276">
        <v>27.602835920556696</v>
      </c>
      <c r="AO424" s="276">
        <v>68.214426502990861</v>
      </c>
      <c r="AP424" s="277" t="s">
        <v>237</v>
      </c>
      <c r="AQ424" s="276">
        <v>3.826781154196691</v>
      </c>
      <c r="AR424" s="276">
        <v>95.011954385148016</v>
      </c>
      <c r="AS424" s="276">
        <v>35.804204432975574</v>
      </c>
      <c r="AT424" s="276">
        <v>-53.311258278145701</v>
      </c>
      <c r="AU424" s="276">
        <v>-5.7585478987862171</v>
      </c>
      <c r="AV424" s="276">
        <v>18.135927934384526</v>
      </c>
      <c r="AW424" s="276">
        <v>5.0522146250065427</v>
      </c>
      <c r="AX424" s="276">
        <v>34.885960615422427</v>
      </c>
      <c r="AY424" s="277" t="s">
        <v>237</v>
      </c>
      <c r="AZ424" s="277" t="s">
        <v>237</v>
      </c>
      <c r="BA424" s="277" t="s">
        <v>237</v>
      </c>
      <c r="BB424" s="277" t="s">
        <v>237</v>
      </c>
      <c r="BC424" s="276">
        <v>-1.8695427079693479</v>
      </c>
      <c r="BD424" s="276">
        <v>33.289541220151008</v>
      </c>
      <c r="BE424" s="276">
        <v>0.42557870724450841</v>
      </c>
      <c r="BF424" s="276">
        <v>5.1666098434719041</v>
      </c>
      <c r="BG424" s="276">
        <v>-0.68982235856113538</v>
      </c>
      <c r="BH424" s="276">
        <v>66.552675824001525</v>
      </c>
      <c r="BI424" s="276">
        <v>3.8788938915351592</v>
      </c>
      <c r="BJ424" s="276">
        <v>-21.388218252052141</v>
      </c>
      <c r="BK424" s="276">
        <v>43.162778270321468</v>
      </c>
      <c r="BL424" s="276">
        <v>48.391610138789993</v>
      </c>
      <c r="BM424" s="276">
        <v>-21.114949768073537</v>
      </c>
      <c r="BN424" s="276">
        <v>20.467785051022638</v>
      </c>
      <c r="BO424" s="276">
        <v>38.3966939654239</v>
      </c>
      <c r="BP424" s="276">
        <v>27.772245648626047</v>
      </c>
      <c r="BQ424" s="276">
        <v>68.231782092250967</v>
      </c>
      <c r="BR424" s="277" t="s">
        <v>237</v>
      </c>
      <c r="BS424" s="276">
        <v>5.2390364170562469</v>
      </c>
      <c r="BT424" s="277" t="s">
        <v>237</v>
      </c>
      <c r="BU424" s="277" t="s">
        <v>237</v>
      </c>
      <c r="BV424" s="277" t="s">
        <v>237</v>
      </c>
      <c r="BW424" s="277" t="s">
        <v>237</v>
      </c>
      <c r="BX424" s="276">
        <v>44.177935658011606</v>
      </c>
      <c r="BY424" s="276">
        <v>24.337687910008828</v>
      </c>
      <c r="BZ424" s="276">
        <v>81.615598885793872</v>
      </c>
      <c r="CA424" s="276">
        <v>43.870027220485937</v>
      </c>
      <c r="CB424" s="276">
        <v>-16.151078843583981</v>
      </c>
      <c r="CC424" s="276">
        <v>-5.7390724057390798</v>
      </c>
      <c r="CD424" s="276">
        <v>-17.59924447043317</v>
      </c>
      <c r="CE424" s="276">
        <v>62.037587168665603</v>
      </c>
      <c r="CF424" s="276">
        <v>46.387262084702691</v>
      </c>
      <c r="CG424" s="276">
        <v>1.2031796502384711</v>
      </c>
      <c r="CH424" s="277" t="s">
        <v>237</v>
      </c>
      <c r="CI424" s="276">
        <v>9.3042735418828286</v>
      </c>
      <c r="CJ424" s="276">
        <v>8.3951583128675722</v>
      </c>
      <c r="CK424" s="276">
        <v>9.4149345440364467</v>
      </c>
      <c r="CL424" s="276">
        <v>10.569247125326962</v>
      </c>
      <c r="CM424" s="276">
        <v>7.7581109277331759</v>
      </c>
      <c r="CN424" s="276">
        <v>8.0042646488230158</v>
      </c>
      <c r="CO424" s="277" t="s">
        <v>237</v>
      </c>
      <c r="CP424" s="276">
        <v>-24.721132941869687</v>
      </c>
      <c r="CQ424" s="276">
        <v>7.8515755625896881</v>
      </c>
      <c r="CR424" s="276">
        <v>-24.804936885473548</v>
      </c>
      <c r="CS424" s="276">
        <v>-31.60730104267682</v>
      </c>
      <c r="CT424" s="276">
        <v>-32.001826323331521</v>
      </c>
      <c r="CU424" s="276">
        <v>-4.9014735806912304</v>
      </c>
      <c r="CV424" s="276">
        <v>-49.457177322074806</v>
      </c>
      <c r="CW424" s="276">
        <v>-42.033550984395198</v>
      </c>
      <c r="CX424" s="276">
        <v>-20.53053866124468</v>
      </c>
      <c r="CY424" s="276">
        <v>-11.377339300336587</v>
      </c>
      <c r="CZ424" s="276">
        <v>-46.984669400250517</v>
      </c>
      <c r="DA424" s="277" t="s">
        <v>237</v>
      </c>
      <c r="DB424" s="276">
        <v>1.0289493863444856</v>
      </c>
      <c r="DC424" s="276">
        <v>-0.89567680276909645</v>
      </c>
      <c r="DD424" s="276">
        <v>2.1937117060895472</v>
      </c>
      <c r="DE424" s="276">
        <v>-4.718692772604145</v>
      </c>
      <c r="DF424" s="276">
        <v>14.92857611670386</v>
      </c>
      <c r="DG424" s="276">
        <v>15.12384171287038</v>
      </c>
      <c r="DH424" s="276">
        <v>8.889243139032672</v>
      </c>
      <c r="DI424" s="276">
        <v>6.0610237758608703</v>
      </c>
      <c r="DJ424" s="276">
        <v>-0.69536975755633457</v>
      </c>
      <c r="DK424" s="276">
        <v>-3.0873095110448965</v>
      </c>
      <c r="DL424" s="276">
        <v>1.0330381795677366</v>
      </c>
      <c r="DM424" s="276">
        <v>3.7323725915487063</v>
      </c>
      <c r="DN424" s="276">
        <v>12.036362900942441</v>
      </c>
      <c r="DO424" s="276">
        <v>3.8201216573205179</v>
      </c>
      <c r="DP424" s="276"/>
      <c r="DQ424" s="277" t="s">
        <v>237</v>
      </c>
      <c r="DR424" s="276">
        <v>-12.83763277693475</v>
      </c>
      <c r="DS424" s="276">
        <v>8.4742763500396183</v>
      </c>
      <c r="DT424" s="276">
        <v>24.824012864034302</v>
      </c>
      <c r="DU424" s="276">
        <v>51.54314245592137</v>
      </c>
      <c r="DV424" s="276">
        <v>-9.4707520891364982</v>
      </c>
      <c r="DW424" s="276">
        <v>-153.56482432710089</v>
      </c>
      <c r="DX424" s="277" t="s">
        <v>237</v>
      </c>
      <c r="DY424" s="277" t="s">
        <v>237</v>
      </c>
      <c r="DZ424" s="277" t="s">
        <v>237</v>
      </c>
      <c r="EA424" s="276">
        <v>21.067014848328419</v>
      </c>
      <c r="EB424" s="276">
        <v>98.633176698739462</v>
      </c>
      <c r="EC424" s="276"/>
      <c r="ED424" s="277" t="s">
        <v>237</v>
      </c>
      <c r="EE424" s="276">
        <v>-119.78082191780823</v>
      </c>
      <c r="EF424" s="276">
        <v>6.3657066387216972</v>
      </c>
      <c r="EG424" s="276">
        <v>15.897116331302847</v>
      </c>
      <c r="EH424" s="276">
        <v>-4.4654430777340437</v>
      </c>
      <c r="EI424" s="276">
        <v>-3.5954610957830067</v>
      </c>
      <c r="EJ424" s="276">
        <v>-32.936583249735641</v>
      </c>
      <c r="EK424" s="276">
        <v>2.259764614234963</v>
      </c>
      <c r="EL424" s="276">
        <v>-2.0897301663862766</v>
      </c>
      <c r="EM424" s="276">
        <v>7.7510514368605694</v>
      </c>
      <c r="EN424" s="276">
        <v>7.9259988472387368</v>
      </c>
      <c r="EO424" s="276">
        <v>1.9715224534501643</v>
      </c>
      <c r="EP424" s="276">
        <v>2.4690827894194354</v>
      </c>
      <c r="EQ424" s="276">
        <v>6.3005499838240109</v>
      </c>
      <c r="ER424" s="276">
        <v>-2.7180687982210872</v>
      </c>
      <c r="ES424" s="276">
        <v>-2.5851898119231072</v>
      </c>
      <c r="ET424" s="276">
        <v>-7.1552723059096142</v>
      </c>
      <c r="EU424" s="276">
        <v>0.88632731147382116</v>
      </c>
      <c r="EV424" s="276">
        <v>2.3006870107045732</v>
      </c>
      <c r="EW424" s="276">
        <v>-1.2916717923483876</v>
      </c>
      <c r="EX424" s="276">
        <v>-1.1026615969581717</v>
      </c>
      <c r="EY424" s="276">
        <v>-7.5313807531380714</v>
      </c>
      <c r="EZ424" s="276">
        <v>2.8920616928604872</v>
      </c>
      <c r="FA424" s="276">
        <v>8.9188619305241286</v>
      </c>
      <c r="FB424" s="276">
        <v>-4.8976930355182624</v>
      </c>
      <c r="FC424" s="276">
        <v>-4.6121791255913385</v>
      </c>
      <c r="FD424" s="276">
        <v>-14.073225709971334</v>
      </c>
      <c r="FE424" s="276">
        <v>12.763210442344892</v>
      </c>
      <c r="FF424" s="276">
        <v>28.88026058772212</v>
      </c>
      <c r="FG424" s="276">
        <v>-7.5254145907479977</v>
      </c>
      <c r="FH424" s="276">
        <v>-5.2603493804192381</v>
      </c>
      <c r="FI424" s="276">
        <v>-62.264776668119538</v>
      </c>
      <c r="FJ424" s="276">
        <v>9.4648920486358978</v>
      </c>
      <c r="FK424" s="277" t="s">
        <v>237</v>
      </c>
      <c r="FL424" s="276">
        <v>0.56755093235398624</v>
      </c>
      <c r="FM424" s="276">
        <v>0.56755093235398624</v>
      </c>
      <c r="FN424" s="277"/>
      <c r="FO424" s="277"/>
      <c r="FP424" s="277" t="s">
        <v>237</v>
      </c>
      <c r="FQ424" s="277" t="s">
        <v>237</v>
      </c>
      <c r="FR424" s="276">
        <v>13.413614755864646</v>
      </c>
      <c r="FS424" s="276">
        <v>-46.176453452617537</v>
      </c>
      <c r="FT424" s="276">
        <v>12.315012165561033</v>
      </c>
      <c r="FU424" s="277" t="s">
        <v>237</v>
      </c>
      <c r="FV424" s="277" t="s">
        <v>237</v>
      </c>
      <c r="FW424" s="277" t="s">
        <v>237</v>
      </c>
      <c r="FX424" s="276">
        <v>7.8372637177970699</v>
      </c>
      <c r="FY424" s="276">
        <v>7.5170000346056591</v>
      </c>
      <c r="FZ424" s="276"/>
      <c r="GA424" s="276"/>
      <c r="GB424" s="277" t="s">
        <v>237</v>
      </c>
      <c r="GC424" s="276">
        <v>31.157464558947535</v>
      </c>
      <c r="GD424" s="276">
        <v>49.444354234502171</v>
      </c>
      <c r="GE424" s="277" t="s">
        <v>237</v>
      </c>
      <c r="GF424" s="276">
        <v>18.884028266389311</v>
      </c>
      <c r="GG424" s="276">
        <v>8.7560121702718625</v>
      </c>
      <c r="GH424" s="276">
        <v>48.679127482733051</v>
      </c>
      <c r="GI424" s="276">
        <v>-49.75758304283368</v>
      </c>
      <c r="GJ424" s="276">
        <v>6.2749512347439858</v>
      </c>
    </row>
    <row r="425" spans="1:192">
      <c r="A425" s="274"/>
      <c r="B425" s="275" t="s">
        <v>249</v>
      </c>
      <c r="C425" s="275" t="s">
        <v>249</v>
      </c>
      <c r="D425" s="276">
        <v>-8.97858831749123</v>
      </c>
      <c r="E425" s="276">
        <v>-9.6977284905477283</v>
      </c>
      <c r="F425" s="276">
        <v>-0.30071238633006031</v>
      </c>
      <c r="G425" s="276">
        <v>-13.565504061446699</v>
      </c>
      <c r="H425" s="276">
        <v>-22.005571262972285</v>
      </c>
      <c r="I425" s="276">
        <v>9.1258673353646707</v>
      </c>
      <c r="J425" s="276">
        <v>9.0135422477678233</v>
      </c>
      <c r="K425" s="276">
        <v>12.961774900585024</v>
      </c>
      <c r="L425" s="276">
        <v>1.0058902972974351</v>
      </c>
      <c r="M425" s="276">
        <v>2.3229694444595421</v>
      </c>
      <c r="N425" s="276">
        <v>-13.746745158443893</v>
      </c>
      <c r="O425" s="277" t="s">
        <v>237</v>
      </c>
      <c r="P425" s="277" t="s">
        <v>237</v>
      </c>
      <c r="Q425" s="276">
        <v>-25.832646219363028</v>
      </c>
      <c r="R425" s="276">
        <v>10.305351275086128</v>
      </c>
      <c r="S425" s="276">
        <v>-18.370721217756522</v>
      </c>
      <c r="T425" s="276">
        <v>-18.537332581794363</v>
      </c>
      <c r="U425" s="276">
        <v>-62.786606278509055</v>
      </c>
      <c r="V425" s="277" t="s">
        <v>237</v>
      </c>
      <c r="W425" s="276">
        <v>-12.777620321667742</v>
      </c>
      <c r="X425" s="276">
        <v>-8.7703857331456838</v>
      </c>
      <c r="Y425" s="276">
        <v>-20.50030086032271</v>
      </c>
      <c r="Z425" s="276">
        <v>25.217887642422784</v>
      </c>
      <c r="AA425" s="276">
        <v>-19.622400697297966</v>
      </c>
      <c r="AB425" s="277" t="s">
        <v>237</v>
      </c>
      <c r="AC425" s="276">
        <v>-0.30071238633006031</v>
      </c>
      <c r="AD425" s="276">
        <v>-1.7532670508574761</v>
      </c>
      <c r="AE425" s="276">
        <v>-10.720058224246852</v>
      </c>
      <c r="AF425" s="276">
        <v>16.422848204279422</v>
      </c>
      <c r="AG425" s="276">
        <v>16.348535010912755</v>
      </c>
      <c r="AH425" s="276">
        <v>18.828181834620676</v>
      </c>
      <c r="AI425" s="276">
        <v>2.3089088790454815</v>
      </c>
      <c r="AJ425" s="276">
        <v>5.7860025809440589</v>
      </c>
      <c r="AK425" s="276">
        <v>3.5829197563275348</v>
      </c>
      <c r="AL425" s="276">
        <v>-3.0020787764706096</v>
      </c>
      <c r="AM425" s="276">
        <v>28.284311805773839</v>
      </c>
      <c r="AN425" s="276">
        <v>11.976151489612889</v>
      </c>
      <c r="AO425" s="276">
        <v>6.9446472825170176</v>
      </c>
      <c r="AP425" s="277" t="s">
        <v>237</v>
      </c>
      <c r="AQ425" s="276">
        <v>-15.863399902883714</v>
      </c>
      <c r="AR425" s="277" t="s">
        <v>237</v>
      </c>
      <c r="AS425" s="276">
        <v>-25.887957904217878</v>
      </c>
      <c r="AT425" s="276">
        <v>-19.148936170212757</v>
      </c>
      <c r="AU425" s="276">
        <v>-0.30071238633006031</v>
      </c>
      <c r="AV425" s="276">
        <v>-31.410333342212773</v>
      </c>
      <c r="AW425" s="276">
        <v>-41.245184412248946</v>
      </c>
      <c r="AX425" s="276">
        <v>-32.504332302395497</v>
      </c>
      <c r="AY425" s="277" t="s">
        <v>237</v>
      </c>
      <c r="AZ425" s="277" t="s">
        <v>237</v>
      </c>
      <c r="BA425" s="277" t="s">
        <v>237</v>
      </c>
      <c r="BB425" s="277" t="s">
        <v>237</v>
      </c>
      <c r="BC425" s="276">
        <v>5.6576900383380933</v>
      </c>
      <c r="BD425" s="276">
        <v>15.878464551148555</v>
      </c>
      <c r="BE425" s="276">
        <v>-42.554670285284082</v>
      </c>
      <c r="BF425" s="276">
        <v>-56.474643348571398</v>
      </c>
      <c r="BG425" s="276">
        <v>-56.160953321889522</v>
      </c>
      <c r="BH425" s="276">
        <v>-66.372965590500385</v>
      </c>
      <c r="BI425" s="276">
        <v>-60.704754157109001</v>
      </c>
      <c r="BJ425" s="276">
        <v>-15.933093339167463</v>
      </c>
      <c r="BK425" s="276">
        <v>-104.47614489136566</v>
      </c>
      <c r="BL425" s="276">
        <v>-6.387974438419838</v>
      </c>
      <c r="BM425" s="276">
        <v>-3.3541313246205982</v>
      </c>
      <c r="BN425" s="276">
        <v>-39.090875179879056</v>
      </c>
      <c r="BO425" s="276">
        <v>26.006522954322737</v>
      </c>
      <c r="BP425" s="276">
        <v>11.57913437237004</v>
      </c>
      <c r="BQ425" s="276">
        <v>6.9185686123755206</v>
      </c>
      <c r="BR425" s="277" t="s">
        <v>237</v>
      </c>
      <c r="BS425" s="276">
        <v>-41.318679756150573</v>
      </c>
      <c r="BT425" s="277" t="s">
        <v>237</v>
      </c>
      <c r="BU425" s="277" t="s">
        <v>237</v>
      </c>
      <c r="BV425" s="277" t="s">
        <v>237</v>
      </c>
      <c r="BW425" s="277" t="s">
        <v>237</v>
      </c>
      <c r="BX425" s="276">
        <v>-49.32996327178197</v>
      </c>
      <c r="BY425" s="276">
        <v>-0.95969865214231664</v>
      </c>
      <c r="BZ425" s="277" t="s">
        <v>237</v>
      </c>
      <c r="CA425" s="276">
        <v>-3.2573003211947942</v>
      </c>
      <c r="CB425" s="276">
        <v>-4.2899535410685221</v>
      </c>
      <c r="CC425" s="276">
        <v>-29.058851372672763</v>
      </c>
      <c r="CD425" s="276">
        <v>-1.1923812305027148</v>
      </c>
      <c r="CE425" s="276">
        <v>-6.8031171014170289</v>
      </c>
      <c r="CF425" s="276">
        <v>6.0930209549230767</v>
      </c>
      <c r="CG425" s="276">
        <v>-36.370034308981914</v>
      </c>
      <c r="CH425" s="276">
        <v>-56.304216665549369</v>
      </c>
      <c r="CI425" s="276">
        <v>-8.1927055946117413</v>
      </c>
      <c r="CJ425" s="276">
        <v>-1.3098863617701588</v>
      </c>
      <c r="CK425" s="276">
        <v>-9.0227002746511697</v>
      </c>
      <c r="CL425" s="276">
        <v>-5.480631377143208</v>
      </c>
      <c r="CM425" s="276">
        <v>-16.038786743329538</v>
      </c>
      <c r="CN425" s="276">
        <v>7.1004863577837947</v>
      </c>
      <c r="CO425" s="276">
        <v>-99.918517009574259</v>
      </c>
      <c r="CP425" s="276">
        <v>72.553306342780033</v>
      </c>
      <c r="CQ425" s="276">
        <v>6.9706864953954542</v>
      </c>
      <c r="CR425" s="276">
        <v>-2.2079000549428618</v>
      </c>
      <c r="CS425" s="276">
        <v>-12.499068504109998</v>
      </c>
      <c r="CT425" s="276">
        <v>-16.136411796203639</v>
      </c>
      <c r="CU425" s="276">
        <v>31.370603263570644</v>
      </c>
      <c r="CV425" s="276">
        <v>-63.744955609362385</v>
      </c>
      <c r="CW425" s="276">
        <v>5.3410737275914535</v>
      </c>
      <c r="CX425" s="276">
        <v>9.3745765411254904</v>
      </c>
      <c r="CY425" s="276">
        <v>2.3009774191619239</v>
      </c>
      <c r="CZ425" s="276">
        <v>25.291753408463322</v>
      </c>
      <c r="DA425" s="276">
        <v>64.687888321920525</v>
      </c>
      <c r="DB425" s="276">
        <v>8.6820832051779178</v>
      </c>
      <c r="DC425" s="276">
        <v>11.400232929083218</v>
      </c>
      <c r="DD425" s="276">
        <v>-14.019367991516521</v>
      </c>
      <c r="DE425" s="276">
        <v>-26.143141038223238</v>
      </c>
      <c r="DF425" s="276">
        <v>4.4981451314128797</v>
      </c>
      <c r="DG425" s="276">
        <v>4.4312095163139871</v>
      </c>
      <c r="DH425" s="276">
        <v>6.686918503133076</v>
      </c>
      <c r="DI425" s="276">
        <v>-1.24490364699454</v>
      </c>
      <c r="DJ425" s="276">
        <v>-3.947113992510757</v>
      </c>
      <c r="DK425" s="276">
        <v>0.39949119529354332</v>
      </c>
      <c r="DL425" s="276">
        <v>-5.5882768694341047</v>
      </c>
      <c r="DM425" s="276">
        <v>-4.9415877515765203</v>
      </c>
      <c r="DN425" s="276">
        <v>3.0017221576028983</v>
      </c>
      <c r="DO425" s="276">
        <v>11.382694859854723</v>
      </c>
      <c r="DP425" s="276"/>
      <c r="DQ425" s="277" t="s">
        <v>237</v>
      </c>
      <c r="DR425" s="276">
        <v>-46.16991643454039</v>
      </c>
      <c r="DS425" s="276">
        <v>9.6046669973016865</v>
      </c>
      <c r="DT425" s="276">
        <v>10.13641981176918</v>
      </c>
      <c r="DU425" s="276">
        <v>-16.557187017001542</v>
      </c>
      <c r="DV425" s="276">
        <v>30.534351145038165</v>
      </c>
      <c r="DW425" s="276">
        <v>-17.681576317424284</v>
      </c>
      <c r="DX425" s="276">
        <v>-2.8629856850715729</v>
      </c>
      <c r="DY425" s="276">
        <v>-70.280412089786438</v>
      </c>
      <c r="DZ425" s="276">
        <v>-37.019356869328035</v>
      </c>
      <c r="EA425" s="276">
        <v>50.183689170994427</v>
      </c>
      <c r="EB425" s="276">
        <v>69.713506139154163</v>
      </c>
      <c r="EC425" s="276"/>
      <c r="ED425" s="277" t="s">
        <v>237</v>
      </c>
      <c r="EE425" s="276">
        <v>42.183994016454754</v>
      </c>
      <c r="EF425" s="276">
        <v>-1.0941181578067893</v>
      </c>
      <c r="EG425" s="276">
        <v>-2.1612481118901608</v>
      </c>
      <c r="EH425" s="276">
        <v>0.37699767232997405</v>
      </c>
      <c r="EI425" s="276">
        <v>0.1221046190804846</v>
      </c>
      <c r="EJ425" s="276">
        <v>12.36824626757919</v>
      </c>
      <c r="EK425" s="276">
        <v>-3.3898504562704681</v>
      </c>
      <c r="EL425" s="276">
        <v>3.8309035565523861</v>
      </c>
      <c r="EM425" s="276">
        <v>-11.673554905659074</v>
      </c>
      <c r="EN425" s="276">
        <v>-11.687461600264664</v>
      </c>
      <c r="EO425" s="276">
        <v>-11.187308931669827</v>
      </c>
      <c r="EP425" s="276">
        <v>-0.47667937811675298</v>
      </c>
      <c r="EQ425" s="276">
        <v>-4.2655054752749404</v>
      </c>
      <c r="ER425" s="276">
        <v>5.1282717300016465</v>
      </c>
      <c r="ES425" s="276">
        <v>5.111673137890496</v>
      </c>
      <c r="ET425" s="276">
        <v>5.7098283931357203</v>
      </c>
      <c r="EU425" s="276">
        <v>-5.117618819011037</v>
      </c>
      <c r="EV425" s="276">
        <v>-16.999843823207868</v>
      </c>
      <c r="EW425" s="276">
        <v>13.845962113659033</v>
      </c>
      <c r="EX425" s="276">
        <v>13.789568114827626</v>
      </c>
      <c r="EY425" s="276">
        <v>15.837104072398192</v>
      </c>
      <c r="EZ425" s="276">
        <v>-5.2542637836556496</v>
      </c>
      <c r="FA425" s="276">
        <v>-6.8543706597432532</v>
      </c>
      <c r="FB425" s="276">
        <v>-2.8856294449943554</v>
      </c>
      <c r="FC425" s="276">
        <v>-2.9722502562325803</v>
      </c>
      <c r="FD425" s="276">
        <v>0.20459967230093951</v>
      </c>
      <c r="FE425" s="276">
        <v>3.8191598019898523</v>
      </c>
      <c r="FF425" s="276">
        <v>5.2921513732683154</v>
      </c>
      <c r="FG425" s="276">
        <v>1.2349287957612261</v>
      </c>
      <c r="FH425" s="276">
        <v>0.331988466897784</v>
      </c>
      <c r="FI425" s="276">
        <v>56.02008788449465</v>
      </c>
      <c r="FJ425" s="276">
        <v>11.438485117533661</v>
      </c>
      <c r="FK425" s="276">
        <v>-58.133115098511027</v>
      </c>
      <c r="FL425" s="276">
        <v>17.229133815840157</v>
      </c>
      <c r="FM425" s="276">
        <v>17.229133815840157</v>
      </c>
      <c r="FN425" s="277"/>
      <c r="FO425" s="277"/>
      <c r="FP425" s="277" t="s">
        <v>237</v>
      </c>
      <c r="FQ425" s="276">
        <v>32.133450395083408</v>
      </c>
      <c r="FR425" s="276">
        <v>-4.6459621025996203</v>
      </c>
      <c r="FS425" s="276">
        <v>15.319141398261356</v>
      </c>
      <c r="FT425" s="276">
        <v>-4.180169580100622</v>
      </c>
      <c r="FU425" s="277" t="s">
        <v>237</v>
      </c>
      <c r="FV425" s="277" t="s">
        <v>237</v>
      </c>
      <c r="FW425" s="277" t="s">
        <v>237</v>
      </c>
      <c r="FX425" s="276">
        <v>-8.9731264233393357</v>
      </c>
      <c r="FY425" s="276">
        <v>0.69609426810191011</v>
      </c>
      <c r="FZ425" s="276"/>
      <c r="GA425" s="276"/>
      <c r="GB425" s="277" t="s">
        <v>237</v>
      </c>
      <c r="GC425" s="276">
        <v>-10.865402816316601</v>
      </c>
      <c r="GD425" s="276">
        <v>-38.634080507206463</v>
      </c>
      <c r="GE425" s="277" t="s">
        <v>237</v>
      </c>
      <c r="GF425" s="276">
        <v>12.562721939169355</v>
      </c>
      <c r="GG425" s="276">
        <v>6.4046006759356588</v>
      </c>
      <c r="GH425" s="276">
        <v>-6.5263415743705435</v>
      </c>
      <c r="GI425" s="276">
        <v>43.655793922960378</v>
      </c>
      <c r="GJ425" s="276">
        <v>7.871487458811492</v>
      </c>
    </row>
    <row r="426" spans="1:192">
      <c r="A426" s="274"/>
      <c r="B426" s="275" t="s">
        <v>250</v>
      </c>
      <c r="C426" s="275" t="s">
        <v>250</v>
      </c>
      <c r="D426" s="276">
        <v>-9.784782929917526</v>
      </c>
      <c r="E426" s="276">
        <v>-13.088787384528251</v>
      </c>
      <c r="F426" s="276">
        <v>-62.282097104665404</v>
      </c>
      <c r="G426" s="276">
        <v>-16.967051912498754</v>
      </c>
      <c r="H426" s="276">
        <v>-26.718668724140855</v>
      </c>
      <c r="I426" s="276">
        <v>1.7711252138755507</v>
      </c>
      <c r="J426" s="276">
        <v>1.7371691506875926</v>
      </c>
      <c r="K426" s="276">
        <v>2.8901962219776793</v>
      </c>
      <c r="L426" s="276">
        <v>-7.3990346359912937</v>
      </c>
      <c r="M426" s="276">
        <v>-3.0521654781370322</v>
      </c>
      <c r="N426" s="276">
        <v>-26.845265441264157</v>
      </c>
      <c r="O426" s="277" t="s">
        <v>237</v>
      </c>
      <c r="P426" s="277" t="s">
        <v>237</v>
      </c>
      <c r="Q426" s="276">
        <v>-8.3455093653640358</v>
      </c>
      <c r="R426" s="276">
        <v>-14.433260074733829</v>
      </c>
      <c r="S426" s="276">
        <v>-7.9631311018319897</v>
      </c>
      <c r="T426" s="276">
        <v>-7.2888147882105239</v>
      </c>
      <c r="U426" s="276">
        <v>1.8112485125079618</v>
      </c>
      <c r="V426" s="276">
        <v>17.852304611979299</v>
      </c>
      <c r="W426" s="276">
        <v>-8.5256205599442083</v>
      </c>
      <c r="X426" s="276">
        <v>-23.600384553757412</v>
      </c>
      <c r="Y426" s="276">
        <v>-15.650682320652608</v>
      </c>
      <c r="Z426" s="277" t="s">
        <v>237</v>
      </c>
      <c r="AA426" s="276">
        <v>-19.986988484809043</v>
      </c>
      <c r="AB426" s="277" t="s">
        <v>237</v>
      </c>
      <c r="AC426" s="276">
        <v>-62.282097104665404</v>
      </c>
      <c r="AD426" s="276">
        <v>-10.490748508322213</v>
      </c>
      <c r="AE426" s="276">
        <v>-29.900635700160109</v>
      </c>
      <c r="AF426" s="276">
        <v>19.681154445812517</v>
      </c>
      <c r="AG426" s="276">
        <v>19.645575309346221</v>
      </c>
      <c r="AH426" s="276">
        <v>20.808731604305873</v>
      </c>
      <c r="AI426" s="276">
        <v>-3.0721449057136616</v>
      </c>
      <c r="AJ426" s="276">
        <v>7.8770065036338233</v>
      </c>
      <c r="AK426" s="276">
        <v>-4.7260653693388752</v>
      </c>
      <c r="AL426" s="276">
        <v>-12.987788563005958</v>
      </c>
      <c r="AM426" s="276">
        <v>-10.655283817558807</v>
      </c>
      <c r="AN426" s="276">
        <v>-3.1654696403320748</v>
      </c>
      <c r="AO426" s="276">
        <v>-50.827139622353883</v>
      </c>
      <c r="AP426" s="277" t="s">
        <v>237</v>
      </c>
      <c r="AQ426" s="276">
        <v>-19.077170154228995</v>
      </c>
      <c r="AR426" s="276">
        <v>-95.108597089456708</v>
      </c>
      <c r="AS426" s="276">
        <v>-31.721969030676156</v>
      </c>
      <c r="AT426" s="276">
        <v>-96.491228070175438</v>
      </c>
      <c r="AU426" s="276">
        <v>-62.282097104665404</v>
      </c>
      <c r="AV426" s="276">
        <v>-17.049904563034957</v>
      </c>
      <c r="AW426" s="276">
        <v>-3.6005105378558833</v>
      </c>
      <c r="AX426" s="276">
        <v>-35.072706560914256</v>
      </c>
      <c r="AY426" s="277" t="s">
        <v>237</v>
      </c>
      <c r="AZ426" s="277" t="s">
        <v>237</v>
      </c>
      <c r="BA426" s="277" t="s">
        <v>237</v>
      </c>
      <c r="BB426" s="277" t="s">
        <v>237</v>
      </c>
      <c r="BC426" s="276">
        <v>0.76787352671324294</v>
      </c>
      <c r="BD426" s="276">
        <v>-7.1493889153200865</v>
      </c>
      <c r="BE426" s="276">
        <v>-19.99661498872744</v>
      </c>
      <c r="BF426" s="276">
        <v>-21.290665770968353</v>
      </c>
      <c r="BG426" s="276">
        <v>-11.374957919821584</v>
      </c>
      <c r="BH426" s="277" t="s">
        <v>237</v>
      </c>
      <c r="BI426" s="276">
        <v>-1.3075837410613413</v>
      </c>
      <c r="BJ426" s="276">
        <v>-103.15631871988019</v>
      </c>
      <c r="BK426" s="276">
        <v>-89.133815150919716</v>
      </c>
      <c r="BL426" s="276">
        <v>23.505722281631826</v>
      </c>
      <c r="BM426" s="276">
        <v>-15.868054929584392</v>
      </c>
      <c r="BN426" s="276">
        <v>-26.053419305960201</v>
      </c>
      <c r="BO426" s="276">
        <v>-11.537659800548454</v>
      </c>
      <c r="BP426" s="276">
        <v>-6.013083745033164</v>
      </c>
      <c r="BQ426" s="276">
        <v>-50.819994376612676</v>
      </c>
      <c r="BR426" s="277" t="s">
        <v>237</v>
      </c>
      <c r="BS426" s="276">
        <v>-3.5159079750640081</v>
      </c>
      <c r="BT426" s="277" t="s">
        <v>237</v>
      </c>
      <c r="BU426" s="277" t="s">
        <v>237</v>
      </c>
      <c r="BV426" s="277" t="s">
        <v>237</v>
      </c>
      <c r="BW426" s="277" t="s">
        <v>237</v>
      </c>
      <c r="BX426" s="276">
        <v>-62.237277878507776</v>
      </c>
      <c r="BY426" s="276">
        <v>-56.758824468767976</v>
      </c>
      <c r="BZ426" s="276">
        <v>-52.305861350788454</v>
      </c>
      <c r="CA426" s="276">
        <v>7.6850932474244482</v>
      </c>
      <c r="CB426" s="276">
        <v>-15.615206809481013</v>
      </c>
      <c r="CC426" s="276">
        <v>-13.876952229591367</v>
      </c>
      <c r="CD426" s="276">
        <v>-15.89245462557813</v>
      </c>
      <c r="CE426" s="276">
        <v>3.5159403145536476</v>
      </c>
      <c r="CF426" s="276">
        <v>5.2840543822472021</v>
      </c>
      <c r="CG426" s="276">
        <v>-24.277616480022125</v>
      </c>
      <c r="CH426" s="276">
        <v>-7.5159939246099334</v>
      </c>
      <c r="CI426" s="276">
        <v>-12.634541679295747</v>
      </c>
      <c r="CJ426" s="276">
        <v>-32.429550260576775</v>
      </c>
      <c r="CK426" s="276">
        <v>-10.045105294830863</v>
      </c>
      <c r="CL426" s="276">
        <v>-9.6702922334878973</v>
      </c>
      <c r="CM426" s="276">
        <v>-15.212218465700881</v>
      </c>
      <c r="CN426" s="276">
        <v>30.247966266480887</v>
      </c>
      <c r="CO426" s="277" t="s">
        <v>237</v>
      </c>
      <c r="CP426" s="276">
        <v>-94.612942078178037</v>
      </c>
      <c r="CQ426" s="276">
        <v>32.825321688212533</v>
      </c>
      <c r="CR426" s="276">
        <v>-13.591260305209886</v>
      </c>
      <c r="CS426" s="276">
        <v>-6.7291565291072128</v>
      </c>
      <c r="CT426" s="276">
        <v>-5.3481221937739774</v>
      </c>
      <c r="CU426" s="276">
        <v>15.624076612688375</v>
      </c>
      <c r="CV426" s="276">
        <v>-82.738564668769698</v>
      </c>
      <c r="CW426" s="276">
        <v>-29.2129915695424</v>
      </c>
      <c r="CX426" s="276">
        <v>-29.287803651409995</v>
      </c>
      <c r="CY426" s="276">
        <v>-35.808622762072069</v>
      </c>
      <c r="CZ426" s="276">
        <v>-6.0188134701452389</v>
      </c>
      <c r="DA426" s="276">
        <v>42.406091598595395</v>
      </c>
      <c r="DB426" s="276">
        <v>29.624670277671513</v>
      </c>
      <c r="DC426" s="276">
        <v>32.705373025568484</v>
      </c>
      <c r="DD426" s="276">
        <v>-30.099752627976347</v>
      </c>
      <c r="DE426" s="276">
        <v>-36.708207700408416</v>
      </c>
      <c r="DF426" s="276">
        <v>-22.965851975368803</v>
      </c>
      <c r="DG426" s="276">
        <v>-22.985810499235598</v>
      </c>
      <c r="DH426" s="276">
        <v>-22.327013459273402</v>
      </c>
      <c r="DI426" s="276">
        <v>-0.60544240633471935</v>
      </c>
      <c r="DJ426" s="276">
        <v>-10.981399616996837</v>
      </c>
      <c r="DK426" s="276">
        <v>-2.8783529644659969</v>
      </c>
      <c r="DL426" s="276">
        <v>-8.1848580126765516</v>
      </c>
      <c r="DM426" s="276">
        <v>-2.2450572522040928</v>
      </c>
      <c r="DN426" s="276">
        <v>2.0644232686739472</v>
      </c>
      <c r="DO426" s="276">
        <v>7.0555306215418065</v>
      </c>
      <c r="DP426" s="276"/>
      <c r="DQ426" s="277" t="s">
        <v>237</v>
      </c>
      <c r="DR426" s="276">
        <v>-41.397153945666233</v>
      </c>
      <c r="DS426" s="276">
        <v>-31.149278852859943</v>
      </c>
      <c r="DT426" s="276">
        <v>9.1507762291396713</v>
      </c>
      <c r="DU426" s="276">
        <v>2.1658655174318993</v>
      </c>
      <c r="DV426" s="276">
        <v>27.472527472527474</v>
      </c>
      <c r="DW426" s="276">
        <v>-39.508368861066018</v>
      </c>
      <c r="DX426" s="276">
        <v>-27.956612655672185</v>
      </c>
      <c r="DY426" s="276">
        <v>-70.558538344418622</v>
      </c>
      <c r="DZ426" s="276">
        <v>-46.140888208269509</v>
      </c>
      <c r="EA426" s="276">
        <v>-74.806463445240254</v>
      </c>
      <c r="EB426" s="276">
        <v>-191.44144144144147</v>
      </c>
      <c r="EC426" s="276"/>
      <c r="ED426" s="277" t="s">
        <v>237</v>
      </c>
      <c r="EE426" s="276">
        <v>6.4683053040103458</v>
      </c>
      <c r="EF426" s="276">
        <v>-1.1289195935605358</v>
      </c>
      <c r="EG426" s="276">
        <v>-9.618929462378242</v>
      </c>
      <c r="EH426" s="276">
        <v>10.279210249605386</v>
      </c>
      <c r="EI426" s="276">
        <v>10.169249407142727</v>
      </c>
      <c r="EJ426" s="276">
        <v>14.888466282894729</v>
      </c>
      <c r="EK426" s="276">
        <v>-11.134712501107471</v>
      </c>
      <c r="EL426" s="276">
        <v>-11.711894154178482</v>
      </c>
      <c r="EM426" s="276">
        <v>-10.356334694514528</v>
      </c>
      <c r="EN426" s="276">
        <v>-10.39170932326522</v>
      </c>
      <c r="EO426" s="276">
        <v>-9.1264303656154055</v>
      </c>
      <c r="EP426" s="276">
        <v>-2.923601096174965</v>
      </c>
      <c r="EQ426" s="276">
        <v>-5.0687469050137226</v>
      </c>
      <c r="ER426" s="276">
        <v>-3.3767089441605024E-2</v>
      </c>
      <c r="ES426" s="276">
        <v>-7.0319913243864718E-2</v>
      </c>
      <c r="ET426" s="276">
        <v>1.2396694214876109</v>
      </c>
      <c r="EU426" s="276">
        <v>-7.9184375632462949</v>
      </c>
      <c r="EV426" s="276">
        <v>-6.6798381785680609</v>
      </c>
      <c r="EW426" s="276">
        <v>-9.3596059113300534</v>
      </c>
      <c r="EX426" s="276">
        <v>-9.3929496564928439</v>
      </c>
      <c r="EY426" s="276">
        <v>-8.2031250000000071</v>
      </c>
      <c r="EZ426" s="276">
        <v>-2.9618311256650491</v>
      </c>
      <c r="FA426" s="276">
        <v>-5.361737704174959</v>
      </c>
      <c r="FB426" s="276">
        <v>0.44556282071084619</v>
      </c>
      <c r="FC426" s="276">
        <v>0.38412335897753491</v>
      </c>
      <c r="FD426" s="276">
        <v>2.5679476752067285</v>
      </c>
      <c r="FE426" s="276">
        <v>1.5279579616862182</v>
      </c>
      <c r="FF426" s="276">
        <v>-13.936381657160766</v>
      </c>
      <c r="FG426" s="276">
        <v>29.746077427522771</v>
      </c>
      <c r="FH426" s="276">
        <v>29.399048247978534</v>
      </c>
      <c r="FI426" s="276">
        <v>43.286392532389165</v>
      </c>
      <c r="FJ426" s="276">
        <v>7.0210560092710113</v>
      </c>
      <c r="FK426" s="277" t="s">
        <v>237</v>
      </c>
      <c r="FL426" s="276">
        <v>12.201571268627287</v>
      </c>
      <c r="FM426" s="276">
        <v>12.201571268627287</v>
      </c>
      <c r="FN426" s="277"/>
      <c r="FO426" s="277"/>
      <c r="FP426" s="277" t="s">
        <v>237</v>
      </c>
      <c r="FQ426" s="276">
        <v>-63.389391979301401</v>
      </c>
      <c r="FR426" s="276">
        <v>-4.255388154750352</v>
      </c>
      <c r="FS426" s="276">
        <v>-9.4641166841860187</v>
      </c>
      <c r="FT426" s="276">
        <v>-4.7845237763876822</v>
      </c>
      <c r="FU426" s="277" t="s">
        <v>237</v>
      </c>
      <c r="FV426" s="277" t="s">
        <v>237</v>
      </c>
      <c r="FW426" s="277" t="s">
        <v>237</v>
      </c>
      <c r="FX426" s="276">
        <v>-15.805050924299982</v>
      </c>
      <c r="FY426" s="276">
        <v>-6.366442876149863</v>
      </c>
      <c r="FZ426" s="276"/>
      <c r="GA426" s="276"/>
      <c r="GB426" s="277" t="s">
        <v>237</v>
      </c>
      <c r="GC426" s="276">
        <v>3.9831439836920106</v>
      </c>
      <c r="GD426" s="276">
        <v>-1.9280888405684533</v>
      </c>
      <c r="GE426" s="277" t="s">
        <v>237</v>
      </c>
      <c r="GF426" s="276">
        <v>6.7020428457535743</v>
      </c>
      <c r="GG426" s="276">
        <v>7.5095673364282014</v>
      </c>
      <c r="GH426" s="276">
        <v>-30.638489040300996</v>
      </c>
      <c r="GI426" s="276">
        <v>-18.125798034752691</v>
      </c>
      <c r="GJ426" s="276">
        <v>13.613106286821075</v>
      </c>
    </row>
    <row r="427" spans="1:192">
      <c r="A427" s="274"/>
      <c r="B427" s="275" t="s">
        <v>251</v>
      </c>
      <c r="C427" s="275" t="s">
        <v>251</v>
      </c>
      <c r="D427" s="276">
        <v>1.8293969260460108</v>
      </c>
      <c r="E427" s="276">
        <v>19.276743406871706</v>
      </c>
      <c r="F427" s="276">
        <v>-4.6138269593032932</v>
      </c>
      <c r="G427" s="276">
        <v>10.771052406962658</v>
      </c>
      <c r="H427" s="276">
        <v>33.758851696938777</v>
      </c>
      <c r="I427" s="276">
        <v>-21.035520935226206</v>
      </c>
      <c r="J427" s="276">
        <v>-21.081830128115687</v>
      </c>
      <c r="K427" s="276">
        <v>-19.526437760462837</v>
      </c>
      <c r="L427" s="276">
        <v>2.845726217783934</v>
      </c>
      <c r="M427" s="276">
        <v>5.0748462313414766</v>
      </c>
      <c r="N427" s="276">
        <v>-5.2154002238622885</v>
      </c>
      <c r="O427" s="277" t="s">
        <v>237</v>
      </c>
      <c r="P427" s="277" t="s">
        <v>237</v>
      </c>
      <c r="Q427" s="276">
        <v>54.374090286256603</v>
      </c>
      <c r="R427" s="276">
        <v>-6.7588534661102182</v>
      </c>
      <c r="S427" s="276">
        <v>6.015684537674745</v>
      </c>
      <c r="T427" s="276">
        <v>5.8006912874170746</v>
      </c>
      <c r="U427" s="276">
        <v>-1.119579201583041</v>
      </c>
      <c r="V427" s="276">
        <v>-4.2692471098589033</v>
      </c>
      <c r="W427" s="276">
        <v>7.0599527004928833</v>
      </c>
      <c r="X427" s="276">
        <v>-0.3516379522679956</v>
      </c>
      <c r="Y427" s="276">
        <v>3.5646246844079386</v>
      </c>
      <c r="Z427" s="276">
        <v>23.994383345104772</v>
      </c>
      <c r="AA427" s="276">
        <v>16.731369827361835</v>
      </c>
      <c r="AB427" s="277" t="s">
        <v>237</v>
      </c>
      <c r="AC427" s="276">
        <v>-4.6138269593032932</v>
      </c>
      <c r="AD427" s="276">
        <v>4.8861326298773893</v>
      </c>
      <c r="AE427" s="276">
        <v>29.225404028898105</v>
      </c>
      <c r="AF427" s="276">
        <v>-17.274164236896784</v>
      </c>
      <c r="AG427" s="276">
        <v>-17.216648880193077</v>
      </c>
      <c r="AH427" s="276">
        <v>-19.079396147436139</v>
      </c>
      <c r="AI427" s="276">
        <v>5.0858251383495849</v>
      </c>
      <c r="AJ427" s="276">
        <v>11.323354027588749</v>
      </c>
      <c r="AK427" s="276">
        <v>2.4373393054894752</v>
      </c>
      <c r="AL427" s="276">
        <v>2.3005537017283744</v>
      </c>
      <c r="AM427" s="276">
        <v>-12.476513784031148</v>
      </c>
      <c r="AN427" s="276">
        <v>0.56769969698087375</v>
      </c>
      <c r="AO427" s="276">
        <v>-12.763639729864138</v>
      </c>
      <c r="AP427" s="277" t="s">
        <v>237</v>
      </c>
      <c r="AQ427" s="276">
        <v>2.38063871034297</v>
      </c>
      <c r="AR427" s="276">
        <v>6.365292851730044</v>
      </c>
      <c r="AS427" s="276">
        <v>90.755935140874229</v>
      </c>
      <c r="AT427" s="277" t="s">
        <v>237</v>
      </c>
      <c r="AU427" s="276">
        <v>-4.6138269593032932</v>
      </c>
      <c r="AV427" s="276">
        <v>-15.229128805289324</v>
      </c>
      <c r="AW427" s="276">
        <v>-20.197247272728106</v>
      </c>
      <c r="AX427" s="276">
        <v>-27.234797528471255</v>
      </c>
      <c r="AY427" s="277" t="s">
        <v>237</v>
      </c>
      <c r="AZ427" s="277" t="s">
        <v>237</v>
      </c>
      <c r="BA427" s="277" t="s">
        <v>237</v>
      </c>
      <c r="BB427" s="277" t="s">
        <v>237</v>
      </c>
      <c r="BC427" s="276">
        <v>70.991591841880407</v>
      </c>
      <c r="BD427" s="276">
        <v>0.71394480479773248</v>
      </c>
      <c r="BE427" s="276">
        <v>3.7223614611272295</v>
      </c>
      <c r="BF427" s="276">
        <v>10.140648018903503</v>
      </c>
      <c r="BG427" s="276">
        <v>9.7274514215875882</v>
      </c>
      <c r="BH427" s="276">
        <v>13.425210425742073</v>
      </c>
      <c r="BI427" s="276">
        <v>11.469522066096577</v>
      </c>
      <c r="BJ427" s="276">
        <v>-18.26130147134463</v>
      </c>
      <c r="BK427" s="276">
        <v>44.699488695948119</v>
      </c>
      <c r="BL427" s="276">
        <v>32.694824509220702</v>
      </c>
      <c r="BM427" s="276">
        <v>-26.536456270580373</v>
      </c>
      <c r="BN427" s="276">
        <v>-19.767174841619877</v>
      </c>
      <c r="BO427" s="276">
        <v>-12.910130056617179</v>
      </c>
      <c r="BP427" s="276">
        <v>-0.83242963855093577</v>
      </c>
      <c r="BQ427" s="276">
        <v>-12.772007224855933</v>
      </c>
      <c r="BR427" s="277" t="s">
        <v>237</v>
      </c>
      <c r="BS427" s="276">
        <v>-20.190643689478723</v>
      </c>
      <c r="BT427" s="277" t="s">
        <v>237</v>
      </c>
      <c r="BU427" s="277" t="s">
        <v>237</v>
      </c>
      <c r="BV427" s="277" t="s">
        <v>237</v>
      </c>
      <c r="BW427" s="277" t="s">
        <v>237</v>
      </c>
      <c r="BX427" s="276">
        <v>-57.433171021076753</v>
      </c>
      <c r="BY427" s="277" t="s">
        <v>237</v>
      </c>
      <c r="BZ427" s="276">
        <v>-7.4859638178415402</v>
      </c>
      <c r="CA427" s="276">
        <v>12.136457183385163</v>
      </c>
      <c r="CB427" s="276">
        <v>-16.637478618057422</v>
      </c>
      <c r="CC427" s="276">
        <v>29.7004245908415</v>
      </c>
      <c r="CD427" s="276">
        <v>-23.899738789176372</v>
      </c>
      <c r="CE427" s="276">
        <v>9.4935176355586925</v>
      </c>
      <c r="CF427" s="276">
        <v>1.8645676087738949</v>
      </c>
      <c r="CG427" s="276">
        <v>-11.659146039281147</v>
      </c>
      <c r="CH427" s="276">
        <v>103.51403956957854</v>
      </c>
      <c r="CI427" s="276">
        <v>6.3768105532712029</v>
      </c>
      <c r="CJ427" s="276">
        <v>25.41575334699974</v>
      </c>
      <c r="CK427" s="276">
        <v>4.5060233497098441</v>
      </c>
      <c r="CL427" s="276">
        <v>6.3182165813135747</v>
      </c>
      <c r="CM427" s="276">
        <v>-2.4965272958261679</v>
      </c>
      <c r="CN427" s="276">
        <v>25.279694199696298</v>
      </c>
      <c r="CO427" s="276">
        <v>-88.686886868868697</v>
      </c>
      <c r="CP427" s="277" t="s">
        <v>237</v>
      </c>
      <c r="CQ427" s="276">
        <v>21.328095269820874</v>
      </c>
      <c r="CR427" s="276">
        <v>30.454023991867899</v>
      </c>
      <c r="CS427" s="276">
        <v>58.679784576974804</v>
      </c>
      <c r="CT427" s="276">
        <v>64.16321645991043</v>
      </c>
      <c r="CU427" s="276">
        <v>-88.851030361135898</v>
      </c>
      <c r="CV427" s="276">
        <v>30.65220909532286</v>
      </c>
      <c r="CW427" s="276">
        <v>33.877808351096526</v>
      </c>
      <c r="CX427" s="276">
        <v>-1.6976001118939126</v>
      </c>
      <c r="CY427" s="276">
        <v>7.5318121897264083</v>
      </c>
      <c r="CZ427" s="276">
        <v>-52.576032612013456</v>
      </c>
      <c r="DA427" s="276">
        <v>31.047931047931051</v>
      </c>
      <c r="DB427" s="276">
        <v>-35.028631402073849</v>
      </c>
      <c r="DC427" s="276">
        <v>-38.295274796437262</v>
      </c>
      <c r="DD427" s="276">
        <v>46.23548235419733</v>
      </c>
      <c r="DE427" s="276">
        <v>143.97244229958324</v>
      </c>
      <c r="DF427" s="276">
        <v>-40.45073492640843</v>
      </c>
      <c r="DG427" s="276">
        <v>-40.81128413175351</v>
      </c>
      <c r="DH427" s="276">
        <v>-29.008049407980213</v>
      </c>
      <c r="DI427" s="276">
        <v>2.5181817855371476</v>
      </c>
      <c r="DJ427" s="276">
        <v>0.14613371292129954</v>
      </c>
      <c r="DK427" s="276">
        <v>1.4278143535598649</v>
      </c>
      <c r="DL427" s="276">
        <v>-1.092569440669658</v>
      </c>
      <c r="DM427" s="276">
        <v>0.6599097916569624</v>
      </c>
      <c r="DN427" s="276">
        <v>4.4231055499819565</v>
      </c>
      <c r="DO427" s="276">
        <v>8.3803364719448155</v>
      </c>
      <c r="DP427" s="276"/>
      <c r="DQ427" s="277" t="s">
        <v>237</v>
      </c>
      <c r="DR427" s="276">
        <v>5.187637969094915</v>
      </c>
      <c r="DS427" s="276">
        <v>-9.6241568227046983</v>
      </c>
      <c r="DT427" s="276">
        <v>9.132194113708481</v>
      </c>
      <c r="DU427" s="276">
        <v>-11.910543852713605</v>
      </c>
      <c r="DV427" s="276">
        <v>20.707070707070709</v>
      </c>
      <c r="DW427" s="276">
        <v>-2.0433428892243231</v>
      </c>
      <c r="DX427" s="276">
        <v>23.414292499537105</v>
      </c>
      <c r="DY427" s="276">
        <v>-140.22505168201468</v>
      </c>
      <c r="DZ427" s="276">
        <v>33.582206853190812</v>
      </c>
      <c r="EA427" s="276">
        <v>-30.323143526085605</v>
      </c>
      <c r="EB427" s="277" t="s">
        <v>237</v>
      </c>
      <c r="EC427" s="277"/>
      <c r="ED427" s="277" t="s">
        <v>237</v>
      </c>
      <c r="EE427" s="276">
        <v>62.37897648686031</v>
      </c>
      <c r="EF427" s="276">
        <v>2.3627965466573211</v>
      </c>
      <c r="EG427" s="276">
        <v>1.9489624463882336</v>
      </c>
      <c r="EH427" s="276">
        <v>2.8185357284499739</v>
      </c>
      <c r="EI427" s="276">
        <v>2.8523506179627409</v>
      </c>
      <c r="EJ427" s="276">
        <v>1.4593315348928768</v>
      </c>
      <c r="EK427" s="276">
        <v>0.94053224130067192</v>
      </c>
      <c r="EL427" s="276">
        <v>15.393487925027035</v>
      </c>
      <c r="EM427" s="276">
        <v>-18.255752887687049</v>
      </c>
      <c r="EN427" s="276">
        <v>-18.249548352419492</v>
      </c>
      <c r="EO427" s="276">
        <v>-18.468468468468469</v>
      </c>
      <c r="EP427" s="276">
        <v>0.75688844389663601</v>
      </c>
      <c r="EQ427" s="276">
        <v>13.58900051519835</v>
      </c>
      <c r="ER427" s="276">
        <v>-15.659216174132267</v>
      </c>
      <c r="ES427" s="276">
        <v>-15.648288667135791</v>
      </c>
      <c r="ET427" s="276">
        <v>-16.034985422740533</v>
      </c>
      <c r="EU427" s="276">
        <v>-0.87916918512006226</v>
      </c>
      <c r="EV427" s="276">
        <v>20.193567899989919</v>
      </c>
      <c r="EW427" s="276">
        <v>-26.123188405797094</v>
      </c>
      <c r="EX427" s="276">
        <v>-26.103169670602856</v>
      </c>
      <c r="EY427" s="276">
        <v>-26.808510638297872</v>
      </c>
      <c r="EZ427" s="276">
        <v>0.62576646139043279</v>
      </c>
      <c r="FA427" s="276">
        <v>4.4697756943229878</v>
      </c>
      <c r="FB427" s="276">
        <v>-4.5164272657657261</v>
      </c>
      <c r="FC427" s="276">
        <v>-4.4934299992328404</v>
      </c>
      <c r="FD427" s="276">
        <v>-5.293937867060956</v>
      </c>
      <c r="FE427" s="276">
        <v>4.0942324134585766</v>
      </c>
      <c r="FF427" s="276">
        <v>-2.9838178701787919</v>
      </c>
      <c r="FG427" s="276">
        <v>12.661369114335882</v>
      </c>
      <c r="FH427" s="276">
        <v>12.635375263817402</v>
      </c>
      <c r="FI427" s="276">
        <v>13.577293302332887</v>
      </c>
      <c r="FJ427" s="276">
        <v>7.2943570662977439</v>
      </c>
      <c r="FK427" s="276">
        <v>-142.22877716566171</v>
      </c>
      <c r="FL427" s="276">
        <v>9.6986724894204794</v>
      </c>
      <c r="FM427" s="276">
        <v>9.6986724894204794</v>
      </c>
      <c r="FN427" s="277"/>
      <c r="FO427" s="277"/>
      <c r="FP427" s="277" t="s">
        <v>237</v>
      </c>
      <c r="FQ427" s="277" t="s">
        <v>237</v>
      </c>
      <c r="FR427" s="276">
        <v>7.9755716222542601</v>
      </c>
      <c r="FS427" s="276">
        <v>-99.84711963843796</v>
      </c>
      <c r="FT427" s="276">
        <v>3.9020143241771912</v>
      </c>
      <c r="FU427" s="277" t="s">
        <v>237</v>
      </c>
      <c r="FV427" s="277" t="s">
        <v>237</v>
      </c>
      <c r="FW427" s="277" t="s">
        <v>237</v>
      </c>
      <c r="FX427" s="276">
        <v>15.400046263466638</v>
      </c>
      <c r="FY427" s="276">
        <v>2.0558325634717893</v>
      </c>
      <c r="FZ427" s="276"/>
      <c r="GA427" s="276"/>
      <c r="GB427" s="277" t="s">
        <v>237</v>
      </c>
      <c r="GC427" s="276">
        <v>-26.4134162547575</v>
      </c>
      <c r="GD427" s="276">
        <v>-79.495309104960754</v>
      </c>
      <c r="GE427" s="277" t="s">
        <v>237</v>
      </c>
      <c r="GF427" s="276">
        <v>-3.9728767805638299</v>
      </c>
      <c r="GG427" s="276">
        <v>24.947457274891107</v>
      </c>
      <c r="GH427" s="276">
        <v>19.372554311159085</v>
      </c>
      <c r="GI427" s="276">
        <v>199.04393816110664</v>
      </c>
      <c r="GJ427" s="276">
        <v>22.396847045229602</v>
      </c>
    </row>
    <row r="428" spans="1:192">
      <c r="A428" s="274"/>
      <c r="B428" s="275" t="s">
        <v>252</v>
      </c>
      <c r="C428" s="275" t="s">
        <v>252</v>
      </c>
      <c r="D428" s="276">
        <v>0.39841367088550139</v>
      </c>
      <c r="E428" s="276">
        <v>2.9902988060590361</v>
      </c>
      <c r="F428" s="276">
        <v>-31.94933389886058</v>
      </c>
      <c r="G428" s="276">
        <v>1.3938883364786976</v>
      </c>
      <c r="H428" s="276">
        <v>-20.495783634311962</v>
      </c>
      <c r="I428" s="276">
        <v>52.697684005223685</v>
      </c>
      <c r="J428" s="276">
        <v>54.250185953862683</v>
      </c>
      <c r="K428" s="276">
        <v>3.0839517907173337</v>
      </c>
      <c r="L428" s="276">
        <v>1.4358502777554722</v>
      </c>
      <c r="M428" s="276">
        <v>1.0785972511590547</v>
      </c>
      <c r="N428" s="276">
        <v>4.4883364690525687</v>
      </c>
      <c r="O428" s="276">
        <v>6.0375233028027813</v>
      </c>
      <c r="P428" s="276">
        <v>-5.1277873444789783</v>
      </c>
      <c r="Q428" s="276">
        <v>0.23502594610462885</v>
      </c>
      <c r="R428" s="276">
        <v>1.7495318556669672</v>
      </c>
      <c r="S428" s="276">
        <v>12.582432074066967</v>
      </c>
      <c r="T428" s="276">
        <v>12.628799506509015</v>
      </c>
      <c r="U428" s="276">
        <v>57.418235108761436</v>
      </c>
      <c r="V428" s="276">
        <v>8.5829477645948646</v>
      </c>
      <c r="W428" s="276">
        <v>7.7677010562933226</v>
      </c>
      <c r="X428" s="276">
        <v>-14.224537448206135</v>
      </c>
      <c r="Y428" s="276">
        <v>-13.312461762986908</v>
      </c>
      <c r="Z428" s="276">
        <v>37.55738702361856</v>
      </c>
      <c r="AA428" s="276">
        <v>-25.090184536444955</v>
      </c>
      <c r="AB428" s="277" t="s">
        <v>237</v>
      </c>
      <c r="AC428" s="276">
        <v>-31.94933389886058</v>
      </c>
      <c r="AD428" s="276">
        <v>4.2197449162368379</v>
      </c>
      <c r="AE428" s="276">
        <v>-14.701757357954092</v>
      </c>
      <c r="AF428" s="276">
        <v>31.130776761777692</v>
      </c>
      <c r="AG428" s="276">
        <v>32.302350483526915</v>
      </c>
      <c r="AH428" s="276">
        <v>-6.4878288847405159</v>
      </c>
      <c r="AI428" s="276">
        <v>1.0924341096693746</v>
      </c>
      <c r="AJ428" s="276">
        <v>-0.28726916939830233</v>
      </c>
      <c r="AK428" s="276">
        <v>1.7243722698912272</v>
      </c>
      <c r="AL428" s="276">
        <v>-0.53963847667581843</v>
      </c>
      <c r="AM428" s="276">
        <v>7.6695201422110149</v>
      </c>
      <c r="AN428" s="276">
        <v>-1.3255496105742577</v>
      </c>
      <c r="AO428" s="276">
        <v>-16.703807077160747</v>
      </c>
      <c r="AP428" s="277" t="s">
        <v>237</v>
      </c>
      <c r="AQ428" s="276">
        <v>-5.8602710793578714</v>
      </c>
      <c r="AR428" s="276">
        <v>29.343638925658162</v>
      </c>
      <c r="AS428" s="276">
        <v>7.2256440688370906</v>
      </c>
      <c r="AT428" s="276">
        <v>100</v>
      </c>
      <c r="AU428" s="276">
        <v>-31.94933389886058</v>
      </c>
      <c r="AV428" s="276">
        <v>-4.793995641010711</v>
      </c>
      <c r="AW428" s="276">
        <v>-7.5561701332115652</v>
      </c>
      <c r="AX428" s="276">
        <v>-14.066589060263427</v>
      </c>
      <c r="AY428" s="276">
        <v>-10.289598852399349</v>
      </c>
      <c r="AZ428" s="276">
        <v>-21.896044248448188</v>
      </c>
      <c r="BA428" s="276">
        <v>-8.1703362723949216</v>
      </c>
      <c r="BB428" s="276">
        <v>-29.252861165465614</v>
      </c>
      <c r="BC428" s="276">
        <v>10.365586729247298</v>
      </c>
      <c r="BD428" s="276">
        <v>7.8490335592146749</v>
      </c>
      <c r="BE428" s="276">
        <v>20.310667331284076</v>
      </c>
      <c r="BF428" s="276">
        <v>31.013879991458467</v>
      </c>
      <c r="BG428" s="276">
        <v>30.355025043327828</v>
      </c>
      <c r="BH428" s="276">
        <v>36.474913638938567</v>
      </c>
      <c r="BI428" s="276">
        <v>43.407110747425797</v>
      </c>
      <c r="BJ428" s="276">
        <v>21.436514154884172</v>
      </c>
      <c r="BK428" s="276">
        <v>-33.927946974344437</v>
      </c>
      <c r="BL428" s="276">
        <v>-52.83719285840553</v>
      </c>
      <c r="BM428" s="276">
        <v>-13.78236459617089</v>
      </c>
      <c r="BN428" s="276">
        <v>2.54924027490951</v>
      </c>
      <c r="BO428" s="276">
        <v>8.2734847711558679</v>
      </c>
      <c r="BP428" s="276">
        <v>-2.4916924880141225</v>
      </c>
      <c r="BQ428" s="276">
        <v>-16.683197317974329</v>
      </c>
      <c r="BR428" s="277" t="s">
        <v>237</v>
      </c>
      <c r="BS428" s="276">
        <v>-7.5699384074033498</v>
      </c>
      <c r="BT428" s="276">
        <v>22.120958046539155</v>
      </c>
      <c r="BU428" s="276">
        <v>-25.133046843096292</v>
      </c>
      <c r="BV428" s="276">
        <v>-14.430373267312707</v>
      </c>
      <c r="BW428" s="276">
        <v>-37.621029230740966</v>
      </c>
      <c r="BX428" s="276">
        <v>45.517050125843355</v>
      </c>
      <c r="BY428" s="276">
        <v>32.679393213717695</v>
      </c>
      <c r="BZ428" s="276">
        <v>-65.340525960890091</v>
      </c>
      <c r="CA428" s="276">
        <v>-3.068438089575531</v>
      </c>
      <c r="CB428" s="276">
        <v>-24.679252953691201</v>
      </c>
      <c r="CC428" s="276">
        <v>-147.20003665073375</v>
      </c>
      <c r="CD428" s="276">
        <v>-13.78424622654962</v>
      </c>
      <c r="CE428" s="276">
        <v>-20.424560846531957</v>
      </c>
      <c r="CF428" s="276">
        <v>-10.152304455352802</v>
      </c>
      <c r="CG428" s="276">
        <v>7.9010304408160916</v>
      </c>
      <c r="CH428" s="276">
        <v>-83.374405986191988</v>
      </c>
      <c r="CI428" s="276">
        <v>1.8955389800774431</v>
      </c>
      <c r="CJ428" s="276">
        <v>12.752991447869306</v>
      </c>
      <c r="CK428" s="276">
        <v>0.61521385748837576</v>
      </c>
      <c r="CL428" s="276">
        <v>0.2438267511767569</v>
      </c>
      <c r="CM428" s="276">
        <v>-1.0972790214611492</v>
      </c>
      <c r="CN428" s="276">
        <v>11.871533736521217</v>
      </c>
      <c r="CO428" s="277" t="s">
        <v>237</v>
      </c>
      <c r="CP428" s="276">
        <v>-29.473603731029478</v>
      </c>
      <c r="CQ428" s="276">
        <v>13.27926350745129</v>
      </c>
      <c r="CR428" s="276">
        <v>-4.7249872047949371</v>
      </c>
      <c r="CS428" s="276">
        <v>4.1790055030733626</v>
      </c>
      <c r="CT428" s="276">
        <v>10.956461545617891</v>
      </c>
      <c r="CU428" s="276">
        <v>4.4334600991630859</v>
      </c>
      <c r="CV428" s="276">
        <v>24.955270322831584</v>
      </c>
      <c r="CW428" s="276">
        <v>-31.911984139189428</v>
      </c>
      <c r="CX428" s="276">
        <v>-8.8997204836450141</v>
      </c>
      <c r="CY428" s="276">
        <v>-8.4483786764580557</v>
      </c>
      <c r="CZ428" s="276">
        <v>-9.0190394534492846</v>
      </c>
      <c r="DA428" s="276">
        <v>-102.93552036199095</v>
      </c>
      <c r="DB428" s="276">
        <v>-10.98877919576209</v>
      </c>
      <c r="DC428" s="276">
        <v>-8.1807016197128899</v>
      </c>
      <c r="DD428" s="276">
        <v>0.43930131783673004</v>
      </c>
      <c r="DE428" s="276">
        <v>-34.132146663015803</v>
      </c>
      <c r="DF428" s="276">
        <v>126.06345911637395</v>
      </c>
      <c r="DG428" s="276">
        <v>129.77747229278071</v>
      </c>
      <c r="DH428" s="276">
        <v>27.789903724019226</v>
      </c>
      <c r="DI428" s="276">
        <v>-3.6413874460218891</v>
      </c>
      <c r="DJ428" s="276">
        <v>-3.2164402969762547</v>
      </c>
      <c r="DK428" s="276">
        <v>0.21636539627354417</v>
      </c>
      <c r="DL428" s="276">
        <v>-4.187733567817105</v>
      </c>
      <c r="DM428" s="276">
        <v>-6.2591723038937728</v>
      </c>
      <c r="DN428" s="276">
        <v>-1.4189152273738717</v>
      </c>
      <c r="DO428" s="276">
        <v>2.3537027710002234</v>
      </c>
      <c r="DP428" s="276"/>
      <c r="DQ428" s="277" t="s">
        <v>237</v>
      </c>
      <c r="DR428" s="276">
        <v>66.107030430220362</v>
      </c>
      <c r="DS428" s="276">
        <v>-18.294733755621774</v>
      </c>
      <c r="DT428" s="276">
        <v>-15.847055808291152</v>
      </c>
      <c r="DU428" s="276">
        <v>-2.3920064594267272</v>
      </c>
      <c r="DV428" s="276">
        <v>-13.375796178343943</v>
      </c>
      <c r="DW428" s="276">
        <v>4.8851466551658724</v>
      </c>
      <c r="DX428" s="276">
        <v>2.4302562701032202</v>
      </c>
      <c r="DY428" s="276">
        <v>0</v>
      </c>
      <c r="DZ428" s="276">
        <v>19.342878554806134</v>
      </c>
      <c r="EA428" s="276">
        <v>-53.405364179483932</v>
      </c>
      <c r="EB428" s="276">
        <v>-162.119853803186</v>
      </c>
      <c r="EC428" s="276"/>
      <c r="ED428" s="277" t="s">
        <v>237</v>
      </c>
      <c r="EE428" s="276">
        <v>-6.9852941176470651</v>
      </c>
      <c r="EF428" s="276">
        <v>-4.1550880105768915</v>
      </c>
      <c r="EG428" s="276">
        <v>-38.728772278177757</v>
      </c>
      <c r="EH428" s="276">
        <v>33.597536753666184</v>
      </c>
      <c r="EI428" s="276">
        <v>34.51270971390457</v>
      </c>
      <c r="EJ428" s="276">
        <v>-3.6933008214684033</v>
      </c>
      <c r="EK428" s="276">
        <v>-4.6857580265814063</v>
      </c>
      <c r="EL428" s="276">
        <v>-40.496487332246694</v>
      </c>
      <c r="EM428" s="276">
        <v>62.45678547850099</v>
      </c>
      <c r="EN428" s="276">
        <v>63.815976914928598</v>
      </c>
      <c r="EO428" s="276">
        <v>15.73329984932195</v>
      </c>
      <c r="EP428" s="276">
        <v>6.1703371802285703E-2</v>
      </c>
      <c r="EQ428" s="276">
        <v>-36.818591571654544</v>
      </c>
      <c r="ER428" s="276">
        <v>63.604305864884914</v>
      </c>
      <c r="ES428" s="276">
        <v>65.063522695292079</v>
      </c>
      <c r="ET428" s="276">
        <v>13.194444444444439</v>
      </c>
      <c r="EU428" s="276">
        <v>-4.3405953766838579</v>
      </c>
      <c r="EV428" s="276">
        <v>-43.650394229156184</v>
      </c>
      <c r="EW428" s="276">
        <v>72.27399051822789</v>
      </c>
      <c r="EX428" s="276">
        <v>73.809924306139607</v>
      </c>
      <c r="EY428" s="276">
        <v>19.186046511627911</v>
      </c>
      <c r="EZ428" s="276">
        <v>-6.2935611840097492</v>
      </c>
      <c r="FA428" s="276">
        <v>-40.279586883694861</v>
      </c>
      <c r="FB428" s="276">
        <v>43.448799821857087</v>
      </c>
      <c r="FC428" s="276">
        <v>44.761071781047313</v>
      </c>
      <c r="FD428" s="276">
        <v>-1.2925846459783343</v>
      </c>
      <c r="FE428" s="276">
        <v>-2.2904722599467267</v>
      </c>
      <c r="FF428" s="276">
        <v>-35.165239527825975</v>
      </c>
      <c r="FG428" s="276">
        <v>31.974776991694878</v>
      </c>
      <c r="FH428" s="276">
        <v>33.13205975153808</v>
      </c>
      <c r="FI428" s="276">
        <v>-8.4652735885441928</v>
      </c>
      <c r="FJ428" s="276">
        <v>0.65446053396879755</v>
      </c>
      <c r="FK428" s="276">
        <v>-28.855142278970636</v>
      </c>
      <c r="FL428" s="276">
        <v>1.7640253259811183</v>
      </c>
      <c r="FM428" s="276">
        <v>1.7640253259811183</v>
      </c>
      <c r="FN428" s="277"/>
      <c r="FO428" s="277"/>
      <c r="FP428" s="277" t="s">
        <v>237</v>
      </c>
      <c r="FQ428" s="277" t="s">
        <v>237</v>
      </c>
      <c r="FR428" s="276">
        <v>5.056319507063427</v>
      </c>
      <c r="FS428" s="276">
        <v>-36.713378658787313</v>
      </c>
      <c r="FT428" s="276">
        <v>2.3564840979169479</v>
      </c>
      <c r="FU428" s="277" t="s">
        <v>237</v>
      </c>
      <c r="FV428" s="277" t="s">
        <v>237</v>
      </c>
      <c r="FW428" s="277" t="s">
        <v>237</v>
      </c>
      <c r="FX428" s="276">
        <v>0.63006460347399695</v>
      </c>
      <c r="FY428" s="276">
        <v>-1.1151885290912031</v>
      </c>
      <c r="FZ428" s="276"/>
      <c r="GA428" s="276"/>
      <c r="GB428" s="277" t="s">
        <v>237</v>
      </c>
      <c r="GC428" s="276">
        <v>-12.015639208524057</v>
      </c>
      <c r="GD428" s="276">
        <v>-33.225203515763774</v>
      </c>
      <c r="GE428" s="277" t="s">
        <v>237</v>
      </c>
      <c r="GF428" s="276">
        <v>-10.101039679618035</v>
      </c>
      <c r="GG428" s="276">
        <v>18.513704789967921</v>
      </c>
      <c r="GH428" s="276">
        <v>33.409067787988739</v>
      </c>
      <c r="GI428" s="276">
        <v>-66.965966034056635</v>
      </c>
      <c r="GJ428" s="276">
        <v>20.885585584714175</v>
      </c>
    </row>
    <row r="429" spans="1:192">
      <c r="A429" s="274"/>
      <c r="B429" s="275" t="s">
        <v>253</v>
      </c>
      <c r="C429" s="275" t="s">
        <v>253</v>
      </c>
      <c r="D429" s="276">
        <v>1.3493563481433333</v>
      </c>
      <c r="E429" s="276">
        <v>7.9301860155701691</v>
      </c>
      <c r="F429" s="276">
        <v>53.479503454080024</v>
      </c>
      <c r="G429" s="276">
        <v>4.207831511170796</v>
      </c>
      <c r="H429" s="276">
        <v>-13.99337592564008</v>
      </c>
      <c r="I429" s="276">
        <v>26.418833667081223</v>
      </c>
      <c r="J429" s="276">
        <v>27.302150137301002</v>
      </c>
      <c r="K429" s="276">
        <v>-15.820855116884031</v>
      </c>
      <c r="L429" s="276">
        <v>8.6437463688092714E-2</v>
      </c>
      <c r="M429" s="276">
        <v>0.21536888092934742</v>
      </c>
      <c r="N429" s="276">
        <v>-0.15217471540951788</v>
      </c>
      <c r="O429" s="276">
        <v>-0.92952035293620539</v>
      </c>
      <c r="P429" s="276">
        <v>5.2408319956896019</v>
      </c>
      <c r="Q429" s="276">
        <v>-6.2050561120242111</v>
      </c>
      <c r="R429" s="276">
        <v>-0.22665039401297593</v>
      </c>
      <c r="S429" s="276">
        <v>4.6297429173718143</v>
      </c>
      <c r="T429" s="276">
        <v>4.8657167032728124</v>
      </c>
      <c r="U429" s="276">
        <v>8.2507194455864319</v>
      </c>
      <c r="V429" s="276">
        <v>63.67997560289011</v>
      </c>
      <c r="W429" s="276">
        <v>3.2446475030628221</v>
      </c>
      <c r="X429" s="276">
        <v>17.158157235513983</v>
      </c>
      <c r="Y429" s="276">
        <v>5.5554047410061758</v>
      </c>
      <c r="Z429" s="276">
        <v>-107.34874656745504</v>
      </c>
      <c r="AA429" s="276">
        <v>41.030472759830509</v>
      </c>
      <c r="AB429" s="277" t="s">
        <v>237</v>
      </c>
      <c r="AC429" s="276">
        <v>53.479503454080024</v>
      </c>
      <c r="AD429" s="276">
        <v>1.1679731160061309</v>
      </c>
      <c r="AE429" s="276">
        <v>-20.941733663786916</v>
      </c>
      <c r="AF429" s="276">
        <v>21.622675683128112</v>
      </c>
      <c r="AG429" s="276">
        <v>22.329897481992028</v>
      </c>
      <c r="AH429" s="276">
        <v>-10.5056527234103</v>
      </c>
      <c r="AI429" s="276">
        <v>0.23277292888339871</v>
      </c>
      <c r="AJ429" s="276">
        <v>0.9909893074776327</v>
      </c>
      <c r="AK429" s="276">
        <v>0.63863196478004947</v>
      </c>
      <c r="AL429" s="276">
        <v>-3.8167500089147604</v>
      </c>
      <c r="AM429" s="276">
        <v>2.0691467084445025</v>
      </c>
      <c r="AN429" s="276">
        <v>1.2131856825199332</v>
      </c>
      <c r="AO429" s="276">
        <v>-1.1951459417181163</v>
      </c>
      <c r="AP429" s="277" t="s">
        <v>237</v>
      </c>
      <c r="AQ429" s="276">
        <v>-5.5853284465223245</v>
      </c>
      <c r="AR429" s="276">
        <v>11.672392041191648</v>
      </c>
      <c r="AS429" s="276">
        <v>-18.436987715672291</v>
      </c>
      <c r="AT429" s="277" t="s">
        <v>237</v>
      </c>
      <c r="AU429" s="276">
        <v>53.479503454080024</v>
      </c>
      <c r="AV429" s="276">
        <v>18.386938730524669</v>
      </c>
      <c r="AW429" s="276">
        <v>41.126932282490216</v>
      </c>
      <c r="AX429" s="276">
        <v>-20.211946663606195</v>
      </c>
      <c r="AY429" s="276">
        <v>-16.539434916296234</v>
      </c>
      <c r="AZ429" s="276">
        <v>-43.639905402974335</v>
      </c>
      <c r="BA429" s="276">
        <v>-18.916222734819499</v>
      </c>
      <c r="BB429" s="276">
        <v>7.9666759491321519</v>
      </c>
      <c r="BC429" s="276">
        <v>34.49788871373444</v>
      </c>
      <c r="BD429" s="276">
        <v>11.921515204764226</v>
      </c>
      <c r="BE429" s="276">
        <v>10.593035826655903</v>
      </c>
      <c r="BF429" s="276">
        <v>28.848183939924844</v>
      </c>
      <c r="BG429" s="276">
        <v>41.252654663163582</v>
      </c>
      <c r="BH429" s="276">
        <v>-83.87358650337093</v>
      </c>
      <c r="BI429" s="276">
        <v>94.178057591465333</v>
      </c>
      <c r="BJ429" s="276">
        <v>-52.171218700036754</v>
      </c>
      <c r="BK429" s="276">
        <v>-35.179380058935422</v>
      </c>
      <c r="BL429" s="276">
        <v>48.857853342586168</v>
      </c>
      <c r="BM429" s="276">
        <v>-26.268888979490377</v>
      </c>
      <c r="BN429" s="276">
        <v>29.044421823131088</v>
      </c>
      <c r="BO429" s="276">
        <v>0.52595231876859738</v>
      </c>
      <c r="BP429" s="276">
        <v>-0.23260810074654031</v>
      </c>
      <c r="BQ429" s="276">
        <v>-1.2802483918576471</v>
      </c>
      <c r="BR429" s="277" t="s">
        <v>237</v>
      </c>
      <c r="BS429" s="276">
        <v>41.254048885659266</v>
      </c>
      <c r="BT429" s="276">
        <v>26.254969056667452</v>
      </c>
      <c r="BU429" s="276">
        <v>84.779923426022265</v>
      </c>
      <c r="BV429" s="276">
        <v>-6.0955547983032323</v>
      </c>
      <c r="BW429" s="276">
        <v>58.118386852123209</v>
      </c>
      <c r="BX429" s="276">
        <v>16.625022738932028</v>
      </c>
      <c r="BY429" s="276">
        <v>23.236105310955132</v>
      </c>
      <c r="BZ429" s="277" t="s">
        <v>237</v>
      </c>
      <c r="CA429" s="276">
        <v>0.60985103614278124</v>
      </c>
      <c r="CB429" s="276">
        <v>-17.832203329647498</v>
      </c>
      <c r="CC429" s="276">
        <v>28.436314664492134</v>
      </c>
      <c r="CD429" s="276">
        <v>-26.770807785879363</v>
      </c>
      <c r="CE429" s="276">
        <v>-16.26863462413149</v>
      </c>
      <c r="CF429" s="276">
        <v>-16.583537231673986</v>
      </c>
      <c r="CG429" s="276">
        <v>16.407169243398535</v>
      </c>
      <c r="CH429" s="276">
        <v>-25.786893283216205</v>
      </c>
      <c r="CI429" s="276">
        <v>-2.0916536811997046</v>
      </c>
      <c r="CJ429" s="276">
        <v>-0.71342997118324569</v>
      </c>
      <c r="CK429" s="276">
        <v>-2.2737815752394446</v>
      </c>
      <c r="CL429" s="276">
        <v>-1.1350046731685146</v>
      </c>
      <c r="CM429" s="276">
        <v>-6.5767422209121111</v>
      </c>
      <c r="CN429" s="276">
        <v>5.4056976345546746</v>
      </c>
      <c r="CO429" s="276">
        <v>-99.999999999999986</v>
      </c>
      <c r="CP429" s="276">
        <v>5.8612029558964345</v>
      </c>
      <c r="CQ429" s="276">
        <v>5.5208710546537203</v>
      </c>
      <c r="CR429" s="276">
        <v>10.379565591204557</v>
      </c>
      <c r="CS429" s="276">
        <v>13.885680365526499</v>
      </c>
      <c r="CT429" s="276">
        <v>4.8987421863669329</v>
      </c>
      <c r="CU429" s="276">
        <v>36.564355900231895</v>
      </c>
      <c r="CV429" s="276">
        <v>52.524100756711931</v>
      </c>
      <c r="CW429" s="276">
        <v>36.646259425089248</v>
      </c>
      <c r="CX429" s="276">
        <v>11.240612211639174</v>
      </c>
      <c r="CY429" s="276">
        <v>20.813523098426455</v>
      </c>
      <c r="CZ429" s="276">
        <v>-18.607921244449564</v>
      </c>
      <c r="DA429" s="276">
        <v>-37.589304792961535</v>
      </c>
      <c r="DB429" s="276">
        <v>3.8014789025123479</v>
      </c>
      <c r="DC429" s="276">
        <v>-113.04718045512925</v>
      </c>
      <c r="DD429" s="276">
        <v>2.3559109407974996</v>
      </c>
      <c r="DE429" s="276">
        <v>-35.379115549226661</v>
      </c>
      <c r="DF429" s="276">
        <v>42.308358832984958</v>
      </c>
      <c r="DG429" s="276">
        <v>43.351576095520777</v>
      </c>
      <c r="DH429" s="276">
        <v>-7.3255979065663226</v>
      </c>
      <c r="DI429" s="276">
        <v>-4.9083830046123031</v>
      </c>
      <c r="DJ429" s="276">
        <v>-4.6471001370312388</v>
      </c>
      <c r="DK429" s="276">
        <v>1.1897799241348204</v>
      </c>
      <c r="DL429" s="276">
        <v>-0.57359183205231967</v>
      </c>
      <c r="DM429" s="276">
        <v>-8.1925323474114755</v>
      </c>
      <c r="DN429" s="276">
        <v>-3.2184947696870494</v>
      </c>
      <c r="DO429" s="276">
        <v>6.926314535582045</v>
      </c>
      <c r="DP429" s="276"/>
      <c r="DQ429" s="277" t="s">
        <v>237</v>
      </c>
      <c r="DR429" s="276">
        <v>-63.550221099178771</v>
      </c>
      <c r="DS429" s="276">
        <v>33.677555282980698</v>
      </c>
      <c r="DT429" s="276">
        <v>16.421233113480174</v>
      </c>
      <c r="DU429" s="276">
        <v>2.2966978807294112</v>
      </c>
      <c r="DV429" s="276">
        <v>-8.4269662921348392</v>
      </c>
      <c r="DW429" s="276">
        <v>36.451972421274782</v>
      </c>
      <c r="DX429" s="276">
        <v>-2.1611255952252701</v>
      </c>
      <c r="DY429" s="276">
        <v>63.461406819937615</v>
      </c>
      <c r="DZ429" s="276">
        <v>56.555332779109008</v>
      </c>
      <c r="EA429" s="276">
        <v>27.576701689260116</v>
      </c>
      <c r="EB429" s="276">
        <v>96.001052354643505</v>
      </c>
      <c r="EC429" s="276"/>
      <c r="ED429" s="277" t="s">
        <v>237</v>
      </c>
      <c r="EE429" s="276">
        <v>2.749140893470793</v>
      </c>
      <c r="EF429" s="276">
        <v>-4.0768606655746957</v>
      </c>
      <c r="EG429" s="276">
        <v>-32.354563028015875</v>
      </c>
      <c r="EH429" s="276">
        <v>10.08445946880763</v>
      </c>
      <c r="EI429" s="276">
        <v>11.210481485033108</v>
      </c>
      <c r="EJ429" s="276">
        <v>-53.999990843035903</v>
      </c>
      <c r="EK429" s="276">
        <v>-3.5441158945715858</v>
      </c>
      <c r="EL429" s="276">
        <v>-48.089820435485301</v>
      </c>
      <c r="EM429" s="276">
        <v>27.046991889813341</v>
      </c>
      <c r="EN429" s="276">
        <v>28.488959349267187</v>
      </c>
      <c r="EO429" s="276">
        <v>-43.115981338830423</v>
      </c>
      <c r="EP429" s="276">
        <v>1.4433987631083662</v>
      </c>
      <c r="EQ429" s="276">
        <v>-40.976310122038768</v>
      </c>
      <c r="ER429" s="276">
        <v>29.668328507030498</v>
      </c>
      <c r="ES429" s="276">
        <v>30.947785050997119</v>
      </c>
      <c r="ET429" s="276">
        <v>-34.785276073619634</v>
      </c>
      <c r="EU429" s="276">
        <v>-0.66643486323598744</v>
      </c>
      <c r="EV429" s="276">
        <v>-39.743971420065499</v>
      </c>
      <c r="EW429" s="276">
        <v>24.245587397988231</v>
      </c>
      <c r="EX429" s="276">
        <v>25.558888996419242</v>
      </c>
      <c r="EY429" s="276">
        <v>-41.951219512195124</v>
      </c>
      <c r="EZ429" s="276">
        <v>-7.4746295341966658</v>
      </c>
      <c r="FA429" s="276">
        <v>-50.179326526109392</v>
      </c>
      <c r="FB429" s="276">
        <v>18.546583758388124</v>
      </c>
      <c r="FC429" s="276">
        <v>19.924934999802964</v>
      </c>
      <c r="FD429" s="276">
        <v>-50.373767362951966</v>
      </c>
      <c r="FE429" s="276">
        <v>-2.6105392208903853</v>
      </c>
      <c r="FF429" s="276">
        <v>-12.453062027134147</v>
      </c>
      <c r="FG429" s="276">
        <v>2.4292759787348976</v>
      </c>
      <c r="FH429" s="276">
        <v>3.6619673399628381</v>
      </c>
      <c r="FI429" s="276">
        <v>-60.221048196285601</v>
      </c>
      <c r="FJ429" s="276">
        <v>9.7771245525877024</v>
      </c>
      <c r="FK429" s="277" t="s">
        <v>237</v>
      </c>
      <c r="FL429" s="276">
        <v>-6.0591709421238074</v>
      </c>
      <c r="FM429" s="276">
        <v>-6.0591709421238074</v>
      </c>
      <c r="FN429" s="277"/>
      <c r="FO429" s="277"/>
      <c r="FP429" s="277" t="s">
        <v>237</v>
      </c>
      <c r="FQ429" s="277" t="s">
        <v>237</v>
      </c>
      <c r="FR429" s="276">
        <v>19.716244918512011</v>
      </c>
      <c r="FS429" s="276">
        <v>1.4966348011743804</v>
      </c>
      <c r="FT429" s="276">
        <v>22.132606974439657</v>
      </c>
      <c r="FU429" s="277" t="s">
        <v>237</v>
      </c>
      <c r="FV429" s="277" t="s">
        <v>237</v>
      </c>
      <c r="FW429" s="277" t="s">
        <v>237</v>
      </c>
      <c r="FX429" s="276">
        <v>-6.6611502132019949</v>
      </c>
      <c r="FY429" s="276">
        <v>-2.8799134038665222</v>
      </c>
      <c r="FZ429" s="276"/>
      <c r="GA429" s="276"/>
      <c r="GB429" s="277" t="s">
        <v>237</v>
      </c>
      <c r="GC429" s="276">
        <v>8.147450405780793</v>
      </c>
      <c r="GD429" s="277" t="s">
        <v>237</v>
      </c>
      <c r="GE429" s="277" t="s">
        <v>237</v>
      </c>
      <c r="GF429" s="276">
        <v>15.977229895843829</v>
      </c>
      <c r="GG429" s="276">
        <v>79.338365293077644</v>
      </c>
      <c r="GH429" s="277" t="s">
        <v>237</v>
      </c>
      <c r="GI429" s="276">
        <v>-16.329192120255346</v>
      </c>
      <c r="GJ429" s="276">
        <v>-8.144765605246393</v>
      </c>
    </row>
    <row r="430" spans="1:192">
      <c r="A430" s="274"/>
      <c r="B430" s="275" t="s">
        <v>254</v>
      </c>
      <c r="C430" s="275" t="s">
        <v>254</v>
      </c>
      <c r="D430" s="276">
        <v>3.2996369478097662</v>
      </c>
      <c r="E430" s="276">
        <v>-15.108662652462943</v>
      </c>
      <c r="F430" s="276">
        <v>-55.743584911586439</v>
      </c>
      <c r="G430" s="276">
        <v>0.16657572139654434</v>
      </c>
      <c r="H430" s="276">
        <v>29.30218027566232</v>
      </c>
      <c r="I430" s="276">
        <v>-24.022101031867759</v>
      </c>
      <c r="J430" s="276">
        <v>-24.61993843828493</v>
      </c>
      <c r="K430" s="276">
        <v>19.21122975496603</v>
      </c>
      <c r="L430" s="276">
        <v>-0.20244597842579995</v>
      </c>
      <c r="M430" s="276">
        <v>-0.37915690804245339</v>
      </c>
      <c r="N430" s="276">
        <v>8.3426525015309991</v>
      </c>
      <c r="O430" s="276">
        <v>7.8144329795887932</v>
      </c>
      <c r="P430" s="276">
        <v>11.792431196330035</v>
      </c>
      <c r="Q430" s="276">
        <v>6.0670904746073528</v>
      </c>
      <c r="R430" s="276">
        <v>-5.6095984180497034</v>
      </c>
      <c r="S430" s="276">
        <v>-3.5608725226374403</v>
      </c>
      <c r="T430" s="276">
        <v>-3.6825524020943932</v>
      </c>
      <c r="U430" s="276">
        <v>9.1959173353219548</v>
      </c>
      <c r="V430" s="276">
        <v>7.2711125464233817</v>
      </c>
      <c r="W430" s="276">
        <v>-0.18198549664365554</v>
      </c>
      <c r="X430" s="276">
        <v>-140.46006825938568</v>
      </c>
      <c r="Y430" s="276">
        <v>-16.399086597575973</v>
      </c>
      <c r="Z430" s="276">
        <v>29.627129650199077</v>
      </c>
      <c r="AA430" s="276">
        <v>-47.676635712015823</v>
      </c>
      <c r="AB430" s="277" t="s">
        <v>237</v>
      </c>
      <c r="AC430" s="276">
        <v>-55.743584911586439</v>
      </c>
      <c r="AD430" s="276">
        <v>-0.94459104494038304</v>
      </c>
      <c r="AE430" s="276">
        <v>43.026646525725326</v>
      </c>
      <c r="AF430" s="276">
        <v>-27.387644790428983</v>
      </c>
      <c r="AG430" s="276">
        <v>-27.871996342112734</v>
      </c>
      <c r="AH430" s="276">
        <v>2.689055911587662</v>
      </c>
      <c r="AI430" s="276">
        <v>-0.40553888875807764</v>
      </c>
      <c r="AJ430" s="276">
        <v>3.1898714658619101</v>
      </c>
      <c r="AK430" s="276">
        <v>-2.4743817922573785</v>
      </c>
      <c r="AL430" s="276">
        <v>-2.3700751771589914</v>
      </c>
      <c r="AM430" s="276">
        <v>-11.219084544433061</v>
      </c>
      <c r="AN430" s="276">
        <v>-3.6786772625967248</v>
      </c>
      <c r="AO430" s="276">
        <v>6.1808466617490962</v>
      </c>
      <c r="AP430" s="277" t="s">
        <v>237</v>
      </c>
      <c r="AQ430" s="276">
        <v>-8.5681629015413829</v>
      </c>
      <c r="AR430" s="276">
        <v>3.9246512460213965</v>
      </c>
      <c r="AS430" s="276">
        <v>15.841699989003034</v>
      </c>
      <c r="AT430" s="277" t="s">
        <v>237</v>
      </c>
      <c r="AU430" s="276">
        <v>-55.743584911586439</v>
      </c>
      <c r="AV430" s="276">
        <v>7.3889554748905999</v>
      </c>
      <c r="AW430" s="276">
        <v>20.266235809363113</v>
      </c>
      <c r="AX430" s="276">
        <v>-6.0446657806688222</v>
      </c>
      <c r="AY430" s="276">
        <v>-8.4180388162734072</v>
      </c>
      <c r="AZ430" s="276">
        <v>-13.334086990927851</v>
      </c>
      <c r="BA430" s="276">
        <v>5.0926967273449275</v>
      </c>
      <c r="BB430" s="276">
        <v>-23.169588743236307</v>
      </c>
      <c r="BC430" s="276">
        <v>-28.177829593195316</v>
      </c>
      <c r="BD430" s="276">
        <v>5.4917410045615718</v>
      </c>
      <c r="BE430" s="276">
        <v>-63.669829019109237</v>
      </c>
      <c r="BF430" s="276">
        <v>-107.33399088019168</v>
      </c>
      <c r="BG430" s="276">
        <v>-134.41300547634464</v>
      </c>
      <c r="BH430" s="276">
        <v>-28.714302404247167</v>
      </c>
      <c r="BI430" s="277" t="s">
        <v>237</v>
      </c>
      <c r="BJ430" s="276">
        <v>-107.69766652639582</v>
      </c>
      <c r="BK430" s="276">
        <v>-27.356330973525566</v>
      </c>
      <c r="BL430" s="277" t="s">
        <v>237</v>
      </c>
      <c r="BM430" s="276">
        <v>-12.348121201935925</v>
      </c>
      <c r="BN430" s="276">
        <v>-6.9510591590967525</v>
      </c>
      <c r="BO430" s="276">
        <v>-12.422288342724164</v>
      </c>
      <c r="BP430" s="276">
        <v>-5.0920104642115982</v>
      </c>
      <c r="BQ430" s="276">
        <v>6.2409647050527086</v>
      </c>
      <c r="BR430" s="277" t="s">
        <v>237</v>
      </c>
      <c r="BS430" s="276">
        <v>19.747170960945216</v>
      </c>
      <c r="BT430" s="276">
        <v>3.7685060311234344</v>
      </c>
      <c r="BU430" s="276">
        <v>45.064097618528109</v>
      </c>
      <c r="BV430" s="276">
        <v>-15.520541299019818</v>
      </c>
      <c r="BW430" s="276">
        <v>-44.539184777800024</v>
      </c>
      <c r="BX430" s="277" t="s">
        <v>237</v>
      </c>
      <c r="BY430" s="276">
        <v>-47.538817585778702</v>
      </c>
      <c r="BZ430" s="277" t="s">
        <v>237</v>
      </c>
      <c r="CA430" s="276">
        <v>3.8760962052672991</v>
      </c>
      <c r="CB430" s="276">
        <v>-19.076148659976283</v>
      </c>
      <c r="CC430" s="276">
        <v>-89.895375637716569</v>
      </c>
      <c r="CD430" s="276">
        <v>-11.352744666919913</v>
      </c>
      <c r="CE430" s="276">
        <v>-17.08731351277628</v>
      </c>
      <c r="CF430" s="276">
        <v>-7.4489218462746258</v>
      </c>
      <c r="CG430" s="276">
        <v>-1.0460496932371133</v>
      </c>
      <c r="CH430" s="277" t="s">
        <v>237</v>
      </c>
      <c r="CI430" s="276">
        <v>5.2248770078262154</v>
      </c>
      <c r="CJ430" s="276">
        <v>6.9158615791200839</v>
      </c>
      <c r="CK430" s="276">
        <v>4.9978508977509968</v>
      </c>
      <c r="CL430" s="276">
        <v>6.68492319520508</v>
      </c>
      <c r="CM430" s="276">
        <v>-0.20886445903243026</v>
      </c>
      <c r="CN430" s="276">
        <v>10.196359126942589</v>
      </c>
      <c r="CO430" s="277" t="s">
        <v>237</v>
      </c>
      <c r="CP430" s="276">
        <v>52.352750422419824</v>
      </c>
      <c r="CQ430" s="276">
        <v>9.1615939354583507</v>
      </c>
      <c r="CR430" s="276">
        <v>-10.156584728234851</v>
      </c>
      <c r="CS430" s="276">
        <v>9.5469575509828406</v>
      </c>
      <c r="CT430" s="276">
        <v>13.664040661494102</v>
      </c>
      <c r="CU430" s="276">
        <v>-28.588871839616502</v>
      </c>
      <c r="CV430" s="276">
        <v>4.3013100436681233</v>
      </c>
      <c r="CW430" s="276">
        <v>2.7073643333744437</v>
      </c>
      <c r="CX430" s="276">
        <v>-18.310587585493632</v>
      </c>
      <c r="CY430" s="276">
        <v>-13.692986852273112</v>
      </c>
      <c r="CZ430" s="276">
        <v>-29.513500269123384</v>
      </c>
      <c r="DA430" s="276">
        <v>19.152987568958189</v>
      </c>
      <c r="DB430" s="276">
        <v>-3.8996513416355651</v>
      </c>
      <c r="DC430" s="276">
        <v>-37.43909059722025</v>
      </c>
      <c r="DD430" s="276">
        <v>2.907649968486127</v>
      </c>
      <c r="DE430" s="276">
        <v>55.599171649566024</v>
      </c>
      <c r="DF430" s="276">
        <v>-22.425078197414191</v>
      </c>
      <c r="DG430" s="276">
        <v>-23.19282975348932</v>
      </c>
      <c r="DH430" s="276">
        <v>34.077402775923318</v>
      </c>
      <c r="DI430" s="276">
        <v>4.5201287230371028</v>
      </c>
      <c r="DJ430" s="276">
        <v>-4.0300784005882564</v>
      </c>
      <c r="DK430" s="276">
        <v>-0.85409957889520471</v>
      </c>
      <c r="DL430" s="276">
        <v>3.2479520018460764</v>
      </c>
      <c r="DM430" s="276">
        <v>15.628461030108911</v>
      </c>
      <c r="DN430" s="276">
        <v>-8.0477461912988808</v>
      </c>
      <c r="DO430" s="276">
        <v>-4.0725290129977409</v>
      </c>
      <c r="DP430" s="276"/>
      <c r="DQ430" s="277" t="s">
        <v>237</v>
      </c>
      <c r="DR430" s="276">
        <v>-1.7331022530329305</v>
      </c>
      <c r="DS430" s="276">
        <v>6.6082067403873701</v>
      </c>
      <c r="DT430" s="276">
        <v>5.9723715774671176</v>
      </c>
      <c r="DU430" s="276">
        <v>-27.905569007263921</v>
      </c>
      <c r="DV430" s="276">
        <v>-10.362694300518131</v>
      </c>
      <c r="DW430" s="276">
        <v>-18.61829821285675</v>
      </c>
      <c r="DX430" s="276">
        <v>5.4583034546758356</v>
      </c>
      <c r="DY430" s="276">
        <v>93.143132426935026</v>
      </c>
      <c r="DZ430" s="277" t="s">
        <v>237</v>
      </c>
      <c r="EA430" s="276">
        <v>41.863391937759808</v>
      </c>
      <c r="EB430" s="276">
        <v>-27.23684210526315</v>
      </c>
      <c r="EC430" s="276"/>
      <c r="ED430" s="277" t="s">
        <v>237</v>
      </c>
      <c r="EE430" s="276">
        <v>-50.058892815076568</v>
      </c>
      <c r="EF430" s="276">
        <v>4.7425180322553713</v>
      </c>
      <c r="EG430" s="276">
        <v>76.280425291887013</v>
      </c>
      <c r="EH430" s="276">
        <v>-17.271957594289315</v>
      </c>
      <c r="EI430" s="276">
        <v>-17.881136274248892</v>
      </c>
      <c r="EJ430" s="276">
        <v>66.546232706280492</v>
      </c>
      <c r="EK430" s="276">
        <v>-3.8724180857878254</v>
      </c>
      <c r="EL430" s="276">
        <v>101.98575648741742</v>
      </c>
      <c r="EM430" s="276">
        <v>-33.575527654005505</v>
      </c>
      <c r="EN430" s="276">
        <v>-34.38028203232647</v>
      </c>
      <c r="EO430" s="276">
        <v>54.873164218958586</v>
      </c>
      <c r="EP430" s="276">
        <v>-2.8690479977098486</v>
      </c>
      <c r="EQ430" s="276">
        <v>80.63123327657506</v>
      </c>
      <c r="ER430" s="276">
        <v>-28.158858063773451</v>
      </c>
      <c r="ES430" s="276">
        <v>-28.927360741040413</v>
      </c>
      <c r="ET430" s="276">
        <v>49.576669802445927</v>
      </c>
      <c r="EU430" s="276">
        <v>3.1678431830115095</v>
      </c>
      <c r="EV430" s="276">
        <v>129.61956521739131</v>
      </c>
      <c r="EW430" s="276">
        <v>-35.927594898037128</v>
      </c>
      <c r="EX430" s="276">
        <v>-36.735008478495452</v>
      </c>
      <c r="EY430" s="276">
        <v>52.100840336134461</v>
      </c>
      <c r="EZ430" s="276">
        <v>15.576294628089986</v>
      </c>
      <c r="FA430" s="276">
        <v>126.89027671800923</v>
      </c>
      <c r="FB430" s="276">
        <v>-12.928779059146416</v>
      </c>
      <c r="FC430" s="276">
        <v>-13.515297699926039</v>
      </c>
      <c r="FD430" s="276">
        <v>57.942061499563778</v>
      </c>
      <c r="FE430" s="276">
        <v>-7.4201063054913119</v>
      </c>
      <c r="FF430" s="276">
        <v>37.07433245330067</v>
      </c>
      <c r="FG430" s="276">
        <v>-26.893012566284295</v>
      </c>
      <c r="FH430" s="276">
        <v>-27.717904302831116</v>
      </c>
      <c r="FI430" s="276">
        <v>82.359651267008871</v>
      </c>
      <c r="FJ430" s="276">
        <v>-4.1041187220006989</v>
      </c>
      <c r="FK430" s="276">
        <v>-82.7512973092104</v>
      </c>
      <c r="FL430" s="276">
        <v>4.575324776787359</v>
      </c>
      <c r="FM430" s="276">
        <v>4.575324776787359</v>
      </c>
      <c r="FN430" s="277"/>
      <c r="FO430" s="277"/>
      <c r="FP430" s="277" t="s">
        <v>237</v>
      </c>
      <c r="FQ430" s="276">
        <v>-159.92647058823525</v>
      </c>
      <c r="FR430" s="276">
        <v>4.8752337765671747</v>
      </c>
      <c r="FS430" s="276">
        <v>12.862047418537101</v>
      </c>
      <c r="FT430" s="276">
        <v>6.5047881993014327</v>
      </c>
      <c r="FU430" s="277" t="s">
        <v>237</v>
      </c>
      <c r="FV430" s="277" t="s">
        <v>237</v>
      </c>
      <c r="FW430" s="277" t="s">
        <v>237</v>
      </c>
      <c r="FX430" s="276">
        <v>-8.2969780636909292</v>
      </c>
      <c r="FY430" s="276">
        <v>-3.8385934614533457</v>
      </c>
      <c r="FZ430" s="276"/>
      <c r="GA430" s="276"/>
      <c r="GB430" s="276">
        <v>-26.421543446477255</v>
      </c>
      <c r="GC430" s="276">
        <v>10.423504869741469</v>
      </c>
      <c r="GD430" s="277" t="s">
        <v>237</v>
      </c>
      <c r="GE430" s="277" t="s">
        <v>237</v>
      </c>
      <c r="GF430" s="276">
        <v>2.6459420819006261</v>
      </c>
      <c r="GG430" s="276">
        <v>-42.366551853912028</v>
      </c>
      <c r="GH430" s="276">
        <v>-87.368170452288126</v>
      </c>
      <c r="GI430" s="276">
        <v>-8.3429040196882642</v>
      </c>
      <c r="GJ430" s="276">
        <v>8.9754098717661748</v>
      </c>
    </row>
    <row r="431" spans="1:192">
      <c r="A431" s="274"/>
      <c r="B431" s="275" t="s">
        <v>255</v>
      </c>
      <c r="C431" s="275" t="s">
        <v>255</v>
      </c>
      <c r="D431" s="276">
        <v>0.88551333299554502</v>
      </c>
      <c r="E431" s="276">
        <v>8.2799040202664997</v>
      </c>
      <c r="F431" s="276">
        <v>-0.45011615900877056</v>
      </c>
      <c r="G431" s="276">
        <v>3.6364012604448361</v>
      </c>
      <c r="H431" s="276">
        <v>4.3029918405158698</v>
      </c>
      <c r="I431" s="276">
        <v>2.6945857960392483</v>
      </c>
      <c r="J431" s="276">
        <v>2.7672778077338864</v>
      </c>
      <c r="K431" s="276">
        <v>-0.62941881926210774</v>
      </c>
      <c r="L431" s="276">
        <v>2.7181007489372928</v>
      </c>
      <c r="M431" s="276">
        <v>3.2712098850877012</v>
      </c>
      <c r="N431" s="276">
        <v>1.3915064341175374</v>
      </c>
      <c r="O431" s="276">
        <v>0.50482856778013463</v>
      </c>
      <c r="P431" s="276">
        <v>6.976300423615629</v>
      </c>
      <c r="Q431" s="276">
        <v>33.847019706992683</v>
      </c>
      <c r="R431" s="276">
        <v>-2.0710445498403449</v>
      </c>
      <c r="S431" s="276">
        <v>3.992532170557213</v>
      </c>
      <c r="T431" s="276">
        <v>4.2243510140326368</v>
      </c>
      <c r="U431" s="276">
        <v>6.5321753474486455</v>
      </c>
      <c r="V431" s="276">
        <v>9.2656764239817466</v>
      </c>
      <c r="W431" s="276">
        <v>1.608102869213994</v>
      </c>
      <c r="X431" s="276">
        <v>38.812827514945752</v>
      </c>
      <c r="Y431" s="276">
        <v>5.5574914326008384</v>
      </c>
      <c r="Z431" s="276">
        <v>26.955064774231147</v>
      </c>
      <c r="AA431" s="276">
        <v>-37.832797350771692</v>
      </c>
      <c r="AB431" s="277" t="s">
        <v>237</v>
      </c>
      <c r="AC431" s="276">
        <v>-0.45011615900877056</v>
      </c>
      <c r="AD431" s="276">
        <v>3.8745819856504697</v>
      </c>
      <c r="AE431" s="276">
        <v>8.6756194616912587</v>
      </c>
      <c r="AF431" s="276">
        <v>-1.8124339773213878</v>
      </c>
      <c r="AG431" s="276">
        <v>-1.777772851100027</v>
      </c>
      <c r="AH431" s="276">
        <v>-3.3242255479649687</v>
      </c>
      <c r="AI431" s="276">
        <v>3.2642802077597159</v>
      </c>
      <c r="AJ431" s="276">
        <v>6.3227898888644392</v>
      </c>
      <c r="AK431" s="276">
        <v>2.2077787842906837</v>
      </c>
      <c r="AL431" s="276">
        <v>7.1288009623177322</v>
      </c>
      <c r="AM431" s="276">
        <v>-13.084444102093366</v>
      </c>
      <c r="AN431" s="276">
        <v>-3.1604757333036475</v>
      </c>
      <c r="AO431" s="276">
        <v>34.986769685211698</v>
      </c>
      <c r="AP431" s="276">
        <v>71.481103473118594</v>
      </c>
      <c r="AQ431" s="276">
        <v>7.1483511794312529</v>
      </c>
      <c r="AR431" s="276">
        <v>14.562275767986753</v>
      </c>
      <c r="AS431" s="276">
        <v>43.961890296244981</v>
      </c>
      <c r="AT431" s="276">
        <v>-100</v>
      </c>
      <c r="AU431" s="276">
        <v>-0.45011615900877056</v>
      </c>
      <c r="AV431" s="276">
        <v>-8.3758235543939712</v>
      </c>
      <c r="AW431" s="276">
        <v>8.1849333192613791</v>
      </c>
      <c r="AX431" s="276">
        <v>5.7975299837032752</v>
      </c>
      <c r="AY431" s="276">
        <v>15.563647956661859</v>
      </c>
      <c r="AZ431" s="276">
        <v>-4.2619963361180044</v>
      </c>
      <c r="BA431" s="276">
        <v>2.2802186266551057</v>
      </c>
      <c r="BB431" s="276">
        <v>-4.7316984762090719</v>
      </c>
      <c r="BC431" s="276">
        <v>-24.970440685910553</v>
      </c>
      <c r="BD431" s="276">
        <v>-56.869604765859783</v>
      </c>
      <c r="BE431" s="276">
        <v>13.280667661345028</v>
      </c>
      <c r="BF431" s="276">
        <v>-24.950313394904438</v>
      </c>
      <c r="BG431" s="276">
        <v>-36.661492865263995</v>
      </c>
      <c r="BH431" s="276">
        <v>36.972972630672388</v>
      </c>
      <c r="BI431" s="276">
        <v>-32.243900045790546</v>
      </c>
      <c r="BJ431" s="276">
        <v>-36.489141767203932</v>
      </c>
      <c r="BK431" s="276">
        <v>19.486053719008297</v>
      </c>
      <c r="BL431" s="277" t="s">
        <v>237</v>
      </c>
      <c r="BM431" s="276">
        <v>99.982721415195755</v>
      </c>
      <c r="BN431" s="276">
        <v>-6.1776034868349656</v>
      </c>
      <c r="BO431" s="276">
        <v>-13.763655060153742</v>
      </c>
      <c r="BP431" s="276">
        <v>0.13667253692318565</v>
      </c>
      <c r="BQ431" s="276">
        <v>34.793402143971335</v>
      </c>
      <c r="BR431" s="276">
        <v>10.579196217494093</v>
      </c>
      <c r="BS431" s="276">
        <v>6.925476598014864</v>
      </c>
      <c r="BT431" s="276">
        <v>6.2810454330153611</v>
      </c>
      <c r="BU431" s="276">
        <v>9.4323706621555559</v>
      </c>
      <c r="BV431" s="276">
        <v>7.3661453690512371</v>
      </c>
      <c r="BW431" s="277" t="s">
        <v>237</v>
      </c>
      <c r="BX431" s="277" t="s">
        <v>237</v>
      </c>
      <c r="BY431" s="276">
        <v>-14.948844259189087</v>
      </c>
      <c r="BZ431" s="276">
        <v>-98.335357612854636</v>
      </c>
      <c r="CA431" s="276">
        <v>-50.890415225511774</v>
      </c>
      <c r="CB431" s="276">
        <v>76.695581755015283</v>
      </c>
      <c r="CC431" s="276">
        <v>-48.093353729080526</v>
      </c>
      <c r="CD431" s="276">
        <v>99.904083936067238</v>
      </c>
      <c r="CE431" s="276">
        <v>0.22210487077534494</v>
      </c>
      <c r="CF431" s="276">
        <v>11.905600164298884</v>
      </c>
      <c r="CG431" s="276">
        <v>6.2238692512352829</v>
      </c>
      <c r="CH431" s="276">
        <v>-142.01621009301661</v>
      </c>
      <c r="CI431" s="276">
        <v>4.399072194247692</v>
      </c>
      <c r="CJ431" s="276">
        <v>7.4819018634310472</v>
      </c>
      <c r="CK431" s="276">
        <v>3.9776208699056204</v>
      </c>
      <c r="CL431" s="276">
        <v>3.6885955093597618</v>
      </c>
      <c r="CM431" s="276">
        <v>6.6827544663412333</v>
      </c>
      <c r="CN431" s="276">
        <v>-2.5234114714526221</v>
      </c>
      <c r="CO431" s="276">
        <v>146.60814046288905</v>
      </c>
      <c r="CP431" s="276">
        <v>-87.425642749117785</v>
      </c>
      <c r="CQ431" s="276">
        <v>7.9512433112547673E-2</v>
      </c>
      <c r="CR431" s="276">
        <v>3.099912807283109</v>
      </c>
      <c r="CS431" s="276">
        <v>11.039895680683216</v>
      </c>
      <c r="CT431" s="276">
        <v>13.389902376236259</v>
      </c>
      <c r="CU431" s="276">
        <v>29.034119823970652</v>
      </c>
      <c r="CV431" s="276">
        <v>-110.33538672142367</v>
      </c>
      <c r="CW431" s="276">
        <v>-8.9911809870833004</v>
      </c>
      <c r="CX431" s="276">
        <v>1.8152374180538702</v>
      </c>
      <c r="CY431" s="276">
        <v>-6.1647562618320366</v>
      </c>
      <c r="CZ431" s="276">
        <v>16.061049818940695</v>
      </c>
      <c r="DA431" s="276">
        <v>52.070457354758965</v>
      </c>
      <c r="DB431" s="276">
        <v>-21.375472753098741</v>
      </c>
      <c r="DC431" s="276">
        <v>6.2982174901883852</v>
      </c>
      <c r="DD431" s="276">
        <v>8.170767007574165</v>
      </c>
      <c r="DE431" s="276">
        <v>11.570955831706542</v>
      </c>
      <c r="DF431" s="276">
        <v>4.891851755465666</v>
      </c>
      <c r="DG431" s="276">
        <v>5.0056152499361302</v>
      </c>
      <c r="DH431" s="276">
        <v>9.5666909371114592E-2</v>
      </c>
      <c r="DI431" s="276">
        <v>1.8666656226788911</v>
      </c>
      <c r="DJ431" s="276">
        <v>6.3680838672102471</v>
      </c>
      <c r="DK431" s="276">
        <v>3.1390224158779971</v>
      </c>
      <c r="DL431" s="276">
        <v>8.5433312845728331</v>
      </c>
      <c r="DM431" s="276">
        <v>0.99131203785213373</v>
      </c>
      <c r="DN431" s="276">
        <v>2.2261143117475921</v>
      </c>
      <c r="DO431" s="276">
        <v>-4.3749688929197514</v>
      </c>
      <c r="DP431" s="276"/>
      <c r="DQ431" s="276">
        <v>79.800242253635489</v>
      </c>
      <c r="DR431" s="276">
        <v>12.16931216931218</v>
      </c>
      <c r="DS431" s="276">
        <v>-97.593637174156754</v>
      </c>
      <c r="DT431" s="276">
        <v>-7.1153338611770858</v>
      </c>
      <c r="DU431" s="276">
        <v>33.250512699163906</v>
      </c>
      <c r="DV431" s="276">
        <v>-25.352112676056347</v>
      </c>
      <c r="DW431" s="276">
        <v>-174.17809759388354</v>
      </c>
      <c r="DX431" s="276">
        <v>0.89903181189487946</v>
      </c>
      <c r="DY431" s="276">
        <v>-40.827478532396576</v>
      </c>
      <c r="DZ431" s="277" t="s">
        <v>237</v>
      </c>
      <c r="EA431" s="276">
        <v>-34.359748097612183</v>
      </c>
      <c r="EB431" s="276">
        <v>64.219234746639088</v>
      </c>
      <c r="EC431" s="276"/>
      <c r="ED431" s="277" t="s">
        <v>237</v>
      </c>
      <c r="EE431" s="276">
        <v>-13.500784929356351</v>
      </c>
      <c r="EF431" s="276">
        <v>0.160961414665235</v>
      </c>
      <c r="EG431" s="276">
        <v>-15.118875877054389</v>
      </c>
      <c r="EH431" s="276">
        <v>10.180372266022459</v>
      </c>
      <c r="EI431" s="276">
        <v>10.208461687943656</v>
      </c>
      <c r="EJ431" s="276">
        <v>8.2747162775131642</v>
      </c>
      <c r="EK431" s="276">
        <v>6.3087529599128258</v>
      </c>
      <c r="EL431" s="276">
        <v>-9.4767632387032634</v>
      </c>
      <c r="EM431" s="276">
        <v>19.777553973970313</v>
      </c>
      <c r="EN431" s="276">
        <v>20.004178446094095</v>
      </c>
      <c r="EO431" s="276">
        <v>9.2241379310344911</v>
      </c>
      <c r="EP431" s="276">
        <v>6.496308667445315</v>
      </c>
      <c r="EQ431" s="276">
        <v>0.97801568865098321</v>
      </c>
      <c r="ER431" s="276">
        <v>10.69855980925645</v>
      </c>
      <c r="ES431" s="276">
        <v>10.823012149881251</v>
      </c>
      <c r="ET431" s="276">
        <v>4.7169811320754684</v>
      </c>
      <c r="EU431" s="276">
        <v>8.3408731056321965</v>
      </c>
      <c r="EV431" s="276">
        <v>-8.1226465841850555</v>
      </c>
      <c r="EW431" s="276">
        <v>26.582429371796408</v>
      </c>
      <c r="EX431" s="276">
        <v>26.876218323586741</v>
      </c>
      <c r="EY431" s="276">
        <v>13.259668508287291</v>
      </c>
      <c r="EZ431" s="276">
        <v>-2.1099682517695055</v>
      </c>
      <c r="FA431" s="276">
        <v>-0.91968276566363649</v>
      </c>
      <c r="FB431" s="276">
        <v>-2.9042321760995562</v>
      </c>
      <c r="FC431" s="276">
        <v>-2.8941148567970241</v>
      </c>
      <c r="FD431" s="276">
        <v>-3.5736429739022624</v>
      </c>
      <c r="FE431" s="276">
        <v>1.8515850959357893</v>
      </c>
      <c r="FF431" s="276">
        <v>-26.228088269819789</v>
      </c>
      <c r="FG431" s="276">
        <v>24.893275834709076</v>
      </c>
      <c r="FH431" s="276">
        <v>24.910896336188973</v>
      </c>
      <c r="FI431" s="276">
        <v>23.968246876070481</v>
      </c>
      <c r="FJ431" s="276">
        <v>-4.2948551999678841</v>
      </c>
      <c r="FK431" s="277" t="s">
        <v>237</v>
      </c>
      <c r="FL431" s="276">
        <v>25.109683512409653</v>
      </c>
      <c r="FM431" s="276">
        <v>25.109683512409653</v>
      </c>
      <c r="FN431" s="277"/>
      <c r="FO431" s="277"/>
      <c r="FP431" s="276">
        <v>79.158369569634644</v>
      </c>
      <c r="FQ431" s="276">
        <v>-14.568599717114584</v>
      </c>
      <c r="FR431" s="276">
        <v>6.9013164978388755</v>
      </c>
      <c r="FS431" s="276">
        <v>-20.32803049286062</v>
      </c>
      <c r="FT431" s="276">
        <v>5.8920873741881747</v>
      </c>
      <c r="FU431" s="276">
        <v>5.4523390918819796</v>
      </c>
      <c r="FV431" s="276">
        <v>3.5052616827192611</v>
      </c>
      <c r="FW431" s="277" t="s">
        <v>237</v>
      </c>
      <c r="FX431" s="276">
        <v>16.405107873926816</v>
      </c>
      <c r="FY431" s="276">
        <v>-0.61506118919374542</v>
      </c>
      <c r="FZ431" s="276"/>
      <c r="GA431" s="276"/>
      <c r="GB431" s="276">
        <v>2.1924760344781231</v>
      </c>
      <c r="GC431" s="276">
        <v>-3.2920242814939376</v>
      </c>
      <c r="GD431" s="276">
        <v>6.9028055370493684</v>
      </c>
      <c r="GE431" s="277" t="s">
        <v>237</v>
      </c>
      <c r="GF431" s="276">
        <v>-4.0097981094339348</v>
      </c>
      <c r="GG431" s="276">
        <v>8.2409245266643989</v>
      </c>
      <c r="GH431" s="276">
        <v>16.983782096683189</v>
      </c>
      <c r="GI431" s="276">
        <v>-41.457084041886688</v>
      </c>
      <c r="GJ431" s="276">
        <v>7.5204413689022509</v>
      </c>
    </row>
    <row r="432" spans="1:192">
      <c r="A432" s="274"/>
      <c r="B432" s="275" t="s">
        <v>256</v>
      </c>
      <c r="C432" s="275" t="s">
        <v>256</v>
      </c>
      <c r="D432" s="276">
        <v>2.6287625229797564</v>
      </c>
      <c r="E432" s="276">
        <v>2.5617882264333636</v>
      </c>
      <c r="F432" s="276">
        <v>1.0724667940831603</v>
      </c>
      <c r="G432" s="276">
        <v>4.0124622500549956</v>
      </c>
      <c r="H432" s="276">
        <v>5.549677053457688</v>
      </c>
      <c r="I432" s="276">
        <v>1.8065388811081993</v>
      </c>
      <c r="J432" s="276">
        <v>1.6578322608763711</v>
      </c>
      <c r="K432" s="276">
        <v>8.8389176868398707</v>
      </c>
      <c r="L432" s="276">
        <v>-0.20399074843540119</v>
      </c>
      <c r="M432" s="276">
        <v>-1.2180128337875828</v>
      </c>
      <c r="N432" s="276">
        <v>13.731016189083999</v>
      </c>
      <c r="O432" s="276">
        <v>13.728689818528295</v>
      </c>
      <c r="P432" s="276">
        <v>13.744782562163326</v>
      </c>
      <c r="Q432" s="276">
        <v>-1.7493560077266079</v>
      </c>
      <c r="R432" s="276">
        <v>-4.5710314783139498</v>
      </c>
      <c r="S432" s="276">
        <v>-1.277673514950767</v>
      </c>
      <c r="T432" s="276">
        <v>-1.0735637577950872</v>
      </c>
      <c r="U432" s="276">
        <v>-47.820430389341524</v>
      </c>
      <c r="V432" s="276">
        <v>5.5252754001458655</v>
      </c>
      <c r="W432" s="276">
        <v>0.6216983082613321</v>
      </c>
      <c r="X432" s="276">
        <v>24.093409078783463</v>
      </c>
      <c r="Y432" s="276">
        <v>-10.563670803700084</v>
      </c>
      <c r="Z432" s="276">
        <v>-42.506898041953399</v>
      </c>
      <c r="AA432" s="276">
        <v>-5.1928564613636512</v>
      </c>
      <c r="AB432" s="276">
        <v>53.975562245440059</v>
      </c>
      <c r="AC432" s="276">
        <v>1.0724667940831603</v>
      </c>
      <c r="AD432" s="276">
        <v>-0.43537824429416966</v>
      </c>
      <c r="AE432" s="276">
        <v>-6.0417706538007465</v>
      </c>
      <c r="AF432" s="276">
        <v>6.9149794418601855</v>
      </c>
      <c r="AG432" s="276">
        <v>6.8951241663085883</v>
      </c>
      <c r="AH432" s="276">
        <v>7.7948469610560407</v>
      </c>
      <c r="AI432" s="276">
        <v>-1.2103316078299011</v>
      </c>
      <c r="AJ432" s="276">
        <v>0.86095733536654351</v>
      </c>
      <c r="AK432" s="276">
        <v>-0.28763051193622496</v>
      </c>
      <c r="AL432" s="276">
        <v>-1.1382364643243015</v>
      </c>
      <c r="AM432" s="276">
        <v>-19.233072915063925</v>
      </c>
      <c r="AN432" s="276">
        <v>-4.1282587525343635</v>
      </c>
      <c r="AO432" s="276">
        <v>41.738231768419872</v>
      </c>
      <c r="AP432" s="276">
        <v>-1.9520616887379523</v>
      </c>
      <c r="AQ432" s="276">
        <v>12.729700932304119</v>
      </c>
      <c r="AR432" s="276">
        <v>26.577732762847962</v>
      </c>
      <c r="AS432" s="276">
        <v>-5.4849449527254173</v>
      </c>
      <c r="AT432" s="277" t="s">
        <v>237</v>
      </c>
      <c r="AU432" s="276">
        <v>1.0724667940831603</v>
      </c>
      <c r="AV432" s="276">
        <v>7.9725209500795344</v>
      </c>
      <c r="AW432" s="276">
        <v>4.5133030918909771</v>
      </c>
      <c r="AX432" s="276">
        <v>22.898002130883928</v>
      </c>
      <c r="AY432" s="276">
        <v>7.7737204813866354</v>
      </c>
      <c r="AZ432" s="276">
        <v>60.253823481677557</v>
      </c>
      <c r="BA432" s="276">
        <v>31.851296867436062</v>
      </c>
      <c r="BB432" s="276">
        <v>8.1246798858564464</v>
      </c>
      <c r="BC432" s="276">
        <v>34.114699681112413</v>
      </c>
      <c r="BD432" s="276">
        <v>-9.8651495056918144</v>
      </c>
      <c r="BE432" s="276">
        <v>-2.2459424360180584</v>
      </c>
      <c r="BF432" s="276">
        <v>-5.419148906157738</v>
      </c>
      <c r="BG432" s="276">
        <v>-9.3992677181363415</v>
      </c>
      <c r="BH432" s="276">
        <v>40.212769876635008</v>
      </c>
      <c r="BI432" s="276">
        <v>-6.5645307891596412</v>
      </c>
      <c r="BJ432" s="276">
        <v>-12.79612891955896</v>
      </c>
      <c r="BK432" s="276">
        <v>37.633084503479424</v>
      </c>
      <c r="BL432" s="276">
        <v>74.391873656691914</v>
      </c>
      <c r="BM432" s="276">
        <v>100</v>
      </c>
      <c r="BN432" s="276">
        <v>10.344717023550228</v>
      </c>
      <c r="BO432" s="276">
        <v>-18.897854397525538</v>
      </c>
      <c r="BP432" s="276">
        <v>-2.5851419076750455</v>
      </c>
      <c r="BQ432" s="276">
        <v>41.961757594559586</v>
      </c>
      <c r="BR432" s="276">
        <v>55.905932656333498</v>
      </c>
      <c r="BS432" s="276">
        <v>5.8758244742452179</v>
      </c>
      <c r="BT432" s="276">
        <v>8.3193876185328683</v>
      </c>
      <c r="BU432" s="276">
        <v>0.45477205542100663</v>
      </c>
      <c r="BV432" s="276">
        <v>15.094799880853463</v>
      </c>
      <c r="BW432" s="277" t="s">
        <v>237</v>
      </c>
      <c r="BX432" s="276">
        <v>17.054928770100823</v>
      </c>
      <c r="BY432" s="276">
        <v>80.104337735135502</v>
      </c>
      <c r="BZ432" s="276">
        <v>-71.622239146991618</v>
      </c>
      <c r="CA432" s="276">
        <v>10.61620051161947</v>
      </c>
      <c r="CB432" s="276">
        <v>-5.7355059939861307E-2</v>
      </c>
      <c r="CC432" s="276">
        <v>-0.40579968168360908</v>
      </c>
      <c r="CD432" s="276">
        <v>100</v>
      </c>
      <c r="CE432" s="276">
        <v>15.47928492230877</v>
      </c>
      <c r="CF432" s="276">
        <v>6.7962854274231255</v>
      </c>
      <c r="CG432" s="276">
        <v>10.076929957956883</v>
      </c>
      <c r="CH432" s="276">
        <v>33.350583597306318</v>
      </c>
      <c r="CI432" s="276">
        <v>2.7944097887285846</v>
      </c>
      <c r="CJ432" s="276">
        <v>23.486204796319228</v>
      </c>
      <c r="CK432" s="276">
        <v>-0.12968553750352263</v>
      </c>
      <c r="CL432" s="276">
        <v>-6.363849744529162</v>
      </c>
      <c r="CM432" s="276">
        <v>11.471306359562744</v>
      </c>
      <c r="CN432" s="276">
        <v>9.6527953231211523</v>
      </c>
      <c r="CO432" s="277" t="s">
        <v>237</v>
      </c>
      <c r="CP432" s="276">
        <v>-99.153637133057146</v>
      </c>
      <c r="CQ432" s="276">
        <v>9.7728114615047108</v>
      </c>
      <c r="CR432" s="276">
        <v>7.3251437020661472</v>
      </c>
      <c r="CS432" s="276">
        <v>11.291512969245359</v>
      </c>
      <c r="CT432" s="276">
        <v>11.561272720888756</v>
      </c>
      <c r="CU432" s="276">
        <v>28.646397151350968</v>
      </c>
      <c r="CV432" s="276">
        <v>27.790432801822316</v>
      </c>
      <c r="CW432" s="276">
        <v>4.2075571873200159</v>
      </c>
      <c r="CX432" s="276">
        <v>7.4195293799365949</v>
      </c>
      <c r="CY432" s="276">
        <v>9.4186244146095959</v>
      </c>
      <c r="CZ432" s="276">
        <v>3.5646273256146102</v>
      </c>
      <c r="DA432" s="276">
        <v>-79.756739331207413</v>
      </c>
      <c r="DB432" s="276">
        <v>-2.5199594551771431</v>
      </c>
      <c r="DC432" s="276">
        <v>-5.0144959770754101</v>
      </c>
      <c r="DD432" s="276">
        <v>7.3538305095837186</v>
      </c>
      <c r="DE432" s="276">
        <v>14.489434038030799</v>
      </c>
      <c r="DF432" s="276">
        <v>3.4568919159069136E-2</v>
      </c>
      <c r="DG432" s="276">
        <v>-0.10435526310742693</v>
      </c>
      <c r="DH432" s="276">
        <v>6.1788076877911138</v>
      </c>
      <c r="DI432" s="276">
        <v>1.8787654018075366</v>
      </c>
      <c r="DJ432" s="276">
        <v>2.0939267727927087</v>
      </c>
      <c r="DK432" s="276">
        <v>2.9071870599330696</v>
      </c>
      <c r="DL432" s="276">
        <v>5.6316277154329315</v>
      </c>
      <c r="DM432" s="276">
        <v>3.8872429365009311</v>
      </c>
      <c r="DN432" s="276">
        <v>-1.5549083383619338</v>
      </c>
      <c r="DO432" s="276">
        <v>0.66137652196480767</v>
      </c>
      <c r="DP432" s="276"/>
      <c r="DQ432" s="276">
        <v>16.261144794830393</v>
      </c>
      <c r="DR432" s="276">
        <v>12.106918238993703</v>
      </c>
      <c r="DS432" s="276">
        <v>-48.910531331903755</v>
      </c>
      <c r="DT432" s="276">
        <v>-7.2258085711000639</v>
      </c>
      <c r="DU432" s="276">
        <v>-30.475627769571624</v>
      </c>
      <c r="DV432" s="276">
        <v>29.213483146067421</v>
      </c>
      <c r="DW432" s="276">
        <v>-69.366711228850036</v>
      </c>
      <c r="DX432" s="276">
        <v>-1.9111721405578115</v>
      </c>
      <c r="DY432" s="276">
        <v>-1.468957871396894</v>
      </c>
      <c r="DZ432" s="276">
        <v>-85.149296401807419</v>
      </c>
      <c r="EA432" s="276">
        <v>24.405081584626359</v>
      </c>
      <c r="EB432" s="277" t="s">
        <v>237</v>
      </c>
      <c r="EC432" s="277"/>
      <c r="ED432" s="276">
        <v>92.294807370184245</v>
      </c>
      <c r="EE432" s="276">
        <v>4.9792531120331844</v>
      </c>
      <c r="EF432" s="276">
        <v>0.22552824353364567</v>
      </c>
      <c r="EG432" s="276">
        <v>14.482700643324485</v>
      </c>
      <c r="EH432" s="276">
        <v>-6.9766479896281393</v>
      </c>
      <c r="EI432" s="276">
        <v>-7.3939483073932362</v>
      </c>
      <c r="EJ432" s="276">
        <v>21.839657789430099</v>
      </c>
      <c r="EK432" s="276">
        <v>1.6833689455881469</v>
      </c>
      <c r="EL432" s="276">
        <v>4.7762224635640909</v>
      </c>
      <c r="EM432" s="276">
        <v>-0.3110396375599444</v>
      </c>
      <c r="EN432" s="276">
        <v>-0.42884878562629913</v>
      </c>
      <c r="EO432" s="276">
        <v>5.7165407599503855</v>
      </c>
      <c r="EP432" s="276">
        <v>1.3130067273230313</v>
      </c>
      <c r="EQ432" s="276">
        <v>3.7058029239668575</v>
      </c>
      <c r="ER432" s="276">
        <v>-0.34913411266090971</v>
      </c>
      <c r="ES432" s="276">
        <v>-0.43097595390329496</v>
      </c>
      <c r="ET432" s="276">
        <v>3.8138138138138071</v>
      </c>
      <c r="EU432" s="276">
        <v>6.1172295004958537</v>
      </c>
      <c r="EV432" s="276">
        <v>-10.538641686182665</v>
      </c>
      <c r="EW432" s="276">
        <v>19.512195121951212</v>
      </c>
      <c r="EX432" s="276">
        <v>19.387363164970232</v>
      </c>
      <c r="EY432" s="276">
        <v>25.853658536585375</v>
      </c>
      <c r="EZ432" s="276">
        <v>0.60307239686569192</v>
      </c>
      <c r="FA432" s="276">
        <v>-11.366404107389428</v>
      </c>
      <c r="FB432" s="276">
        <v>8.7534164807348418</v>
      </c>
      <c r="FC432" s="276">
        <v>8.0874080499823346</v>
      </c>
      <c r="FD432" s="276">
        <v>53.130297539019104</v>
      </c>
      <c r="FE432" s="276">
        <v>-1.2035771155647221</v>
      </c>
      <c r="FF432" s="276">
        <v>43.636800949948793</v>
      </c>
      <c r="FG432" s="276">
        <v>-22.93777107167449</v>
      </c>
      <c r="FH432" s="276">
        <v>-23.222322232223227</v>
      </c>
      <c r="FI432" s="276">
        <v>-7.886010860685289</v>
      </c>
      <c r="FJ432" s="276">
        <v>0.16808485247372365</v>
      </c>
      <c r="FK432" s="276">
        <v>93.043389640500408</v>
      </c>
      <c r="FL432" s="276">
        <v>-20.44149003591297</v>
      </c>
      <c r="FM432" s="276">
        <v>-20.44149003591297</v>
      </c>
      <c r="FN432" s="277"/>
      <c r="FO432" s="277"/>
      <c r="FP432" s="276">
        <v>16.751161568618567</v>
      </c>
      <c r="FQ432" s="276">
        <v>18.395061728395063</v>
      </c>
      <c r="FR432" s="276">
        <v>13.613091103264857</v>
      </c>
      <c r="FS432" s="276">
        <v>-2.3211598011014987</v>
      </c>
      <c r="FT432" s="276">
        <v>14.577567409163686</v>
      </c>
      <c r="FU432" s="276">
        <v>18.563602392848274</v>
      </c>
      <c r="FV432" s="276">
        <v>14.704465042369629</v>
      </c>
      <c r="FW432" s="277" t="s">
        <v>237</v>
      </c>
      <c r="FX432" s="276">
        <v>15.145286147835948</v>
      </c>
      <c r="FY432" s="276">
        <v>2.8503139133980118</v>
      </c>
      <c r="FZ432" s="276"/>
      <c r="GA432" s="276"/>
      <c r="GB432" s="276">
        <v>-31.349931025422052</v>
      </c>
      <c r="GC432" s="276">
        <v>54.269427025775144</v>
      </c>
      <c r="GD432" s="276">
        <v>-8.487691721774052</v>
      </c>
      <c r="GE432" s="277" t="s">
        <v>237</v>
      </c>
      <c r="GF432" s="276">
        <v>-2.3566619611249973</v>
      </c>
      <c r="GG432" s="276">
        <v>1.6081037566390126</v>
      </c>
      <c r="GH432" s="276">
        <v>31.320868949523362</v>
      </c>
      <c r="GI432" s="276">
        <v>88.518575141415667</v>
      </c>
      <c r="GJ432" s="276">
        <v>-3.1198447103149971</v>
      </c>
    </row>
    <row r="433" spans="1:192">
      <c r="A433" s="274"/>
      <c r="B433" s="275" t="s">
        <v>257</v>
      </c>
      <c r="C433" s="275" t="s">
        <v>257</v>
      </c>
      <c r="D433" s="276">
        <v>1.6351182177028694</v>
      </c>
      <c r="E433" s="276">
        <v>1.1925138227248684</v>
      </c>
      <c r="F433" s="276">
        <v>-8.3460169412414178</v>
      </c>
      <c r="G433" s="276">
        <v>2.3294926841990269</v>
      </c>
      <c r="H433" s="276">
        <v>-2.4438688762197467</v>
      </c>
      <c r="I433" s="276">
        <v>9.4311781057921245</v>
      </c>
      <c r="J433" s="276">
        <v>9.511289726198136</v>
      </c>
      <c r="K433" s="276">
        <v>5.8926381845325198</v>
      </c>
      <c r="L433" s="276">
        <v>0.60616528790357549</v>
      </c>
      <c r="M433" s="276">
        <v>0.83625392972249457</v>
      </c>
      <c r="N433" s="276">
        <v>1.3882205195856736</v>
      </c>
      <c r="O433" s="276">
        <v>2.9325714506838176</v>
      </c>
      <c r="P433" s="276">
        <v>-7.74923315288643</v>
      </c>
      <c r="Q433" s="276">
        <v>13.997250431924483</v>
      </c>
      <c r="R433" s="276">
        <v>-3.1812460382833114</v>
      </c>
      <c r="S433" s="276">
        <v>-3.604823200350376</v>
      </c>
      <c r="T433" s="276">
        <v>-4.1785435366128416</v>
      </c>
      <c r="U433" s="276">
        <v>-9.6897098890782409</v>
      </c>
      <c r="V433" s="276">
        <v>-94.779287789221385</v>
      </c>
      <c r="W433" s="276">
        <v>-3.2546696301465898</v>
      </c>
      <c r="X433" s="276">
        <v>-6.8664661948244028</v>
      </c>
      <c r="Y433" s="276">
        <v>-2.7968646947071374</v>
      </c>
      <c r="Z433" s="276">
        <v>29.868781711086484</v>
      </c>
      <c r="AA433" s="276">
        <v>24.165567282321906</v>
      </c>
      <c r="AB433" s="276">
        <v>57.69526741054252</v>
      </c>
      <c r="AC433" s="276">
        <v>-8.3460169412414178</v>
      </c>
      <c r="AD433" s="276">
        <v>9.732876072136222E-2</v>
      </c>
      <c r="AE433" s="276">
        <v>-7.5690764534180346</v>
      </c>
      <c r="AF433" s="276">
        <v>8.9304261513579615</v>
      </c>
      <c r="AG433" s="276">
        <v>8.8874714603822742</v>
      </c>
      <c r="AH433" s="276">
        <v>10.818034380360643</v>
      </c>
      <c r="AI433" s="276">
        <v>0.81918712709663288</v>
      </c>
      <c r="AJ433" s="276">
        <v>1.9833866781393359</v>
      </c>
      <c r="AK433" s="276">
        <v>0.9475295136590266</v>
      </c>
      <c r="AL433" s="276">
        <v>-0.2839038984383509</v>
      </c>
      <c r="AM433" s="276">
        <v>-7.0074436181208428</v>
      </c>
      <c r="AN433" s="276">
        <v>-2.1382742939165582</v>
      </c>
      <c r="AO433" s="276">
        <v>-34.823981237260391</v>
      </c>
      <c r="AP433" s="276">
        <v>-2.9016945521253894</v>
      </c>
      <c r="AQ433" s="276">
        <v>12.899892994518197</v>
      </c>
      <c r="AR433" s="276">
        <v>-13.620778547217204</v>
      </c>
      <c r="AS433" s="276">
        <v>19.579993973194064</v>
      </c>
      <c r="AT433" s="277" t="s">
        <v>237</v>
      </c>
      <c r="AU433" s="276">
        <v>-8.3460169412414178</v>
      </c>
      <c r="AV433" s="276">
        <v>5.6531104809427974</v>
      </c>
      <c r="AW433" s="276">
        <v>8.4831673889113564</v>
      </c>
      <c r="AX433" s="276">
        <v>1.8539060037635173</v>
      </c>
      <c r="AY433" s="276">
        <v>-5.7702725227102354</v>
      </c>
      <c r="AZ433" s="276">
        <v>-20.713147938375062</v>
      </c>
      <c r="BA433" s="276">
        <v>15.329750926737976</v>
      </c>
      <c r="BB433" s="276">
        <v>6.9441624823491788</v>
      </c>
      <c r="BC433" s="276">
        <v>6.8379339869287223</v>
      </c>
      <c r="BD433" s="276">
        <v>-8.4938181528468668</v>
      </c>
      <c r="BE433" s="276">
        <v>-7.3923488652394216</v>
      </c>
      <c r="BF433" s="276">
        <v>-8.1635243384786236</v>
      </c>
      <c r="BG433" s="276">
        <v>-4.5564333252470668</v>
      </c>
      <c r="BH433" s="276">
        <v>-83.835622577247989</v>
      </c>
      <c r="BI433" s="276">
        <v>-68.576466202386769</v>
      </c>
      <c r="BJ433" s="276">
        <v>9.027537567476104</v>
      </c>
      <c r="BK433" s="276">
        <v>-39.129751914918423</v>
      </c>
      <c r="BL433" s="276">
        <v>69.446137437147641</v>
      </c>
      <c r="BM433" s="277" t="s">
        <v>237</v>
      </c>
      <c r="BN433" s="276">
        <v>4.9855217272885488</v>
      </c>
      <c r="BO433" s="276">
        <v>-6.9416810007589538</v>
      </c>
      <c r="BP433" s="276">
        <v>-1.5503253495777349</v>
      </c>
      <c r="BQ433" s="276">
        <v>-34.844217200974029</v>
      </c>
      <c r="BR433" s="276">
        <v>-4.8337332876242725</v>
      </c>
      <c r="BS433" s="276">
        <v>8.8198060925987516</v>
      </c>
      <c r="BT433" s="276">
        <v>1.6498216855240873</v>
      </c>
      <c r="BU433" s="276">
        <v>8.6981926889551939</v>
      </c>
      <c r="BV433" s="276">
        <v>21.598212476054115</v>
      </c>
      <c r="BW433" s="276">
        <v>139.61317727868408</v>
      </c>
      <c r="BX433" s="276">
        <v>-12.40383447725201</v>
      </c>
      <c r="BY433" s="276">
        <v>-8.9771897022867861</v>
      </c>
      <c r="BZ433" s="276">
        <v>154.64304884594739</v>
      </c>
      <c r="CA433" s="276">
        <v>5.7020737429660944</v>
      </c>
      <c r="CB433" s="276">
        <v>29.101325747443049</v>
      </c>
      <c r="CC433" s="276">
        <v>29.101325747443049</v>
      </c>
      <c r="CD433" s="277" t="s">
        <v>237</v>
      </c>
      <c r="CE433" s="276">
        <v>19.590785787181044</v>
      </c>
      <c r="CF433" s="276">
        <v>7.6245010639876698</v>
      </c>
      <c r="CG433" s="276">
        <v>5.9770021535085949</v>
      </c>
      <c r="CH433" s="276">
        <v>89.793718069822305</v>
      </c>
      <c r="CI433" s="276">
        <v>1.7561171767383679</v>
      </c>
      <c r="CJ433" s="276">
        <v>9.7453567625167459</v>
      </c>
      <c r="CK433" s="276">
        <v>0.36013192345663536</v>
      </c>
      <c r="CL433" s="276">
        <v>-1.8369120459158148</v>
      </c>
      <c r="CM433" s="276">
        <v>7.0387745895004121</v>
      </c>
      <c r="CN433" s="276">
        <v>-8.3168468812005969</v>
      </c>
      <c r="CO433" s="276">
        <v>99.874349308921182</v>
      </c>
      <c r="CP433" s="277" t="s">
        <v>237</v>
      </c>
      <c r="CQ433" s="276">
        <v>-9.5870472944184026</v>
      </c>
      <c r="CR433" s="276">
        <v>4.559927389395245</v>
      </c>
      <c r="CS433" s="276">
        <v>0.39361178020729104</v>
      </c>
      <c r="CT433" s="276">
        <v>-0.63491983042524269</v>
      </c>
      <c r="CU433" s="276">
        <v>20.571813631112818</v>
      </c>
      <c r="CV433" s="276">
        <v>27.129337539432175</v>
      </c>
      <c r="CW433" s="276">
        <v>-1.3351899671270053</v>
      </c>
      <c r="CX433" s="276">
        <v>7.7852452219175881</v>
      </c>
      <c r="CY433" s="276">
        <v>7.7781966227706336</v>
      </c>
      <c r="CZ433" s="276">
        <v>6.8892257649987938</v>
      </c>
      <c r="DA433" s="276">
        <v>51.816163711624029</v>
      </c>
      <c r="DB433" s="276">
        <v>-11.271104189474233</v>
      </c>
      <c r="DC433" s="276">
        <v>-7.6955187564031835</v>
      </c>
      <c r="DD433" s="276">
        <v>4.2127365931841814</v>
      </c>
      <c r="DE433" s="276">
        <v>-3.1843267725032018</v>
      </c>
      <c r="DF433" s="276">
        <v>12.896564338948451</v>
      </c>
      <c r="DG433" s="276">
        <v>13.124357526976379</v>
      </c>
      <c r="DH433" s="276">
        <v>3.4180629542927119</v>
      </c>
      <c r="DI433" s="276">
        <v>1.3247666782384908</v>
      </c>
      <c r="DJ433" s="276">
        <v>1.9573047045391165</v>
      </c>
      <c r="DK433" s="276">
        <v>3.2676005059429469</v>
      </c>
      <c r="DL433" s="276">
        <v>5.8869395711501076</v>
      </c>
      <c r="DM433" s="276">
        <v>2.9291991511359958</v>
      </c>
      <c r="DN433" s="276">
        <v>1.5007931283140585</v>
      </c>
      <c r="DO433" s="276">
        <v>-7.0144117385147169</v>
      </c>
      <c r="DP433" s="276"/>
      <c r="DQ433" s="276">
        <v>-25.823368316100918</v>
      </c>
      <c r="DR433" s="277" t="s">
        <v>237</v>
      </c>
      <c r="DS433" s="276">
        <v>45.265629562664259</v>
      </c>
      <c r="DT433" s="276">
        <v>-10.565581053341081</v>
      </c>
      <c r="DU433" s="276">
        <v>-16.745913145858811</v>
      </c>
      <c r="DV433" s="276">
        <v>-26.455026455026449</v>
      </c>
      <c r="DW433" s="276">
        <v>56.005278354509301</v>
      </c>
      <c r="DX433" s="276">
        <v>-4.3117158508570377</v>
      </c>
      <c r="DY433" s="276">
        <v>-8.0579076754984964</v>
      </c>
      <c r="DZ433" s="276">
        <v>63.788551673248513</v>
      </c>
      <c r="EA433" s="276">
        <v>-3.8454583031931433</v>
      </c>
      <c r="EB433" s="276">
        <v>39.41732073965678</v>
      </c>
      <c r="EC433" s="276"/>
      <c r="ED433" s="276">
        <v>55.434782608695649</v>
      </c>
      <c r="EE433" s="276">
        <v>46.288209606986904</v>
      </c>
      <c r="EF433" s="276">
        <v>3.7580200596677922</v>
      </c>
      <c r="EG433" s="276">
        <v>5.4358501508766333</v>
      </c>
      <c r="EH433" s="276">
        <v>2.7149194410741528</v>
      </c>
      <c r="EI433" s="276">
        <v>2.8332881056794212</v>
      </c>
      <c r="EJ433" s="276">
        <v>-3.4977326574342125</v>
      </c>
      <c r="EK433" s="276">
        <v>1.2310929148185998</v>
      </c>
      <c r="EL433" s="276">
        <v>7.0033047434104958</v>
      </c>
      <c r="EM433" s="276">
        <v>-2.6810319967562988</v>
      </c>
      <c r="EN433" s="276">
        <v>-2.6319808245191183</v>
      </c>
      <c r="EO433" s="276">
        <v>-5.0447952218429926</v>
      </c>
      <c r="EP433" s="276">
        <v>2.2638518868242752</v>
      </c>
      <c r="EQ433" s="276">
        <v>-9.1239350586722416</v>
      </c>
      <c r="ER433" s="276">
        <v>10.496194294346639</v>
      </c>
      <c r="ES433" s="276">
        <v>10.523975262817737</v>
      </c>
      <c r="ET433" s="276">
        <v>9.1408735898177707</v>
      </c>
      <c r="EU433" s="276">
        <v>5.6957355762136705</v>
      </c>
      <c r="EV433" s="276">
        <v>18.952879581151826</v>
      </c>
      <c r="EW433" s="276">
        <v>-2.2850839177369724</v>
      </c>
      <c r="EX433" s="276">
        <v>-2.2681573232526344</v>
      </c>
      <c r="EY433" s="276">
        <v>-3.1007751937984525</v>
      </c>
      <c r="EZ433" s="276">
        <v>7.9055020201346977</v>
      </c>
      <c r="FA433" s="276">
        <v>8.4703803920524035</v>
      </c>
      <c r="FB433" s="276">
        <v>7.5920210414647782</v>
      </c>
      <c r="FC433" s="276">
        <v>7.7823232525737378</v>
      </c>
      <c r="FD433" s="276">
        <v>-1.3582226294090674</v>
      </c>
      <c r="FE433" s="276">
        <v>1.4732089872389191</v>
      </c>
      <c r="FF433" s="276">
        <v>0.45797919242746538</v>
      </c>
      <c r="FG433" s="276">
        <v>2.3904063248186165</v>
      </c>
      <c r="FH433" s="276">
        <v>2.6155182803180348</v>
      </c>
      <c r="FI433" s="276">
        <v>-7.5346932387312195</v>
      </c>
      <c r="FJ433" s="276">
        <v>-6.838541790767815</v>
      </c>
      <c r="FK433" s="277" t="s">
        <v>237</v>
      </c>
      <c r="FL433" s="276">
        <v>-17.357885889526237</v>
      </c>
      <c r="FM433" s="276">
        <v>-17.357885889526237</v>
      </c>
      <c r="FN433" s="277"/>
      <c r="FO433" s="277"/>
      <c r="FP433" s="276">
        <v>-25.814546891089368</v>
      </c>
      <c r="FQ433" s="277" t="s">
        <v>237</v>
      </c>
      <c r="FR433" s="276">
        <v>-3.214039877059597</v>
      </c>
      <c r="FS433" s="276">
        <v>-27.646629591818144</v>
      </c>
      <c r="FT433" s="276">
        <v>-5.5679752508630518</v>
      </c>
      <c r="FU433" s="276">
        <v>-14.954800455077867</v>
      </c>
      <c r="FV433" s="276">
        <v>-15.522307979150071</v>
      </c>
      <c r="FW433" s="276">
        <v>-4.2649526004083027</v>
      </c>
      <c r="FX433" s="276">
        <v>5.6559349860076003</v>
      </c>
      <c r="FY433" s="276">
        <v>1.5920284890862726</v>
      </c>
      <c r="FZ433" s="276"/>
      <c r="GA433" s="276"/>
      <c r="GB433" s="276">
        <v>36.485943390810093</v>
      </c>
      <c r="GC433" s="276">
        <v>-32.262172938581919</v>
      </c>
      <c r="GD433" s="276">
        <v>-69.719841855361963</v>
      </c>
      <c r="GE433" s="276">
        <v>-55.357851742724314</v>
      </c>
      <c r="GF433" s="276">
        <v>-14.951804247676387</v>
      </c>
      <c r="GG433" s="276">
        <v>6.8593086981644538</v>
      </c>
      <c r="GH433" s="276">
        <v>-22.923886585894735</v>
      </c>
      <c r="GI433" s="276">
        <v>-2.8951423242234964</v>
      </c>
      <c r="GJ433" s="276">
        <v>12.801292883157066</v>
      </c>
    </row>
    <row r="434" spans="1:192">
      <c r="A434" s="274"/>
      <c r="B434" s="275" t="s">
        <v>258</v>
      </c>
      <c r="C434" s="275" t="s">
        <v>258</v>
      </c>
      <c r="D434" s="276">
        <v>4.078827691111254</v>
      </c>
      <c r="E434" s="276">
        <v>-3.8724391192577841</v>
      </c>
      <c r="F434" s="276">
        <v>0.76645288899544184</v>
      </c>
      <c r="G434" s="276">
        <v>4.1353504446639411</v>
      </c>
      <c r="H434" s="276">
        <v>-0.58023216198792549</v>
      </c>
      <c r="I434" s="276">
        <v>10.389754727249453</v>
      </c>
      <c r="J434" s="276">
        <v>10.490767035636862</v>
      </c>
      <c r="K434" s="276">
        <v>5.775559084940797</v>
      </c>
      <c r="L434" s="276">
        <v>4.7445216154065974</v>
      </c>
      <c r="M434" s="276">
        <v>3.3741173634246571</v>
      </c>
      <c r="N434" s="276">
        <v>13.0567074243161</v>
      </c>
      <c r="O434" s="276">
        <v>15.105874646283054</v>
      </c>
      <c r="P434" s="276">
        <v>-0.47147439656887213</v>
      </c>
      <c r="Q434" s="276">
        <v>1.3495655468611012</v>
      </c>
      <c r="R434" s="276">
        <v>7.1652163165449085</v>
      </c>
      <c r="S434" s="276">
        <v>4.9672184923060447</v>
      </c>
      <c r="T434" s="276">
        <v>6.9963252432688892</v>
      </c>
      <c r="U434" s="276">
        <v>-2.3165542752351538</v>
      </c>
      <c r="V434" s="276">
        <v>8.4122481331609045</v>
      </c>
      <c r="W434" s="276">
        <v>8.7004515215526936</v>
      </c>
      <c r="X434" s="276">
        <v>-13.924340214528574</v>
      </c>
      <c r="Y434" s="276">
        <v>1.3511820926196219</v>
      </c>
      <c r="Z434" s="276">
        <v>-36.61084038784572</v>
      </c>
      <c r="AA434" s="276">
        <v>-153.09115817857608</v>
      </c>
      <c r="AB434" s="277" t="s">
        <v>237</v>
      </c>
      <c r="AC434" s="276">
        <v>0.76645288899544184</v>
      </c>
      <c r="AD434" s="276">
        <v>6.3821892239601805</v>
      </c>
      <c r="AE434" s="276">
        <v>0.64100640972889811</v>
      </c>
      <c r="AF434" s="276">
        <v>11.99513328770961</v>
      </c>
      <c r="AG434" s="276">
        <v>12.195527454826525</v>
      </c>
      <c r="AH434" s="276">
        <v>3.3423901896389991</v>
      </c>
      <c r="AI434" s="276">
        <v>3.4195286860923177</v>
      </c>
      <c r="AJ434" s="276">
        <v>0.85207097819761213</v>
      </c>
      <c r="AK434" s="276">
        <v>3.9067546334462873</v>
      </c>
      <c r="AL434" s="276">
        <v>7.3920173120116006</v>
      </c>
      <c r="AM434" s="276">
        <v>-3.4293193116647336</v>
      </c>
      <c r="AN434" s="276">
        <v>2.4797086899555918</v>
      </c>
      <c r="AO434" s="276">
        <v>42.722883490044751</v>
      </c>
      <c r="AP434" s="276">
        <v>6.8481501145763568</v>
      </c>
      <c r="AQ434" s="276">
        <v>7.6392018562215513</v>
      </c>
      <c r="AR434" s="276">
        <v>67.548552924823525</v>
      </c>
      <c r="AS434" s="276">
        <v>-1.2823393444800353</v>
      </c>
      <c r="AT434" s="277" t="s">
        <v>237</v>
      </c>
      <c r="AU434" s="276">
        <v>0.76645288899544184</v>
      </c>
      <c r="AV434" s="276">
        <v>5.4510801392112498</v>
      </c>
      <c r="AW434" s="276">
        <v>6.8582750714992038</v>
      </c>
      <c r="AX434" s="276">
        <v>7.9794031712913212</v>
      </c>
      <c r="AY434" s="276">
        <v>-9.8299932666951992</v>
      </c>
      <c r="AZ434" s="276">
        <v>32.608993898833234</v>
      </c>
      <c r="BA434" s="276">
        <v>14.812296978625739</v>
      </c>
      <c r="BB434" s="276">
        <v>7.95390070174032</v>
      </c>
      <c r="BC434" s="276">
        <v>-15.009184492145829</v>
      </c>
      <c r="BD434" s="276">
        <v>6.9069269980808583</v>
      </c>
      <c r="BE434" s="276">
        <v>-2.1227914683724776</v>
      </c>
      <c r="BF434" s="276">
        <v>-1.2287897511941135</v>
      </c>
      <c r="BG434" s="276">
        <v>-3.8602927796986202</v>
      </c>
      <c r="BH434" s="276">
        <v>30.169329871776121</v>
      </c>
      <c r="BI434" s="276">
        <v>-9.9133278118983341</v>
      </c>
      <c r="BJ434" s="276">
        <v>1.2835730462539774</v>
      </c>
      <c r="BK434" s="276">
        <v>7.1146176414034654</v>
      </c>
      <c r="BL434" s="277" t="s">
        <v>237</v>
      </c>
      <c r="BM434" s="277" t="s">
        <v>237</v>
      </c>
      <c r="BN434" s="276">
        <v>6.7578972656837042</v>
      </c>
      <c r="BO434" s="276">
        <v>-2.8495135351302592</v>
      </c>
      <c r="BP434" s="276">
        <v>3.0718518581019394</v>
      </c>
      <c r="BQ434" s="276">
        <v>42.812574866238982</v>
      </c>
      <c r="BR434" s="277" t="s">
        <v>237</v>
      </c>
      <c r="BS434" s="276">
        <v>6.844169228963028</v>
      </c>
      <c r="BT434" s="276">
        <v>8.0314558202780351</v>
      </c>
      <c r="BU434" s="276">
        <v>4.6323399843009661</v>
      </c>
      <c r="BV434" s="276">
        <v>27.82674425429888</v>
      </c>
      <c r="BW434" s="276">
        <v>-64.271131940253483</v>
      </c>
      <c r="BX434" s="276">
        <v>6.9778720993151904</v>
      </c>
      <c r="BY434" s="276">
        <v>-8.7202408791786628</v>
      </c>
      <c r="BZ434" s="276">
        <v>-50.969645868465427</v>
      </c>
      <c r="CA434" s="276">
        <v>13.783286234079513</v>
      </c>
      <c r="CB434" s="276">
        <v>-4.5004818710827692</v>
      </c>
      <c r="CC434" s="276">
        <v>-4.5004818710827692</v>
      </c>
      <c r="CD434" s="277" t="s">
        <v>237</v>
      </c>
      <c r="CE434" s="276">
        <v>15.979425614742382</v>
      </c>
      <c r="CF434" s="276">
        <v>10.244643641240476</v>
      </c>
      <c r="CG434" s="276">
        <v>13.423050379572111</v>
      </c>
      <c r="CH434" s="277" t="s">
        <v>237</v>
      </c>
      <c r="CI434" s="276">
        <v>3.4452231564012457</v>
      </c>
      <c r="CJ434" s="276">
        <v>6.7751902209587351</v>
      </c>
      <c r="CK434" s="276">
        <v>2.808954903132368</v>
      </c>
      <c r="CL434" s="276">
        <v>0.36971878428944993</v>
      </c>
      <c r="CM434" s="276">
        <v>10.030757225684923</v>
      </c>
      <c r="CN434" s="276">
        <v>-9.2692058453381243</v>
      </c>
      <c r="CO434" s="276">
        <v>-81.476425684777723</v>
      </c>
      <c r="CP434" s="276">
        <v>-45.035512393100454</v>
      </c>
      <c r="CQ434" s="276">
        <v>-8.2373992164415597</v>
      </c>
      <c r="CR434" s="276">
        <v>-9.5357932190748578</v>
      </c>
      <c r="CS434" s="276">
        <v>-10.331671156652989</v>
      </c>
      <c r="CT434" s="276">
        <v>-12.027265648411129</v>
      </c>
      <c r="CU434" s="276">
        <v>-23.29463095382377</v>
      </c>
      <c r="CV434" s="276">
        <v>-55.864770150484439</v>
      </c>
      <c r="CW434" s="276">
        <v>-1.6782336945492882</v>
      </c>
      <c r="CX434" s="276">
        <v>-9.7016673806208757</v>
      </c>
      <c r="CY434" s="276">
        <v>-9.8436849013307697</v>
      </c>
      <c r="CZ434" s="276">
        <v>-9.0708170226181792</v>
      </c>
      <c r="DA434" s="276">
        <v>-38.815008550447658</v>
      </c>
      <c r="DB434" s="276">
        <v>-7.5939834065226419</v>
      </c>
      <c r="DC434" s="276">
        <v>-5.8270665945567659</v>
      </c>
      <c r="DD434" s="276">
        <v>1.275718441128801</v>
      </c>
      <c r="DE434" s="276">
        <v>-7.2725070370321729</v>
      </c>
      <c r="DF434" s="276">
        <v>9.8815486688674419</v>
      </c>
      <c r="DG434" s="276">
        <v>9.9139071780088752</v>
      </c>
      <c r="DH434" s="276">
        <v>8.4087371372893749</v>
      </c>
      <c r="DI434" s="276">
        <v>1.8845042931803371</v>
      </c>
      <c r="DJ434" s="276">
        <v>6.4543504561739837</v>
      </c>
      <c r="DK434" s="276">
        <v>3.5371279906632882</v>
      </c>
      <c r="DL434" s="276">
        <v>2.5957290132547866</v>
      </c>
      <c r="DM434" s="276">
        <v>2.6397537712207311</v>
      </c>
      <c r="DN434" s="276">
        <v>-0.97008863771327591</v>
      </c>
      <c r="DO434" s="276">
        <v>0.97319899104265473</v>
      </c>
      <c r="DP434" s="276"/>
      <c r="DQ434" s="276">
        <v>36.185858550593096</v>
      </c>
      <c r="DR434" s="276">
        <v>-14.618777567737871</v>
      </c>
      <c r="DS434" s="276">
        <v>10.38178482946115</v>
      </c>
      <c r="DT434" s="276">
        <v>1.9120193972982273</v>
      </c>
      <c r="DU434" s="276">
        <v>-3.727551297467135</v>
      </c>
      <c r="DV434" s="276">
        <v>-141.0041841004184</v>
      </c>
      <c r="DW434" s="276">
        <v>10.170251759066382</v>
      </c>
      <c r="DX434" s="276">
        <v>14.964848382178555</v>
      </c>
      <c r="DY434" s="276">
        <v>-11.703741152679465</v>
      </c>
      <c r="DZ434" s="276">
        <v>8.7879576904063814</v>
      </c>
      <c r="EA434" s="276">
        <v>20.607515579714651</v>
      </c>
      <c r="EB434" s="276">
        <v>68.686868686868692</v>
      </c>
      <c r="EC434" s="276"/>
      <c r="ED434" s="276">
        <v>100.00000000000001</v>
      </c>
      <c r="EE434" s="276">
        <v>6.0975609756097606</v>
      </c>
      <c r="EF434" s="276">
        <v>2.2224466121224689</v>
      </c>
      <c r="EG434" s="276">
        <v>-5.0364641883423138</v>
      </c>
      <c r="EH434" s="276">
        <v>6.8548295991939856</v>
      </c>
      <c r="EI434" s="276">
        <v>6.8536569971089651</v>
      </c>
      <c r="EJ434" s="276">
        <v>6.9204119762278165</v>
      </c>
      <c r="EK434" s="276">
        <v>7.2252364964062767</v>
      </c>
      <c r="EL434" s="276">
        <v>-1.7080652491090333</v>
      </c>
      <c r="EM434" s="276">
        <v>13.88229160632566</v>
      </c>
      <c r="EN434" s="276">
        <v>13.899780649414113</v>
      </c>
      <c r="EO434" s="276">
        <v>13.018083791980219</v>
      </c>
      <c r="EP434" s="276">
        <v>3.5209386531593543</v>
      </c>
      <c r="EQ434" s="276">
        <v>11.678812749849646</v>
      </c>
      <c r="ER434" s="276">
        <v>-1.3293019587222104</v>
      </c>
      <c r="ES434" s="276">
        <v>-1.3288484029141188</v>
      </c>
      <c r="ET434" s="276">
        <v>-1.3517095149748253</v>
      </c>
      <c r="EU434" s="276">
        <v>1.0563544138861758</v>
      </c>
      <c r="EV434" s="276">
        <v>-18.937059859154921</v>
      </c>
      <c r="EW434" s="276">
        <v>15.70841061204742</v>
      </c>
      <c r="EX434" s="276">
        <v>15.768249526787921</v>
      </c>
      <c r="EY434" s="276">
        <v>12.79999999999999</v>
      </c>
      <c r="EZ434" s="276">
        <v>3.0807589291762127</v>
      </c>
      <c r="FA434" s="276">
        <v>11.03561693319358</v>
      </c>
      <c r="FB434" s="276">
        <v>-1.3698535019218983</v>
      </c>
      <c r="FC434" s="276">
        <v>-1.3617787149123688</v>
      </c>
      <c r="FD434" s="276">
        <v>-1.7848159069976219</v>
      </c>
      <c r="FE434" s="276">
        <v>-0.73366040968410307</v>
      </c>
      <c r="FF434" s="276">
        <v>-22.717627223442197</v>
      </c>
      <c r="FG434" s="276">
        <v>18.752652023447972</v>
      </c>
      <c r="FH434" s="276">
        <v>18.677315713686493</v>
      </c>
      <c r="FI434" s="276">
        <v>22.438817970237679</v>
      </c>
      <c r="FJ434" s="276">
        <v>1.2190679621282141</v>
      </c>
      <c r="FK434" s="277" t="s">
        <v>237</v>
      </c>
      <c r="FL434" s="276">
        <v>17.006761920755636</v>
      </c>
      <c r="FM434" s="276">
        <v>17.006761920755636</v>
      </c>
      <c r="FN434" s="277"/>
      <c r="FO434" s="277"/>
      <c r="FP434" s="276">
        <v>36.21023042239014</v>
      </c>
      <c r="FQ434" s="276">
        <v>-15.739750445632797</v>
      </c>
      <c r="FR434" s="276">
        <v>1.3441607361418981</v>
      </c>
      <c r="FS434" s="276">
        <v>-6.7607839273885979</v>
      </c>
      <c r="FT434" s="276">
        <v>0.7856804242936255</v>
      </c>
      <c r="FU434" s="276">
        <v>15.422081131452643</v>
      </c>
      <c r="FV434" s="276">
        <v>14.745463772101584</v>
      </c>
      <c r="FW434" s="276">
        <v>26.668496505711207</v>
      </c>
      <c r="FX434" s="276">
        <v>3.8875574884807649</v>
      </c>
      <c r="FY434" s="276">
        <v>5.3089326328486557</v>
      </c>
      <c r="FZ434" s="276"/>
      <c r="GA434" s="276"/>
      <c r="GB434" s="276">
        <v>-25.697579853613391</v>
      </c>
      <c r="GC434" s="276">
        <v>-8.0816354061775808</v>
      </c>
      <c r="GD434" s="276">
        <v>-36.640219903792101</v>
      </c>
      <c r="GE434" s="276">
        <v>-2.7190989032704236</v>
      </c>
      <c r="GF434" s="276">
        <v>-9.1086807638431591</v>
      </c>
      <c r="GG434" s="276">
        <v>-15.390304907098617</v>
      </c>
      <c r="GH434" s="276">
        <v>-2.3804454717803654</v>
      </c>
      <c r="GI434" s="276">
        <v>8.3096709537330806</v>
      </c>
      <c r="GJ434" s="276">
        <v>-17.329341366248691</v>
      </c>
    </row>
    <row r="435" spans="1:192">
      <c r="A435" s="274"/>
      <c r="B435" s="275" t="s">
        <v>259</v>
      </c>
      <c r="C435" s="275" t="s">
        <v>259</v>
      </c>
      <c r="D435" s="276">
        <v>7.2566383064705615</v>
      </c>
      <c r="E435" s="276">
        <v>-5.8962969880603078</v>
      </c>
      <c r="F435" s="276">
        <v>3.2903230677468338</v>
      </c>
      <c r="G435" s="276">
        <v>7.5969962838310892</v>
      </c>
      <c r="H435" s="276">
        <v>10.192289203143394</v>
      </c>
      <c r="I435" s="276">
        <v>4.4968588197160528</v>
      </c>
      <c r="J435" s="276">
        <v>4.4915208802726854</v>
      </c>
      <c r="K435" s="276">
        <v>4.7515629633631029</v>
      </c>
      <c r="L435" s="276">
        <v>6.5202350825730333</v>
      </c>
      <c r="M435" s="276">
        <v>6.4747980593362735</v>
      </c>
      <c r="N435" s="276">
        <v>11.334659027917809</v>
      </c>
      <c r="O435" s="276">
        <v>12.252520956989439</v>
      </c>
      <c r="P435" s="276">
        <v>4.3267362667862415</v>
      </c>
      <c r="Q435" s="276">
        <v>8.7560650079954918</v>
      </c>
      <c r="R435" s="276">
        <v>1.1481444544626158</v>
      </c>
      <c r="S435" s="276">
        <v>0.21553452291194555</v>
      </c>
      <c r="T435" s="276">
        <v>-1.1272872791654398</v>
      </c>
      <c r="U435" s="276">
        <v>-0.23753725015968777</v>
      </c>
      <c r="V435" s="276">
        <v>-1.7001070395590987</v>
      </c>
      <c r="W435" s="276">
        <v>-9.5197713624072686E-2</v>
      </c>
      <c r="X435" s="276">
        <v>6.8425412284444871</v>
      </c>
      <c r="Y435" s="276">
        <v>-36.178862841936429</v>
      </c>
      <c r="Z435" s="276">
        <v>17.559045532018509</v>
      </c>
      <c r="AA435" s="276">
        <v>70.892242657009191</v>
      </c>
      <c r="AB435" s="276">
        <v>-40.818860253489227</v>
      </c>
      <c r="AC435" s="276">
        <v>3.2903230677468338</v>
      </c>
      <c r="AD435" s="276">
        <v>7.5560423650994366</v>
      </c>
      <c r="AE435" s="276">
        <v>11.679858818404071</v>
      </c>
      <c r="AF435" s="276">
        <v>3.9330744724990008</v>
      </c>
      <c r="AG435" s="276">
        <v>3.9447359654502119</v>
      </c>
      <c r="AH435" s="276">
        <v>3.386411158368364</v>
      </c>
      <c r="AI435" s="276">
        <v>6.4653600529771174</v>
      </c>
      <c r="AJ435" s="276">
        <v>5.7609154106509743</v>
      </c>
      <c r="AK435" s="276">
        <v>7.0396322233575619</v>
      </c>
      <c r="AL435" s="276">
        <v>6.899753109429696</v>
      </c>
      <c r="AM435" s="276">
        <v>6.1466151122503279</v>
      </c>
      <c r="AN435" s="276">
        <v>3.4729013736523773</v>
      </c>
      <c r="AO435" s="276">
        <v>-19.992701077384446</v>
      </c>
      <c r="AP435" s="276">
        <v>-12.931620475137453</v>
      </c>
      <c r="AQ435" s="276">
        <v>6.8866030650192132</v>
      </c>
      <c r="AR435" s="276" t="s">
        <v>237</v>
      </c>
      <c r="AS435" s="276">
        <v>11.474179135821252</v>
      </c>
      <c r="AT435" s="277" t="s">
        <v>237</v>
      </c>
      <c r="AU435" s="276">
        <v>3.2903230677468338</v>
      </c>
      <c r="AV435" s="276">
        <v>9.1809384511312064</v>
      </c>
      <c r="AW435" s="276">
        <v>11.616360717233796</v>
      </c>
      <c r="AX435" s="276">
        <v>6.9155526658337036</v>
      </c>
      <c r="AY435" s="276">
        <v>5.0274668654844712</v>
      </c>
      <c r="AZ435" s="276">
        <v>-8.4978737775410043</v>
      </c>
      <c r="BA435" s="276">
        <v>12.059754507617424</v>
      </c>
      <c r="BB435" s="276">
        <v>7.7836414187101965</v>
      </c>
      <c r="BC435" s="276">
        <v>1.5323507660965421</v>
      </c>
      <c r="BD435" s="276">
        <v>-1.0473345135170937</v>
      </c>
      <c r="BE435" s="276">
        <v>-14.13146878826238</v>
      </c>
      <c r="BF435" s="276">
        <v>-15.306476480380537</v>
      </c>
      <c r="BG435" s="276">
        <v>-12.025788630016844</v>
      </c>
      <c r="BH435" s="276">
        <v>-73.525914451220203</v>
      </c>
      <c r="BI435" s="276">
        <v>-8.6616839316581906</v>
      </c>
      <c r="BJ435" s="276">
        <v>-18.502363409526918</v>
      </c>
      <c r="BK435" s="276">
        <v>-15.405007993183419</v>
      </c>
      <c r="BL435" s="276">
        <v>86.368885260915448</v>
      </c>
      <c r="BM435" s="277" t="s">
        <v>237</v>
      </c>
      <c r="BN435" s="276">
        <v>7.3215581598581769</v>
      </c>
      <c r="BO435" s="276">
        <v>6.5925499760957615</v>
      </c>
      <c r="BP435" s="276">
        <v>3.7680811410390311</v>
      </c>
      <c r="BQ435" s="276">
        <v>-20.059123510728714</v>
      </c>
      <c r="BR435" s="276">
        <v>-31.559476380193512</v>
      </c>
      <c r="BS435" s="276">
        <v>11.691354266904128</v>
      </c>
      <c r="BT435" s="276">
        <v>4.715730708910657</v>
      </c>
      <c r="BU435" s="276">
        <v>17.514526412338903</v>
      </c>
      <c r="BV435" s="276">
        <v>3.8611052300237483</v>
      </c>
      <c r="BW435" s="276">
        <v>37.283830059580765</v>
      </c>
      <c r="BX435" s="276">
        <v>-27.633812814089129</v>
      </c>
      <c r="BY435" s="276">
        <v>-21.315204205418514</v>
      </c>
      <c r="BZ435" s="276">
        <v>-32.158211521926049</v>
      </c>
      <c r="CA435" s="276">
        <v>21.580858615830614</v>
      </c>
      <c r="CB435" s="276">
        <v>-42.134266986595598</v>
      </c>
      <c r="CC435" s="276">
        <v>-42.134266986595598</v>
      </c>
      <c r="CD435" s="277" t="s">
        <v>237</v>
      </c>
      <c r="CE435" s="276">
        <v>17.199569701799483</v>
      </c>
      <c r="CF435" s="276">
        <v>13.683064631792286</v>
      </c>
      <c r="CG435" s="276">
        <v>4.2845553189331778</v>
      </c>
      <c r="CH435" s="276">
        <v>110.83945876552185</v>
      </c>
      <c r="CI435" s="276">
        <v>9.059830422809684</v>
      </c>
      <c r="CJ435" s="276">
        <v>12.912115329515194</v>
      </c>
      <c r="CK435" s="276">
        <v>8.2953645102841822</v>
      </c>
      <c r="CL435" s="276">
        <v>11.08482758969496</v>
      </c>
      <c r="CM435" s="276">
        <v>5.6781520626176567</v>
      </c>
      <c r="CN435" s="276">
        <v>-1.3574919914440675</v>
      </c>
      <c r="CO435" s="277" t="s">
        <v>237</v>
      </c>
      <c r="CP435" s="276">
        <v>77.825497287522595</v>
      </c>
      <c r="CQ435" s="276">
        <v>-2.9190902586714751</v>
      </c>
      <c r="CR435" s="276">
        <v>-5.9466648766109484</v>
      </c>
      <c r="CS435" s="276">
        <v>-9.4729755903098276</v>
      </c>
      <c r="CT435" s="276">
        <v>-10.622776218456204</v>
      </c>
      <c r="CU435" s="276">
        <v>3.6115064916681749</v>
      </c>
      <c r="CV435" s="276">
        <v>21.386060044967596</v>
      </c>
      <c r="CW435" s="276">
        <v>-8.4820923679321059</v>
      </c>
      <c r="CX435" s="276">
        <v>-4.2790536637759597</v>
      </c>
      <c r="CY435" s="276">
        <v>-3.6620628587045676</v>
      </c>
      <c r="CZ435" s="276">
        <v>-5.2120344117127795</v>
      </c>
      <c r="DA435" s="276">
        <v>-38.134438679382008</v>
      </c>
      <c r="DB435" s="276">
        <v>-8.9844774470138518</v>
      </c>
      <c r="DC435" s="276">
        <v>-9.893101861155591</v>
      </c>
      <c r="DD435" s="276">
        <v>10.259207088486125</v>
      </c>
      <c r="DE435" s="276">
        <v>14.905353337222481</v>
      </c>
      <c r="DF435" s="276">
        <v>6.3119680474599997</v>
      </c>
      <c r="DG435" s="276">
        <v>6.2576231573565684</v>
      </c>
      <c r="DH435" s="276">
        <v>8.8198422473923728</v>
      </c>
      <c r="DI435" s="276">
        <v>0.48279103723816652</v>
      </c>
      <c r="DJ435" s="276">
        <v>-1.7586452633740466</v>
      </c>
      <c r="DK435" s="276">
        <v>2.3621654308376119</v>
      </c>
      <c r="DL435" s="276">
        <v>0.6504575632513887</v>
      </c>
      <c r="DM435" s="276">
        <v>1.8721807986389201</v>
      </c>
      <c r="DN435" s="276">
        <v>-1.5467911264152179</v>
      </c>
      <c r="DO435" s="276">
        <v>3.6012614320144656</v>
      </c>
      <c r="DP435" s="276"/>
      <c r="DQ435" s="276">
        <v>-13.067400715890269</v>
      </c>
      <c r="DR435" s="276">
        <v>-80.811808118081188</v>
      </c>
      <c r="DS435" s="276">
        <v>24.469217250898058</v>
      </c>
      <c r="DT435" s="276">
        <v>-3.8505544176848634</v>
      </c>
      <c r="DU435" s="276">
        <v>-8.495998803380445</v>
      </c>
      <c r="DV435" s="276">
        <v>-107.81250000000003</v>
      </c>
      <c r="DW435" s="276">
        <v>36.451581281935042</v>
      </c>
      <c r="DX435" s="276">
        <v>3.3618049157058407</v>
      </c>
      <c r="DY435" s="276">
        <v>-6.132609187599023</v>
      </c>
      <c r="DZ435" s="276">
        <v>48.224946320192302</v>
      </c>
      <c r="EA435" s="276">
        <v>12.761257167925303</v>
      </c>
      <c r="EB435" s="276">
        <v>-85.413744740532977</v>
      </c>
      <c r="EC435" s="276"/>
      <c r="ED435" s="277" t="s">
        <v>237</v>
      </c>
      <c r="EE435" s="276">
        <v>-16.017316017316034</v>
      </c>
      <c r="EF435" s="276">
        <v>1.0854684398502497</v>
      </c>
      <c r="EG435" s="276">
        <v>0.4234539698418493</v>
      </c>
      <c r="EH435" s="276">
        <v>1.4609280291937128</v>
      </c>
      <c r="EI435" s="276">
        <v>1.5434491407857402</v>
      </c>
      <c r="EJ435" s="276">
        <v>-3.1515077009536174</v>
      </c>
      <c r="EK435" s="276">
        <v>-2.2314401849730761</v>
      </c>
      <c r="EL435" s="276">
        <v>-6.5829376534178525</v>
      </c>
      <c r="EM435" s="276">
        <v>0.5673514664079089</v>
      </c>
      <c r="EN435" s="276">
        <v>0.53643593402317868</v>
      </c>
      <c r="EO435" s="276">
        <v>2.1069369906579185</v>
      </c>
      <c r="EP435" s="276">
        <v>1.8396406727828674</v>
      </c>
      <c r="EQ435" s="276">
        <v>4.6423225867762667</v>
      </c>
      <c r="ER435" s="276">
        <v>-4.6363650897705534E-2</v>
      </c>
      <c r="ES435" s="276">
        <v>-4.6214489601744166E-2</v>
      </c>
      <c r="ET435" s="276">
        <v>-5.3734551316490589E-2</v>
      </c>
      <c r="EU435" s="276">
        <v>-2.1919322158777059</v>
      </c>
      <c r="EV435" s="276">
        <v>-23.673136962128407</v>
      </c>
      <c r="EW435" s="276">
        <v>8.8368527423513878</v>
      </c>
      <c r="EX435" s="276">
        <v>8.8149569915404875</v>
      </c>
      <c r="EY435" s="276">
        <v>9.9290780141844071</v>
      </c>
      <c r="EZ435" s="276">
        <v>3.0219351508867551</v>
      </c>
      <c r="FA435" s="276">
        <v>-1.4462882145917251</v>
      </c>
      <c r="FB435" s="276">
        <v>5.8362640600362248</v>
      </c>
      <c r="FC435" s="276">
        <v>5.9712258337191333</v>
      </c>
      <c r="FD435" s="276">
        <v>-1.1292801134796429</v>
      </c>
      <c r="FE435" s="276">
        <v>-1.4388043119623521</v>
      </c>
      <c r="FF435" s="276">
        <v>-4.3714873449656926E-3</v>
      </c>
      <c r="FG435" s="276">
        <v>-2.2662527622505455</v>
      </c>
      <c r="FH435" s="276">
        <v>-2.1687041992409477</v>
      </c>
      <c r="FI435" s="276">
        <v>-6.8926189187009719</v>
      </c>
      <c r="FJ435" s="276">
        <v>3.5119301488464196</v>
      </c>
      <c r="FK435" s="277" t="s">
        <v>237</v>
      </c>
      <c r="FL435" s="276">
        <v>-7.9920094550876097</v>
      </c>
      <c r="FM435" s="276">
        <v>-7.9920094550876097</v>
      </c>
      <c r="FN435" s="277"/>
      <c r="FO435" s="277"/>
      <c r="FP435" s="276">
        <v>-13.121557141437997</v>
      </c>
      <c r="FQ435" s="276">
        <v>-95.007404273323473</v>
      </c>
      <c r="FR435" s="276">
        <v>0.85963793946083844</v>
      </c>
      <c r="FS435" s="276">
        <v>0.71150612247376033</v>
      </c>
      <c r="FT435" s="276">
        <v>1.0312343396990586</v>
      </c>
      <c r="FU435" s="276">
        <v>2.8394955998640179</v>
      </c>
      <c r="FV435" s="276">
        <v>3.6014030333372666</v>
      </c>
      <c r="FW435" s="276">
        <v>-8.6325299196586354</v>
      </c>
      <c r="FX435" s="276">
        <v>-1.1284746532737129</v>
      </c>
      <c r="FY435" s="276">
        <v>3.7934767683444819</v>
      </c>
      <c r="FZ435" s="276"/>
      <c r="GA435" s="276"/>
      <c r="GB435" s="276">
        <v>-7.0540280424977819</v>
      </c>
      <c r="GC435" s="276">
        <v>-10.958523558178653</v>
      </c>
      <c r="GD435" s="276">
        <v>15.89430092683889</v>
      </c>
      <c r="GE435" s="276">
        <v>-43.899937028986983</v>
      </c>
      <c r="GF435" s="276">
        <v>0.21687760981452422</v>
      </c>
      <c r="GG435" s="276">
        <v>5.4341108951086881</v>
      </c>
      <c r="GH435" s="276">
        <v>4.3530413650572806</v>
      </c>
      <c r="GI435" s="276">
        <v>-73.297864137558804</v>
      </c>
      <c r="GJ435" s="276">
        <v>6.4456694636933713</v>
      </c>
    </row>
    <row r="436" spans="1:192">
      <c r="A436" s="274"/>
      <c r="B436" s="275" t="s">
        <v>260</v>
      </c>
      <c r="C436" s="275" t="s">
        <v>260</v>
      </c>
      <c r="D436" s="276">
        <v>3.3199032890542552</v>
      </c>
      <c r="E436" s="276">
        <v>-9.0041023610912898</v>
      </c>
      <c r="F436" s="276">
        <v>-6.5207547759015005</v>
      </c>
      <c r="G436" s="276">
        <v>1.9755045601871728</v>
      </c>
      <c r="H436" s="276">
        <v>0.48789787987517313</v>
      </c>
      <c r="I436" s="276">
        <v>3.8493365947382894</v>
      </c>
      <c r="J436" s="276">
        <v>3.8668187451929485</v>
      </c>
      <c r="K436" s="276">
        <v>3.0172323067337938</v>
      </c>
      <c r="L436" s="276">
        <v>6.1971078786902423</v>
      </c>
      <c r="M436" s="276">
        <v>5.4636154101593819</v>
      </c>
      <c r="N436" s="276">
        <v>14.060248589276961</v>
      </c>
      <c r="O436" s="276">
        <v>15.104248404600087</v>
      </c>
      <c r="P436" s="276">
        <v>5.4836940506204757</v>
      </c>
      <c r="Q436" s="276">
        <v>0.72417291278903706</v>
      </c>
      <c r="R436" s="276">
        <v>2.9034271339560664</v>
      </c>
      <c r="S436" s="276">
        <v>-15.819780280125043</v>
      </c>
      <c r="T436" s="276">
        <v>-16.595744072808206</v>
      </c>
      <c r="U436" s="276">
        <v>0.27688581691520708</v>
      </c>
      <c r="V436" s="276">
        <v>0.42212045548701677</v>
      </c>
      <c r="W436" s="276">
        <v>-8.4705195094043244</v>
      </c>
      <c r="X436" s="276">
        <v>2.279794142214322</v>
      </c>
      <c r="Y436" s="276" t="s">
        <v>237</v>
      </c>
      <c r="Z436" s="276">
        <v>-13.690801423571632</v>
      </c>
      <c r="AA436" s="276">
        <v>-40.487048926278511</v>
      </c>
      <c r="AB436" s="276">
        <v>83.156681134707782</v>
      </c>
      <c r="AC436" s="276">
        <v>-6.5207547759015005</v>
      </c>
      <c r="AD436" s="276">
        <v>4.867991159161341</v>
      </c>
      <c r="AE436" s="276">
        <v>1.2411445916275818</v>
      </c>
      <c r="AF436" s="276">
        <v>8.2918466261834549</v>
      </c>
      <c r="AG436" s="276">
        <v>8.213757254764241</v>
      </c>
      <c r="AH436" s="276">
        <v>11.972261212561273</v>
      </c>
      <c r="AI436" s="276">
        <v>5.4400259418889139</v>
      </c>
      <c r="AJ436" s="276">
        <v>6.5136967672321502</v>
      </c>
      <c r="AK436" s="276">
        <v>5.0007944154897501</v>
      </c>
      <c r="AL436" s="276">
        <v>5.001211463968307</v>
      </c>
      <c r="AM436" s="276">
        <v>4.2113048416431953</v>
      </c>
      <c r="AN436" s="276">
        <v>3.2550305236002304</v>
      </c>
      <c r="AO436" s="276">
        <v>0.35955813815123816</v>
      </c>
      <c r="AP436" s="276">
        <v>-15.223589287478992</v>
      </c>
      <c r="AQ436" s="276">
        <v>7.0354012575862237</v>
      </c>
      <c r="AR436" s="276" t="s">
        <v>237</v>
      </c>
      <c r="AS436" s="276">
        <v>-0.2663357680701644</v>
      </c>
      <c r="AT436" s="277" t="s">
        <v>237</v>
      </c>
      <c r="AU436" s="276">
        <v>-6.5207547759015005</v>
      </c>
      <c r="AV436" s="276">
        <v>-3.2983377724746776</v>
      </c>
      <c r="AW436" s="276">
        <v>-6.3058071617252454</v>
      </c>
      <c r="AX436" s="276">
        <v>10.003553540932568</v>
      </c>
      <c r="AY436" s="276">
        <v>15.078539619467653</v>
      </c>
      <c r="AZ436" s="276">
        <v>27.654987153445184</v>
      </c>
      <c r="BA436" s="276">
        <v>3.8359880496236247</v>
      </c>
      <c r="BB436" s="276">
        <v>7.194714087609114</v>
      </c>
      <c r="BC436" s="276">
        <v>-19.78028918254758</v>
      </c>
      <c r="BD436" s="276">
        <v>3.9683591678882144</v>
      </c>
      <c r="BE436" s="276">
        <v>0.41934025224926696</v>
      </c>
      <c r="BF436" s="276">
        <v>0.52930571510677116</v>
      </c>
      <c r="BG436" s="276">
        <v>5.9696773381414747</v>
      </c>
      <c r="BH436" s="276">
        <v>-61.799001672261824</v>
      </c>
      <c r="BI436" s="276">
        <v>36.194414414868767</v>
      </c>
      <c r="BJ436" s="276">
        <v>2.1245395761835026</v>
      </c>
      <c r="BK436" s="276">
        <v>-125.61502586476257</v>
      </c>
      <c r="BL436" s="276">
        <v>-79.14262761995181</v>
      </c>
      <c r="BM436" s="277" t="s">
        <v>237</v>
      </c>
      <c r="BN436" s="276">
        <v>-4.4482805365391576</v>
      </c>
      <c r="BO436" s="276">
        <v>4.1141116942668896</v>
      </c>
      <c r="BP436" s="276">
        <v>3.1951288780431426</v>
      </c>
      <c r="BQ436" s="276">
        <v>0.45886319441529</v>
      </c>
      <c r="BR436" s="276">
        <v>83.90852390852389</v>
      </c>
      <c r="BS436" s="276">
        <v>-6.3353134026896791</v>
      </c>
      <c r="BT436" s="276">
        <v>0.97831117110442289</v>
      </c>
      <c r="BU436" s="276">
        <v>-16.577775402409081</v>
      </c>
      <c r="BV436" s="276">
        <v>12.820744741708282</v>
      </c>
      <c r="BW436" s="276">
        <v>130.05873136408638</v>
      </c>
      <c r="BX436" s="276">
        <v>46.836877637822887</v>
      </c>
      <c r="BY436" s="276">
        <v>-76.875476838517727</v>
      </c>
      <c r="BZ436" s="276" t="s">
        <v>237</v>
      </c>
      <c r="CA436" s="276">
        <v>-6.1742884038019357</v>
      </c>
      <c r="CB436" s="276">
        <v>-12.891777179088184</v>
      </c>
      <c r="CC436" s="276">
        <v>-12.891777179088184</v>
      </c>
      <c r="CD436" s="277" t="s">
        <v>237</v>
      </c>
      <c r="CE436" s="276">
        <v>-11.103209898039328</v>
      </c>
      <c r="CF436" s="276">
        <v>5.4180504614763576</v>
      </c>
      <c r="CG436" s="276">
        <v>4.4083564285830139</v>
      </c>
      <c r="CH436" s="276" t="s">
        <v>237</v>
      </c>
      <c r="CI436" s="276">
        <v>3.6251158447833696</v>
      </c>
      <c r="CJ436" s="276">
        <v>4.8371374145803756</v>
      </c>
      <c r="CK436" s="276">
        <v>3.3743428589029398</v>
      </c>
      <c r="CL436" s="276">
        <v>2.8251159172236222</v>
      </c>
      <c r="CM436" s="276">
        <v>3.9633061904539262</v>
      </c>
      <c r="CN436" s="276">
        <v>5.2577437939081397</v>
      </c>
      <c r="CO436" s="276">
        <v>-48.154377011627574</v>
      </c>
      <c r="CP436" s="276">
        <v>-58.921232151180035</v>
      </c>
      <c r="CQ436" s="276">
        <v>6.6106617231415044</v>
      </c>
      <c r="CR436" s="276">
        <v>-8.1782758896644072</v>
      </c>
      <c r="CS436" s="276">
        <v>-3.5523571990504594</v>
      </c>
      <c r="CT436" s="276">
        <v>-5.6225942331359553</v>
      </c>
      <c r="CU436" s="276">
        <v>6.1637996092044931</v>
      </c>
      <c r="CV436" s="276">
        <v>-39.350605652759079</v>
      </c>
      <c r="CW436" s="276">
        <v>2.5805682927213804</v>
      </c>
      <c r="CX436" s="276">
        <v>-10.316828015151618</v>
      </c>
      <c r="CY436" s="276">
        <v>-8.2759805887214846</v>
      </c>
      <c r="CZ436" s="276">
        <v>-14.026308124512585</v>
      </c>
      <c r="DA436" s="276">
        <v>-57.008708425139027</v>
      </c>
      <c r="DB436" s="276">
        <v>-3.8396585211424354</v>
      </c>
      <c r="DC436" s="276">
        <v>-6.3213780084945661</v>
      </c>
      <c r="DD436" s="276">
        <v>1.939577173592582</v>
      </c>
      <c r="DE436" s="276">
        <v>6.8621676541459147</v>
      </c>
      <c r="DF436" s="276">
        <v>-2.5805677959300408</v>
      </c>
      <c r="DG436" s="276">
        <v>-2.5259630612772734</v>
      </c>
      <c r="DH436" s="276">
        <v>-5.0411016164915106</v>
      </c>
      <c r="DI436" s="276">
        <v>5.0954693519828282</v>
      </c>
      <c r="DJ436" s="276">
        <v>0.23963741428547541</v>
      </c>
      <c r="DK436" s="276">
        <v>2.6709950130337963</v>
      </c>
      <c r="DL436" s="276">
        <v>-0.84235860409145624</v>
      </c>
      <c r="DM436" s="276">
        <v>10.824830260420478</v>
      </c>
      <c r="DN436" s="276">
        <v>-1.1293641820806415</v>
      </c>
      <c r="DO436" s="276">
        <v>1.7873200608939355</v>
      </c>
      <c r="DP436" s="276"/>
      <c r="DQ436" s="276">
        <v>-48.637759371279223</v>
      </c>
      <c r="DR436" s="276">
        <v>-14.134615384615387</v>
      </c>
      <c r="DS436" s="276">
        <v>-57.579356510472877</v>
      </c>
      <c r="DT436" s="276">
        <v>-30.230818405625602</v>
      </c>
      <c r="DU436" s="276">
        <v>12.035569035637971</v>
      </c>
      <c r="DV436" s="276">
        <v>74.018379281537179</v>
      </c>
      <c r="DW436" s="276">
        <v>-87.817305374789115</v>
      </c>
      <c r="DX436" s="276">
        <v>5.8082304738835902</v>
      </c>
      <c r="DY436" s="276" t="s">
        <v>237</v>
      </c>
      <c r="DZ436" s="276">
        <v>-3.0532338228948683</v>
      </c>
      <c r="EA436" s="276">
        <v>-23.699287009931574</v>
      </c>
      <c r="EB436" s="276">
        <v>7.186081694402418</v>
      </c>
      <c r="EC436" s="276"/>
      <c r="ED436" s="276">
        <v>27.810650887573971</v>
      </c>
      <c r="EE436" s="276">
        <v>-41.791044776119385</v>
      </c>
      <c r="EF436" s="276">
        <v>4.1482716135743969</v>
      </c>
      <c r="EG436" s="276">
        <v>-1.5358425590655624</v>
      </c>
      <c r="EH436" s="276">
        <v>7.3390367303228183</v>
      </c>
      <c r="EI436" s="276">
        <v>7.531120200347571</v>
      </c>
      <c r="EJ436" s="276">
        <v>-3.9177463664965244</v>
      </c>
      <c r="EK436" s="276">
        <v>-2.4455528980812593</v>
      </c>
      <c r="EL436" s="276">
        <v>0.91626318308656451</v>
      </c>
      <c r="EM436" s="276">
        <v>-4.4540674296319231</v>
      </c>
      <c r="EN436" s="276">
        <v>-4.4293759292379749</v>
      </c>
      <c r="EO436" s="276">
        <v>-5.6647848939069396</v>
      </c>
      <c r="EP436" s="276">
        <v>4.0056929260701555</v>
      </c>
      <c r="EQ436" s="276">
        <v>6.8868959775992875E-2</v>
      </c>
      <c r="ER436" s="276">
        <v>6.7791640008530623</v>
      </c>
      <c r="ES436" s="276">
        <v>6.7689295039164419</v>
      </c>
      <c r="ET436" s="276">
        <v>7.2849462365591373</v>
      </c>
      <c r="EU436" s="276">
        <v>3.2815442561205406</v>
      </c>
      <c r="EV436" s="276">
        <v>71.936688600391221</v>
      </c>
      <c r="EW436" s="276">
        <v>-21.438176346289303</v>
      </c>
      <c r="EX436" s="276">
        <v>-21.421571829881753</v>
      </c>
      <c r="EY436" s="276">
        <v>-22.258064516129032</v>
      </c>
      <c r="EZ436" s="276">
        <v>9.4000094380918693</v>
      </c>
      <c r="FA436" s="276">
        <v>-8.2722291999213322</v>
      </c>
      <c r="FB436" s="276">
        <v>19.765026668127224</v>
      </c>
      <c r="FC436" s="276">
        <v>20.090310529437165</v>
      </c>
      <c r="FD436" s="276">
        <v>1.7710541837369038</v>
      </c>
      <c r="FE436" s="276">
        <v>-1.3409802751637732</v>
      </c>
      <c r="FF436" s="276">
        <v>12.150255413251465</v>
      </c>
      <c r="FG436" s="276">
        <v>-9.3034707435026345</v>
      </c>
      <c r="FH436" s="276">
        <v>-9.2298528304660152</v>
      </c>
      <c r="FI436" s="276">
        <v>-12.972036624597866</v>
      </c>
      <c r="FJ436" s="276">
        <v>1.8048706875507556</v>
      </c>
      <c r="FK436" s="276">
        <v>63.214076000335552</v>
      </c>
      <c r="FL436" s="276">
        <v>-2.856167338122392</v>
      </c>
      <c r="FM436" s="276">
        <v>-2.856167338122392</v>
      </c>
      <c r="FN436" s="277"/>
      <c r="FO436" s="277"/>
      <c r="FP436" s="276">
        <v>-48.650742128714342</v>
      </c>
      <c r="FQ436" s="276" t="s">
        <v>237</v>
      </c>
      <c r="FR436" s="276">
        <v>-5.7615190613423346</v>
      </c>
      <c r="FS436" s="276">
        <v>-28.965141945227423</v>
      </c>
      <c r="FT436" s="276">
        <v>-9.488854307438201</v>
      </c>
      <c r="FU436" s="276">
        <v>-44.477154993156191</v>
      </c>
      <c r="FV436" s="276">
        <v>-45.542073021527763</v>
      </c>
      <c r="FW436" s="276">
        <v>-26.29572197391224</v>
      </c>
      <c r="FX436" s="276">
        <v>4.0845690270606783</v>
      </c>
      <c r="FY436" s="276">
        <v>2.8414575449998245</v>
      </c>
      <c r="FZ436" s="276"/>
      <c r="GA436" s="276"/>
      <c r="GB436" s="276">
        <v>7.7457210728280463</v>
      </c>
      <c r="GC436" s="276">
        <v>50.136717370317157</v>
      </c>
      <c r="GD436" s="276" t="s">
        <v>237</v>
      </c>
      <c r="GE436" s="276">
        <v>186.64433782927495</v>
      </c>
      <c r="GF436" s="276">
        <v>12.952016939420037</v>
      </c>
      <c r="GG436" s="276">
        <v>-20.480222594280804</v>
      </c>
      <c r="GH436" s="276">
        <v>-80.195162245410799</v>
      </c>
      <c r="GI436" s="276">
        <v>106.81490037539704</v>
      </c>
      <c r="GJ436" s="276">
        <v>-11.543908691443999</v>
      </c>
    </row>
    <row r="437" spans="1:192">
      <c r="A437" s="274"/>
      <c r="B437" s="275"/>
      <c r="C437" s="275">
        <v>20</v>
      </c>
      <c r="D437" s="276">
        <v>-6.8898825151001271</v>
      </c>
      <c r="E437" s="276">
        <v>-0.43624962966540209</v>
      </c>
      <c r="F437" s="276">
        <v>-53.458757654267153</v>
      </c>
      <c r="G437" s="276">
        <v>-8.8140239162383818</v>
      </c>
      <c r="H437" s="276">
        <v>-21.81227231338357</v>
      </c>
      <c r="I437" s="276">
        <v>7.0289754969668783</v>
      </c>
      <c r="J437" s="276">
        <v>7.0820924462549897</v>
      </c>
      <c r="K437" s="276">
        <v>4.4798983308670302</v>
      </c>
      <c r="L437" s="276">
        <v>0.50467298357077184</v>
      </c>
      <c r="M437" s="276">
        <v>1.6063182082069667</v>
      </c>
      <c r="N437" s="276">
        <v>4.5306047080763472</v>
      </c>
      <c r="O437" s="276">
        <v>5.0843120467670291</v>
      </c>
      <c r="P437" s="276">
        <v>-0.4330176753469499</v>
      </c>
      <c r="Q437" s="276">
        <v>-27.500931222700611</v>
      </c>
      <c r="R437" s="276">
        <v>-11.450499435752969</v>
      </c>
      <c r="S437" s="276">
        <v>5.4249840358153412</v>
      </c>
      <c r="T437" s="276">
        <v>6.0101576980010432</v>
      </c>
      <c r="U437" s="276">
        <v>4.7357051085263331</v>
      </c>
      <c r="V437" s="276">
        <v>-1.4932421795938595</v>
      </c>
      <c r="W437" s="276">
        <v>-3.0615144870466002</v>
      </c>
      <c r="X437" s="276">
        <v>-7.200780877328917</v>
      </c>
      <c r="Y437" s="276">
        <v>67.31245065802797</v>
      </c>
      <c r="Z437" s="276">
        <v>-5.932093313243632</v>
      </c>
      <c r="AA437" s="276">
        <v>-57.812516415056699</v>
      </c>
      <c r="AB437" s="276">
        <v>-37.49209088294505</v>
      </c>
      <c r="AC437" s="276">
        <v>-53.458757654267153</v>
      </c>
      <c r="AD437" s="276">
        <v>1.2422471902457399</v>
      </c>
      <c r="AE437" s="276">
        <v>-9.9086622795685528</v>
      </c>
      <c r="AF437" s="276">
        <v>11.083668333151182</v>
      </c>
      <c r="AG437" s="276">
        <v>11.225177144519366</v>
      </c>
      <c r="AH437" s="276">
        <v>4.6381132086888739</v>
      </c>
      <c r="AI437" s="276">
        <v>1.5305193869237526</v>
      </c>
      <c r="AJ437" s="276">
        <v>6.9979226560039649</v>
      </c>
      <c r="AK437" s="276">
        <v>0.81536628531787825</v>
      </c>
      <c r="AL437" s="276">
        <v>-8.1429616753133089</v>
      </c>
      <c r="AM437" s="276">
        <v>-20.021901946904496</v>
      </c>
      <c r="AN437" s="276">
        <v>-7.4174610221452619</v>
      </c>
      <c r="AO437" s="276">
        <v>11.6152184695767</v>
      </c>
      <c r="AP437" s="276">
        <v>-1.9446816323318989</v>
      </c>
      <c r="AQ437" s="276">
        <v>-9.9774060163473113</v>
      </c>
      <c r="AR437" s="276" t="s">
        <v>237</v>
      </c>
      <c r="AS437" s="276">
        <v>-30.412254528262192</v>
      </c>
      <c r="AT437" s="277" t="s">
        <v>237</v>
      </c>
      <c r="AU437" s="276">
        <v>-53.458757654267153</v>
      </c>
      <c r="AV437" s="276">
        <v>-16.499397256521242</v>
      </c>
      <c r="AW437" s="276">
        <v>-25.17040913556043</v>
      </c>
      <c r="AX437" s="276">
        <v>-1.1673659826330529</v>
      </c>
      <c r="AY437" s="276">
        <v>-6.0997058665825472</v>
      </c>
      <c r="AZ437" s="276">
        <v>-5.4659495471172237</v>
      </c>
      <c r="BA437" s="276">
        <v>2.1356744074689291</v>
      </c>
      <c r="BB437" s="276">
        <v>3.3391674910585158</v>
      </c>
      <c r="BC437" s="276">
        <v>33.713017570102622</v>
      </c>
      <c r="BD437" s="276">
        <v>-13.827444735676604</v>
      </c>
      <c r="BE437" s="276">
        <v>-23.578825048941116</v>
      </c>
      <c r="BF437" s="276">
        <v>-19.37636800345825</v>
      </c>
      <c r="BG437" s="276">
        <v>-34.948004482802808</v>
      </c>
      <c r="BH437" s="276">
        <v>84.300796682716381</v>
      </c>
      <c r="BI437" s="276">
        <v>-28.987783575407256</v>
      </c>
      <c r="BJ437" s="276">
        <v>-47.219194425216173</v>
      </c>
      <c r="BK437" s="276">
        <v>76.957696138927616</v>
      </c>
      <c r="BL437" s="276" t="s">
        <v>237</v>
      </c>
      <c r="BM437" s="277" t="s">
        <v>237</v>
      </c>
      <c r="BN437" s="276">
        <v>-33.182617244407687</v>
      </c>
      <c r="BO437" s="276">
        <v>-21.477518076881243</v>
      </c>
      <c r="BP437" s="276">
        <v>-14.791970593668971</v>
      </c>
      <c r="BQ437" s="276">
        <v>11.355586811309628</v>
      </c>
      <c r="BR437" s="276" t="s">
        <v>237</v>
      </c>
      <c r="BS437" s="276">
        <v>-27.071137721007197</v>
      </c>
      <c r="BT437" s="276">
        <v>-14.442319603845283</v>
      </c>
      <c r="BU437" s="276">
        <v>-35.415314937992036</v>
      </c>
      <c r="BV437" s="276">
        <v>-12.382047250501367</v>
      </c>
      <c r="BW437" s="276" t="s">
        <v>237</v>
      </c>
      <c r="BX437" s="276" t="s">
        <v>237</v>
      </c>
      <c r="BY437" s="276" t="s">
        <v>237</v>
      </c>
      <c r="BZ437" s="276" t="s">
        <v>237</v>
      </c>
      <c r="CA437" s="276">
        <v>-27.53068937156862</v>
      </c>
      <c r="CB437" s="276">
        <v>1.1034748786524791</v>
      </c>
      <c r="CC437" s="276">
        <v>1.1034748786524791</v>
      </c>
      <c r="CD437" s="277" t="s">
        <v>237</v>
      </c>
      <c r="CE437" s="276">
        <v>-36.206667294225717</v>
      </c>
      <c r="CF437" s="276">
        <v>-31.1080174153794</v>
      </c>
      <c r="CG437" s="276">
        <v>-14.40679281600721</v>
      </c>
      <c r="CH437" s="276">
        <v>-22.802308139963763</v>
      </c>
      <c r="CI437" s="276">
        <v>-9.3904543951655413</v>
      </c>
      <c r="CJ437" s="276">
        <v>-12.198259340732593</v>
      </c>
      <c r="CK437" s="276">
        <v>-8.8012856104848467</v>
      </c>
      <c r="CL437" s="276">
        <v>-9.3177787347229621</v>
      </c>
      <c r="CM437" s="276">
        <v>-12.113264330093825</v>
      </c>
      <c r="CN437" s="276">
        <v>13.64144705580388</v>
      </c>
      <c r="CO437" s="276">
        <v>123.37527964205819</v>
      </c>
      <c r="CP437" s="276" t="s">
        <v>237</v>
      </c>
      <c r="CQ437" s="276">
        <v>12.054729733050506</v>
      </c>
      <c r="CR437" s="276">
        <v>4.1122628723780128</v>
      </c>
      <c r="CS437" s="276">
        <v>1.351054789469234</v>
      </c>
      <c r="CT437" s="276">
        <v>1.3867830979918376</v>
      </c>
      <c r="CU437" s="276">
        <v>-22.114845390403897</v>
      </c>
      <c r="CV437" s="276">
        <v>42.943378003138953</v>
      </c>
      <c r="CW437" s="276">
        <v>5.7451542179032664</v>
      </c>
      <c r="CX437" s="276">
        <v>3.0563653119971277</v>
      </c>
      <c r="CY437" s="276">
        <v>5.4601696889607023</v>
      </c>
      <c r="CZ437" s="276">
        <v>-3.9140456762536879</v>
      </c>
      <c r="DA437" s="276">
        <v>79.541581743459531</v>
      </c>
      <c r="DB437" s="276">
        <v>14.966693016992101</v>
      </c>
      <c r="DC437" s="276">
        <v>18.617072430960885</v>
      </c>
      <c r="DD437" s="276">
        <v>-11.463974149766681</v>
      </c>
      <c r="DE437" s="276">
        <v>-28.228705738730913</v>
      </c>
      <c r="DF437" s="276">
        <v>5.4222926254561079</v>
      </c>
      <c r="DG437" s="276">
        <v>5.379465690178729</v>
      </c>
      <c r="DH437" s="276">
        <v>7.403223496841739</v>
      </c>
      <c r="DI437" s="276">
        <v>-11.634096307296343</v>
      </c>
      <c r="DJ437" s="276">
        <v>-22.333354519088914</v>
      </c>
      <c r="DK437" s="276">
        <v>-7.2875206341492049</v>
      </c>
      <c r="DL437" s="276">
        <v>-9.2277957569219726</v>
      </c>
      <c r="DM437" s="276">
        <v>-14.92146958911982</v>
      </c>
      <c r="DN437" s="276">
        <v>-3.1504763477869155</v>
      </c>
      <c r="DO437" s="276">
        <v>-10.107601753832418</v>
      </c>
      <c r="DP437" s="276"/>
      <c r="DQ437" s="276">
        <v>-67.540334156284089</v>
      </c>
      <c r="DR437" s="276">
        <v>-8.9585666293393142</v>
      </c>
      <c r="DS437" s="276">
        <v>-5.9540938677629311</v>
      </c>
      <c r="DT437" s="276">
        <v>13.728889678005572</v>
      </c>
      <c r="DU437" s="276">
        <v>0.52111903455841679</v>
      </c>
      <c r="DV437" s="276">
        <v>36.334405144694529</v>
      </c>
      <c r="DW437" s="276">
        <v>-12.671863089570278</v>
      </c>
      <c r="DX437" s="276">
        <v>0.35017645610483439</v>
      </c>
      <c r="DY437" s="276">
        <v>-37.146101922646288</v>
      </c>
      <c r="DZ437" s="276">
        <v>15.53885877782689</v>
      </c>
      <c r="EA437" s="276">
        <v>6.3664213017407718</v>
      </c>
      <c r="EB437" s="276">
        <v>12.306438467807661</v>
      </c>
      <c r="EC437" s="276"/>
      <c r="ED437" s="276" t="s">
        <v>237</v>
      </c>
      <c r="EE437" s="276">
        <v>15.263157894736835</v>
      </c>
      <c r="EF437" s="276">
        <v>-12.114363662624706</v>
      </c>
      <c r="EG437" s="276">
        <v>-31.417188608593371</v>
      </c>
      <c r="EH437" s="276">
        <v>-2.174661062610828</v>
      </c>
      <c r="EI437" s="276">
        <v>-2.1062260785290321</v>
      </c>
      <c r="EJ437" s="276">
        <v>-6.6630808137998647</v>
      </c>
      <c r="EK437" s="276">
        <v>-23.361778194991281</v>
      </c>
      <c r="EL437" s="276">
        <v>-43.402563796457919</v>
      </c>
      <c r="EM437" s="276">
        <v>-10.715441890579479</v>
      </c>
      <c r="EN437" s="276">
        <v>-10.757509985273931</v>
      </c>
      <c r="EO437" s="276">
        <v>-8.6256706562113106</v>
      </c>
      <c r="EP437" s="276">
        <v>-7.8068938138531827</v>
      </c>
      <c r="EQ437" s="276">
        <v>-17.262868119734389</v>
      </c>
      <c r="ER437" s="276">
        <v>-1.5638497066533541</v>
      </c>
      <c r="ES437" s="276">
        <v>-1.4799983697091976</v>
      </c>
      <c r="ET437" s="276">
        <v>-5.6877975444750764</v>
      </c>
      <c r="EU437" s="276">
        <v>-8.8435064047043852</v>
      </c>
      <c r="EV437" s="276">
        <v>-5.0165494414563456</v>
      </c>
      <c r="EW437" s="276">
        <v>-11.859157225527753</v>
      </c>
      <c r="EX437" s="276">
        <v>-11.755902893249083</v>
      </c>
      <c r="EY437" s="276">
        <v>-17.012448132780076</v>
      </c>
      <c r="EZ437" s="276">
        <v>-15.798136015911766</v>
      </c>
      <c r="FA437" s="276">
        <v>-46.101204811670407</v>
      </c>
      <c r="FB437" s="276">
        <v>-2.1856985874851875</v>
      </c>
      <c r="FC437" s="276">
        <v>-2.1369474404227455</v>
      </c>
      <c r="FD437" s="276">
        <v>-5.3679396008896951</v>
      </c>
      <c r="FE437" s="276">
        <v>-3.1161099057681079</v>
      </c>
      <c r="FF437" s="276">
        <v>-1.1954892886233806</v>
      </c>
      <c r="FG437" s="276">
        <v>-4.5177883083816646</v>
      </c>
      <c r="FH437" s="276">
        <v>-4.4360983495794972</v>
      </c>
      <c r="FI437" s="276">
        <v>-8.7636487716105567</v>
      </c>
      <c r="FJ437" s="276">
        <v>-10.103680968667547</v>
      </c>
      <c r="FK437" s="276" t="s">
        <v>237</v>
      </c>
      <c r="FL437" s="276">
        <v>8.4885387112921808</v>
      </c>
      <c r="FM437" s="276">
        <v>8.4885387112921808</v>
      </c>
      <c r="FN437" s="277"/>
      <c r="FO437" s="277"/>
      <c r="FP437" s="276">
        <v>-70.213484276006724</v>
      </c>
      <c r="FQ437" s="276">
        <v>38.056680161943319</v>
      </c>
      <c r="FR437" s="276">
        <v>-7.0387240698711766</v>
      </c>
      <c r="FS437" s="276">
        <v>23.451317364020301</v>
      </c>
      <c r="FT437" s="276">
        <v>-4.5286709384468562</v>
      </c>
      <c r="FU437" s="276">
        <v>37.143158413348552</v>
      </c>
      <c r="FV437" s="276">
        <v>41.413968984627694</v>
      </c>
      <c r="FW437" s="276">
        <v>-16.732259102497473</v>
      </c>
      <c r="FX437" s="276">
        <v>-16.193465867857892</v>
      </c>
      <c r="FY437" s="276">
        <v>-0.27304989754164155</v>
      </c>
      <c r="FZ437" s="276"/>
      <c r="GA437" s="276"/>
      <c r="GB437" s="276">
        <v>-25.567196804100394</v>
      </c>
      <c r="GC437" s="276">
        <v>-33.277493787891409</v>
      </c>
      <c r="GD437" s="276">
        <v>-34.506547860132301</v>
      </c>
      <c r="GE437" s="276">
        <v>-51.232252033752722</v>
      </c>
      <c r="GF437" s="276">
        <v>-24.100537127914603</v>
      </c>
      <c r="GG437" s="276">
        <v>-3.5504170640304031</v>
      </c>
      <c r="GH437" s="276">
        <v>198.27889447236186</v>
      </c>
      <c r="GI437" s="276">
        <v>-19.868751745322538</v>
      </c>
      <c r="GJ437" s="276">
        <v>-10.468597876985399</v>
      </c>
    </row>
    <row r="438" spans="1:192">
      <c r="A438" s="274"/>
      <c r="B438" s="275"/>
      <c r="C438" s="275">
        <v>21</v>
      </c>
      <c r="D438" s="276">
        <v>11.046589374373614</v>
      </c>
      <c r="E438" s="276">
        <v>3.1185020534974877</v>
      </c>
      <c r="F438" s="276">
        <v>52.547347105444771</v>
      </c>
      <c r="G438" s="276">
        <v>15.116759368758172</v>
      </c>
      <c r="H438" s="276">
        <v>34.604992954913797</v>
      </c>
      <c r="I438" s="276">
        <v>-2.2357494545083112</v>
      </c>
      <c r="J438" s="276">
        <v>-2.2957930383837408</v>
      </c>
      <c r="K438" s="276">
        <v>0.71750299570701659</v>
      </c>
      <c r="L438" s="276">
        <v>5.8788404487833619</v>
      </c>
      <c r="M438" s="276">
        <v>6.0581712475050189</v>
      </c>
      <c r="N438" s="276">
        <v>-1.5341928059432119</v>
      </c>
      <c r="O438" s="276">
        <v>-5.4113680668414501</v>
      </c>
      <c r="P438" s="276">
        <v>35.148096217531503</v>
      </c>
      <c r="Q438" s="276">
        <v>25.536101264369467</v>
      </c>
      <c r="R438" s="276">
        <v>14.674865429998315</v>
      </c>
      <c r="S438" s="276">
        <v>3.3642805139733252</v>
      </c>
      <c r="T438" s="276">
        <v>4.5563845621949879</v>
      </c>
      <c r="U438" s="276">
        <v>-0.66574447490567912</v>
      </c>
      <c r="V438" s="276">
        <v>-2.8228933549001813</v>
      </c>
      <c r="W438" s="276">
        <v>4.9978584880052868</v>
      </c>
      <c r="X438" s="276">
        <v>10.033849129593808</v>
      </c>
      <c r="Y438" s="276">
        <v>1.3301740587464859</v>
      </c>
      <c r="Z438" s="276">
        <v>-169.16191527190236</v>
      </c>
      <c r="AA438" s="276">
        <v>-4.004207246849548</v>
      </c>
      <c r="AB438" s="276">
        <v>26.32723925867046</v>
      </c>
      <c r="AC438" s="276">
        <v>52.547347105444771</v>
      </c>
      <c r="AD438" s="276">
        <v>7.4731393781378772</v>
      </c>
      <c r="AE438" s="276">
        <v>19.872331488098474</v>
      </c>
      <c r="AF438" s="276">
        <v>-1.401970496634537</v>
      </c>
      <c r="AG438" s="276">
        <v>-1.5215163318462561</v>
      </c>
      <c r="AH438" s="276">
        <v>4.3859759030106353</v>
      </c>
      <c r="AI438" s="276">
        <v>6.0720448471697592</v>
      </c>
      <c r="AJ438" s="276">
        <v>6.8396689575528518</v>
      </c>
      <c r="AK438" s="276">
        <v>3.5598735848933667</v>
      </c>
      <c r="AL438" s="276">
        <v>14.730423203954238</v>
      </c>
      <c r="AM438" s="276">
        <v>7.416374868935586</v>
      </c>
      <c r="AN438" s="276">
        <v>-0.21581184027573619</v>
      </c>
      <c r="AO438" s="276">
        <v>86.225193468373135</v>
      </c>
      <c r="AP438" s="276">
        <v>8.3874246585113603</v>
      </c>
      <c r="AQ438" s="276">
        <v>17.362158247072205</v>
      </c>
      <c r="AR438" s="276">
        <v>30.684272437105921</v>
      </c>
      <c r="AS438" s="276">
        <v>6.4971921298365594</v>
      </c>
      <c r="AT438" s="277" t="s">
        <v>237</v>
      </c>
      <c r="AU438" s="276">
        <v>52.547347105444771</v>
      </c>
      <c r="AV438" s="276">
        <v>27.688916496492489</v>
      </c>
      <c r="AW438" s="276">
        <v>50.229022488646763</v>
      </c>
      <c r="AX438" s="276">
        <v>-6.7079128371615493</v>
      </c>
      <c r="AY438" s="276">
        <v>-3.5594348610713866</v>
      </c>
      <c r="AZ438" s="276">
        <v>-5.6595442684635451</v>
      </c>
      <c r="BA438" s="276">
        <v>-10.452474773276203</v>
      </c>
      <c r="BB438" s="276">
        <v>3.9817310351486102</v>
      </c>
      <c r="BC438" s="276">
        <v>-22.831791780583917</v>
      </c>
      <c r="BD438" s="276">
        <v>13.626812386015736</v>
      </c>
      <c r="BE438" s="276">
        <v>24.554388766498178</v>
      </c>
      <c r="BF438" s="276">
        <v>22.605069239472979</v>
      </c>
      <c r="BG438" s="276">
        <v>25.366143038473467</v>
      </c>
      <c r="BH438" s="276">
        <v>-135.4162644847369</v>
      </c>
      <c r="BI438" s="276">
        <v>27.171088914761928</v>
      </c>
      <c r="BJ438" s="276">
        <v>25.910450022241822</v>
      </c>
      <c r="BK438" s="276">
        <v>-67.061421473474269</v>
      </c>
      <c r="BL438" s="276">
        <v>76.150684099331073</v>
      </c>
      <c r="BM438" s="277" t="s">
        <v>237</v>
      </c>
      <c r="BN438" s="276">
        <v>67.910269308610467</v>
      </c>
      <c r="BO438" s="276">
        <v>9.760855778869244</v>
      </c>
      <c r="BP438" s="276">
        <v>6.3989305708407063</v>
      </c>
      <c r="BQ438" s="276">
        <v>86.210763266497153</v>
      </c>
      <c r="BR438" s="276">
        <v>-98.914208249951599</v>
      </c>
      <c r="BS438" s="276">
        <v>53.660155863798273</v>
      </c>
      <c r="BT438" s="276">
        <v>22.34773584830641</v>
      </c>
      <c r="BU438" s="276">
        <v>92.706842617811873</v>
      </c>
      <c r="BV438" s="276">
        <v>14.166105316275567</v>
      </c>
      <c r="BW438" s="276" t="s">
        <v>237</v>
      </c>
      <c r="BX438" s="276">
        <v>55.298759445720428</v>
      </c>
      <c r="BY438" s="276">
        <v>-39.927712080392638</v>
      </c>
      <c r="BZ438" s="276">
        <v>171.07142857142856</v>
      </c>
      <c r="CA438" s="276">
        <v>15.149496620309023</v>
      </c>
      <c r="CB438" s="276">
        <v>-3.797603306537269</v>
      </c>
      <c r="CC438" s="276">
        <v>-3.797603306537269</v>
      </c>
      <c r="CD438" s="277" t="s">
        <v>237</v>
      </c>
      <c r="CE438" s="276">
        <v>20.927011738019633</v>
      </c>
      <c r="CF438" s="276">
        <v>13.184750886801522</v>
      </c>
      <c r="CG438" s="276">
        <v>20.310119695320999</v>
      </c>
      <c r="CH438" s="276">
        <v>24.551719534782823</v>
      </c>
      <c r="CI438" s="276">
        <v>11.941655063817707</v>
      </c>
      <c r="CJ438" s="276">
        <v>31.443459447945905</v>
      </c>
      <c r="CK438" s="276">
        <v>8.0019655197677455</v>
      </c>
      <c r="CL438" s="276">
        <v>5.7726268560134724</v>
      </c>
      <c r="CM438" s="276">
        <v>16.426427827276825</v>
      </c>
      <c r="CN438" s="276">
        <v>-10.876132532637408</v>
      </c>
      <c r="CO438" s="276">
        <v>-51.804604464252186</v>
      </c>
      <c r="CP438" s="276">
        <v>-40.133363302614825</v>
      </c>
      <c r="CQ438" s="276">
        <v>-9.9952512974585677</v>
      </c>
      <c r="CR438" s="276">
        <v>-6.0114677498989311</v>
      </c>
      <c r="CS438" s="276">
        <v>-1.8402582771434817</v>
      </c>
      <c r="CT438" s="276">
        <v>-4.2055248235559448</v>
      </c>
      <c r="CU438" s="276">
        <v>31.20376501413304</v>
      </c>
      <c r="CV438" s="276">
        <v>26.110876005078293</v>
      </c>
      <c r="CW438" s="276">
        <v>-0.41140641458163801</v>
      </c>
      <c r="CX438" s="276">
        <v>-1.9952956764740468</v>
      </c>
      <c r="CY438" s="276">
        <v>-4.6752212999125886</v>
      </c>
      <c r="CZ438" s="276">
        <v>3.2191256163299591</v>
      </c>
      <c r="DA438" s="276">
        <v>-13.852686591540106</v>
      </c>
      <c r="DB438" s="276">
        <v>-56.625992330259137</v>
      </c>
      <c r="DC438" s="276">
        <v>-23.521056985210581</v>
      </c>
      <c r="DD438" s="276">
        <v>14.464755216530078</v>
      </c>
      <c r="DE438" s="276">
        <v>40.941073173215756</v>
      </c>
      <c r="DF438" s="276">
        <v>-3.6909428150069199</v>
      </c>
      <c r="DG438" s="276">
        <v>-3.6748649197537611</v>
      </c>
      <c r="DH438" s="276">
        <v>-4.4206022359168804</v>
      </c>
      <c r="DI438" s="276">
        <v>5.1690336129907566</v>
      </c>
      <c r="DJ438" s="276">
        <v>9.3028798183011094</v>
      </c>
      <c r="DK438" s="276">
        <v>2.2444356072930565</v>
      </c>
      <c r="DL438" s="276">
        <v>8.6011388957662689</v>
      </c>
      <c r="DM438" s="276">
        <v>11.275786794485924</v>
      </c>
      <c r="DN438" s="276">
        <v>-1.8718746151345422</v>
      </c>
      <c r="DO438" s="276">
        <v>-12.222695591693009</v>
      </c>
      <c r="DP438" s="276"/>
      <c r="DQ438" s="276">
        <v>-33.322278234721857</v>
      </c>
      <c r="DR438" s="276">
        <v>2.8290282902829054</v>
      </c>
      <c r="DS438" s="276">
        <v>-10.400769529229184</v>
      </c>
      <c r="DT438" s="276">
        <v>-6.8642405752887363</v>
      </c>
      <c r="DU438" s="276">
        <v>-9.6498483595257767</v>
      </c>
      <c r="DV438" s="276">
        <v>-73.232323232323239</v>
      </c>
      <c r="DW438" s="276">
        <v>-10.969020501138951</v>
      </c>
      <c r="DX438" s="276">
        <v>-8.1564859299931474</v>
      </c>
      <c r="DY438" s="276">
        <v>-9.1815273128763604</v>
      </c>
      <c r="DZ438" s="276">
        <v>-17.071065943246392</v>
      </c>
      <c r="EA438" s="276">
        <v>-17.671959312782967</v>
      </c>
      <c r="EB438" s="276">
        <v>22.444237918215617</v>
      </c>
      <c r="EC438" s="276"/>
      <c r="ED438" s="276">
        <v>68.173358149428338</v>
      </c>
      <c r="EE438" s="276">
        <v>44.927536231884048</v>
      </c>
      <c r="EF438" s="276">
        <v>4.9968041018195706</v>
      </c>
      <c r="EG438" s="276">
        <v>22.638411581436202</v>
      </c>
      <c r="EH438" s="276">
        <v>-1.3719516832643688</v>
      </c>
      <c r="EI438" s="276">
        <v>-1.4284777855706328</v>
      </c>
      <c r="EJ438" s="276">
        <v>2.5164036355915966</v>
      </c>
      <c r="EK438" s="276">
        <v>9.63098699373713</v>
      </c>
      <c r="EL438" s="276">
        <v>45.494917708493666</v>
      </c>
      <c r="EM438" s="276">
        <v>-4.714928783504587</v>
      </c>
      <c r="EN438" s="276">
        <v>-4.6955076734021333</v>
      </c>
      <c r="EO438" s="276">
        <v>-5.6571815718157117</v>
      </c>
      <c r="EP438" s="276">
        <v>1.6310925384040738</v>
      </c>
      <c r="EQ438" s="276">
        <v>14.94789762340036</v>
      </c>
      <c r="ER438" s="276">
        <v>-5.7587639429246833</v>
      </c>
      <c r="ES438" s="276">
        <v>-5.8563753044539419</v>
      </c>
      <c r="ET438" s="276">
        <v>-0.74388947927735338</v>
      </c>
      <c r="EU438" s="276">
        <v>7.9611941791268626</v>
      </c>
      <c r="EV438" s="276">
        <v>6.3269084177284061</v>
      </c>
      <c r="EW438" s="276">
        <v>9.3489920473460266</v>
      </c>
      <c r="EX438" s="276">
        <v>9.1671377426040976</v>
      </c>
      <c r="EY438" s="276">
        <v>18.999999999999989</v>
      </c>
      <c r="EZ438" s="276">
        <v>11.288828417036262</v>
      </c>
      <c r="FA438" s="276">
        <v>85.077776752826068</v>
      </c>
      <c r="FB438" s="276">
        <v>-6.9760718531824821</v>
      </c>
      <c r="FC438" s="276">
        <v>-7.0616501479250964</v>
      </c>
      <c r="FD438" s="276">
        <v>-1.1992054953240074</v>
      </c>
      <c r="FE438" s="276">
        <v>-2.0737185867121117</v>
      </c>
      <c r="FF438" s="276">
        <v>-17.613916352413806</v>
      </c>
      <c r="FG438" s="276">
        <v>9.6622148642324355</v>
      </c>
      <c r="FH438" s="276">
        <v>9.6416752753564126</v>
      </c>
      <c r="FI438" s="276">
        <v>10.780402667830217</v>
      </c>
      <c r="FJ438" s="276">
        <v>-12.204915978952306</v>
      </c>
      <c r="FK438" s="276" t="s">
        <v>237</v>
      </c>
      <c r="FL438" s="276">
        <v>5.6854078358431615</v>
      </c>
      <c r="FM438" s="276">
        <v>5.6854078358431615</v>
      </c>
      <c r="FN438" s="277"/>
      <c r="FO438" s="277"/>
      <c r="FP438" s="276">
        <v>-30.161333108254752</v>
      </c>
      <c r="FQ438" s="276" t="s">
        <v>237</v>
      </c>
      <c r="FR438" s="276">
        <v>21.645094568285398</v>
      </c>
      <c r="FS438" s="276">
        <v>-3.1586040652209078</v>
      </c>
      <c r="FT438" s="276">
        <v>23.911955780427157</v>
      </c>
      <c r="FU438" s="276">
        <v>-3.0165385665691868</v>
      </c>
      <c r="FV438" s="276">
        <v>-3.0262918732318007</v>
      </c>
      <c r="FW438" s="276">
        <v>-2.8075859813917479</v>
      </c>
      <c r="FX438" s="276">
        <v>17.552585355176276</v>
      </c>
      <c r="FY438" s="276">
        <v>33.020665747958489</v>
      </c>
      <c r="FZ438" s="276"/>
      <c r="GA438" s="276"/>
      <c r="GB438" s="276">
        <v>12.012658227848096</v>
      </c>
      <c r="GC438" s="276">
        <v>15.152058270027753</v>
      </c>
      <c r="GD438" s="276">
        <v>37.024592360495539</v>
      </c>
      <c r="GE438" s="276">
        <v>-1.6583994923134568</v>
      </c>
      <c r="GF438" s="276">
        <v>18.364813838026112</v>
      </c>
      <c r="GG438" s="276">
        <v>21.626749946905353</v>
      </c>
      <c r="GH438" s="276">
        <v>54.684749189234701</v>
      </c>
      <c r="GI438" s="276">
        <v>47.273044084335254</v>
      </c>
      <c r="GJ438" s="276">
        <v>17.652215165778674</v>
      </c>
    </row>
    <row r="439" spans="1:192">
      <c r="A439" s="274"/>
      <c r="B439" s="275"/>
      <c r="C439" s="275">
        <v>22</v>
      </c>
      <c r="D439" s="276">
        <v>16.348269634835763</v>
      </c>
      <c r="E439" s="276">
        <v>-24.45401337103856</v>
      </c>
      <c r="F439" s="276">
        <v>-121.97195005963252</v>
      </c>
      <c r="G439" s="276">
        <v>14.360256444657205</v>
      </c>
      <c r="H439" s="276">
        <v>29.693042295111201</v>
      </c>
      <c r="I439" s="276">
        <v>-4.4368915945489782</v>
      </c>
      <c r="J439" s="276">
        <v>-4.4838813289211465</v>
      </c>
      <c r="K439" s="276">
        <v>-2.1948417142249741</v>
      </c>
      <c r="L439" s="276">
        <v>14.014035094549675</v>
      </c>
      <c r="M439" s="276">
        <v>12.547879258244052</v>
      </c>
      <c r="N439" s="276">
        <v>25.437573290811724</v>
      </c>
      <c r="O439" s="276">
        <v>26.766480578099948</v>
      </c>
      <c r="P439" s="276">
        <v>16.637937646588639</v>
      </c>
      <c r="Q439" s="276">
        <v>10.409924055958285</v>
      </c>
      <c r="R439" s="276">
        <v>11.2829262896587</v>
      </c>
      <c r="S439" s="276">
        <v>1.7179189322747166</v>
      </c>
      <c r="T439" s="276">
        <v>1.6420352275018086</v>
      </c>
      <c r="U439" s="276">
        <v>-0.2424603141669098</v>
      </c>
      <c r="V439" s="276">
        <v>11.325288223251798</v>
      </c>
      <c r="W439" s="276">
        <v>2.3696109915199366</v>
      </c>
      <c r="X439" s="276">
        <v>-17.898414404729909</v>
      </c>
      <c r="Y439" s="276">
        <v>2.2534122851926601</v>
      </c>
      <c r="Z439" s="276">
        <v>-10.478099446507075</v>
      </c>
      <c r="AA439" s="276">
        <v>15.92951508013723</v>
      </c>
      <c r="AB439" s="276">
        <v>78.131743327654746</v>
      </c>
      <c r="AC439" s="276">
        <v>-121.97195005963252</v>
      </c>
      <c r="AD439" s="276">
        <v>15.801386977632484</v>
      </c>
      <c r="AE439" s="276">
        <v>32.813678926029318</v>
      </c>
      <c r="AF439" s="276">
        <v>0.99688190052347914</v>
      </c>
      <c r="AG439" s="276">
        <v>0.8747757183592314</v>
      </c>
      <c r="AH439" s="276">
        <v>6.574219067386597</v>
      </c>
      <c r="AI439" s="276">
        <v>12.603861285592476</v>
      </c>
      <c r="AJ439" s="276">
        <v>11.654192234924569</v>
      </c>
      <c r="AK439" s="276">
        <v>10.738329335828256</v>
      </c>
      <c r="AL439" s="276">
        <v>17.263367416041408</v>
      </c>
      <c r="AM439" s="276">
        <v>9.4919592235880881</v>
      </c>
      <c r="AN439" s="276">
        <v>11.305701411053821</v>
      </c>
      <c r="AO439" s="276">
        <v>-10.75801524758066</v>
      </c>
      <c r="AP439" s="276">
        <v>-1.9578325641848378</v>
      </c>
      <c r="AQ439" s="276">
        <v>21.664481458198591</v>
      </c>
      <c r="AR439" s="276" t="s">
        <v>237</v>
      </c>
      <c r="AS439" s="276">
        <v>10.38708318579749</v>
      </c>
      <c r="AT439" s="277">
        <v>-100</v>
      </c>
      <c r="AU439" s="276">
        <v>-121.97195005963252</v>
      </c>
      <c r="AV439" s="276">
        <v>21.661364787515957</v>
      </c>
      <c r="AW439" s="276">
        <v>17.322772511614609</v>
      </c>
      <c r="AX439" s="276">
        <v>41.732082486539596</v>
      </c>
      <c r="AY439" s="276">
        <v>38.030975870612941</v>
      </c>
      <c r="AZ439" s="276">
        <v>59.28038172644461</v>
      </c>
      <c r="BA439" s="276">
        <v>45.780937743974008</v>
      </c>
      <c r="BB439" s="276">
        <v>7.6955036251441946</v>
      </c>
      <c r="BC439" s="276">
        <v>29.119615249912435</v>
      </c>
      <c r="BD439" s="276">
        <v>6.4425151705858479</v>
      </c>
      <c r="BE439" s="276">
        <v>-24.031950941447359</v>
      </c>
      <c r="BF439" s="276">
        <v>-25.022844912042704</v>
      </c>
      <c r="BG439" s="276">
        <v>-26.644572888319615</v>
      </c>
      <c r="BH439" s="276">
        <v>4.4020647820099104</v>
      </c>
      <c r="BI439" s="276">
        <v>-128.3874023149325</v>
      </c>
      <c r="BJ439" s="276">
        <v>30.814024484571334</v>
      </c>
      <c r="BK439" s="276" t="s">
        <v>237</v>
      </c>
      <c r="BL439" s="276">
        <v>61.081708318002995</v>
      </c>
      <c r="BM439" s="277" t="s">
        <v>237</v>
      </c>
      <c r="BN439" s="276">
        <v>20.841318258410702</v>
      </c>
      <c r="BO439" s="276">
        <v>8.4258735263320279</v>
      </c>
      <c r="BP439" s="276">
        <v>13.802732579873579</v>
      </c>
      <c r="BQ439" s="276">
        <v>-10.580231519517529</v>
      </c>
      <c r="BR439" s="276">
        <v>9.5124851367419829</v>
      </c>
      <c r="BS439" s="276">
        <v>17.652951944463126</v>
      </c>
      <c r="BT439" s="276">
        <v>19.310297851453313</v>
      </c>
      <c r="BU439" s="276">
        <v>12.563097357297311</v>
      </c>
      <c r="BV439" s="276">
        <v>18.283352776889739</v>
      </c>
      <c r="BW439" s="276" t="s">
        <v>237</v>
      </c>
      <c r="BX439" s="276">
        <v>23.870039630052336</v>
      </c>
      <c r="BY439" s="276">
        <v>43.311568368250747</v>
      </c>
      <c r="BZ439" s="276">
        <v>-38.405797101449274</v>
      </c>
      <c r="CA439" s="276">
        <v>36.683317763789518</v>
      </c>
      <c r="CB439" s="276">
        <v>20.49684850792632</v>
      </c>
      <c r="CC439" s="276">
        <v>20.49684850792632</v>
      </c>
      <c r="CD439" s="277" t="s">
        <v>237</v>
      </c>
      <c r="CE439" s="276">
        <v>61.662729596317597</v>
      </c>
      <c r="CF439" s="276">
        <v>36.552825301838368</v>
      </c>
      <c r="CG439" s="276">
        <v>19.287297065074846</v>
      </c>
      <c r="CH439" s="276" t="s">
        <v>237</v>
      </c>
      <c r="CI439" s="276">
        <v>20.356611931373369</v>
      </c>
      <c r="CJ439" s="276">
        <v>36.044176168191576</v>
      </c>
      <c r="CK439" s="276">
        <v>16.499608345633554</v>
      </c>
      <c r="CL439" s="276">
        <v>18.301439210181947</v>
      </c>
      <c r="CM439" s="276">
        <v>15.218673980443592</v>
      </c>
      <c r="CN439" s="276">
        <v>8.0159065423219289</v>
      </c>
      <c r="CO439" s="276">
        <v>-56.008104317107382</v>
      </c>
      <c r="CP439" s="276">
        <v>-69.360732879455341</v>
      </c>
      <c r="CQ439" s="276">
        <v>9.0572762459508951</v>
      </c>
      <c r="CR439" s="276">
        <v>-36.674075966913676</v>
      </c>
      <c r="CS439" s="276">
        <v>-18.851499750187479</v>
      </c>
      <c r="CT439" s="276">
        <v>-17.98958517078756</v>
      </c>
      <c r="CU439" s="276">
        <v>21.056144890038812</v>
      </c>
      <c r="CV439" s="276">
        <v>2.634593356242843</v>
      </c>
      <c r="CW439" s="276">
        <v>-30.187928059413309</v>
      </c>
      <c r="CX439" s="276">
        <v>-46.905575310044966</v>
      </c>
      <c r="CY439" s="276">
        <v>-54.784861179819785</v>
      </c>
      <c r="CZ439" s="276">
        <v>-31.006184525691079</v>
      </c>
      <c r="DA439" s="276">
        <v>40.469359651136102</v>
      </c>
      <c r="DB439" s="276">
        <v>-8.1848244032060009</v>
      </c>
      <c r="DC439" s="276">
        <v>-26.445551166688443</v>
      </c>
      <c r="DD439" s="276">
        <v>13.926777259709288</v>
      </c>
      <c r="DE439" s="276">
        <v>37.472561024053931</v>
      </c>
      <c r="DF439" s="276">
        <v>-9.7018753285673967</v>
      </c>
      <c r="DG439" s="276">
        <v>-9.6563578929414025</v>
      </c>
      <c r="DH439" s="276">
        <v>-11.78369986528708</v>
      </c>
      <c r="DI439" s="276">
        <v>3.0907052841316176</v>
      </c>
      <c r="DJ439" s="276">
        <v>31.685526082473544</v>
      </c>
      <c r="DK439" s="276">
        <v>10.169366672363289</v>
      </c>
      <c r="DL439" s="276">
        <v>16.90680284515777</v>
      </c>
      <c r="DM439" s="276">
        <v>5.1619070977266075</v>
      </c>
      <c r="DN439" s="276">
        <v>8.9605335292329418</v>
      </c>
      <c r="DO439" s="276">
        <v>-78.203741102953401</v>
      </c>
      <c r="DP439" s="276"/>
      <c r="DQ439" s="276">
        <v>95.646118645753873</v>
      </c>
      <c r="DR439" s="276">
        <v>26.435406698564591</v>
      </c>
      <c r="DS439" s="276">
        <v>-19.828084844668648</v>
      </c>
      <c r="DT439" s="276">
        <v>-10.055283668660492</v>
      </c>
      <c r="DU439" s="276">
        <v>-17.410826538309571</v>
      </c>
      <c r="DV439" s="276">
        <v>34.110787172011669</v>
      </c>
      <c r="DW439" s="276">
        <v>-25.891401897551898</v>
      </c>
      <c r="DX439" s="276">
        <v>1.6752969844654373</v>
      </c>
      <c r="DY439" s="276">
        <v>-23.599558467454795</v>
      </c>
      <c r="DZ439" s="276">
        <v>-47.971330437101045</v>
      </c>
      <c r="EA439" s="276">
        <v>15.824427782682596</v>
      </c>
      <c r="EB439" s="276" t="s">
        <v>237</v>
      </c>
      <c r="EC439" s="276"/>
      <c r="ED439" s="276">
        <v>0.91896407685882375</v>
      </c>
      <c r="EE439" s="276">
        <v>2.8195488721804534</v>
      </c>
      <c r="EF439" s="276">
        <v>2.5113496424859343</v>
      </c>
      <c r="EG439" s="276">
        <v>31.762067409009646</v>
      </c>
      <c r="EH439" s="276">
        <v>-10.619083297506245</v>
      </c>
      <c r="EI439" s="276">
        <v>-10.591875693236815</v>
      </c>
      <c r="EJ439" s="276">
        <v>-12.418639053254438</v>
      </c>
      <c r="EK439" s="276">
        <v>34.52232554753418</v>
      </c>
      <c r="EL439" s="276">
        <v>134.77589658996069</v>
      </c>
      <c r="EM439" s="276">
        <v>-26.711755048510703</v>
      </c>
      <c r="EN439" s="276">
        <v>-26.64527425511184</v>
      </c>
      <c r="EO439" s="276">
        <v>-29.970077797725914</v>
      </c>
      <c r="EP439" s="276">
        <v>9.5222810334367942</v>
      </c>
      <c r="EQ439" s="276">
        <v>25.997789317153465</v>
      </c>
      <c r="ER439" s="276">
        <v>-1.6292588406265067</v>
      </c>
      <c r="ES439" s="276">
        <v>-1.7132279433574653</v>
      </c>
      <c r="ET439" s="276">
        <v>2.4625267665952792</v>
      </c>
      <c r="EU439" s="276">
        <v>17.717356060956984</v>
      </c>
      <c r="EV439" s="276">
        <v>32.98852929127407</v>
      </c>
      <c r="EW439" s="276">
        <v>5.1078224101479854</v>
      </c>
      <c r="EX439" s="276">
        <v>5.0142400966600462</v>
      </c>
      <c r="EY439" s="276">
        <v>9.6638655462184957</v>
      </c>
      <c r="EZ439" s="276">
        <v>4.2831620548269367</v>
      </c>
      <c r="FA439" s="276">
        <v>44.360783287834231</v>
      </c>
      <c r="FB439" s="276">
        <v>-15.454127857134612</v>
      </c>
      <c r="FC439" s="276">
        <v>-15.371023849318849</v>
      </c>
      <c r="FD439" s="276">
        <v>-20.731104614637168</v>
      </c>
      <c r="FE439" s="276">
        <v>9.2681205363107324</v>
      </c>
      <c r="FF439" s="276">
        <v>25.950488492220192</v>
      </c>
      <c r="FG439" s="276">
        <v>-0.19677092680720473</v>
      </c>
      <c r="FH439" s="276">
        <v>-0.25140970880071445</v>
      </c>
      <c r="FI439" s="276">
        <v>2.7472218314812249</v>
      </c>
      <c r="FJ439" s="276">
        <v>-79.033080707646533</v>
      </c>
      <c r="FK439" s="276" t="s">
        <v>237</v>
      </c>
      <c r="FL439" s="276">
        <v>-9.5938285781249153</v>
      </c>
      <c r="FM439" s="276">
        <v>-9.5938285781249153</v>
      </c>
      <c r="FN439" s="277"/>
      <c r="FO439" s="277"/>
      <c r="FP439" s="276">
        <v>99.637430939226505</v>
      </c>
      <c r="FQ439" s="276">
        <v>77.631578947368439</v>
      </c>
      <c r="FR439" s="276">
        <v>2.0117029651827578</v>
      </c>
      <c r="FS439" s="276">
        <v>-37.245823056583568</v>
      </c>
      <c r="FT439" s="276">
        <v>-1.5851785711659003</v>
      </c>
      <c r="FU439" s="276">
        <v>-84.763379020711383</v>
      </c>
      <c r="FV439" s="276">
        <v>-90.853705648542146</v>
      </c>
      <c r="FW439" s="276">
        <v>45.420763690303239</v>
      </c>
      <c r="FX439" s="276">
        <v>42.948176233952779</v>
      </c>
      <c r="FY439" s="276">
        <v>9.6054860925332299</v>
      </c>
      <c r="FZ439" s="276">
        <v>-33.760608622147089</v>
      </c>
      <c r="GA439" s="276">
        <v>67.387893252854155</v>
      </c>
      <c r="GB439" s="276">
        <v>-17.746638038196402</v>
      </c>
      <c r="GC439" s="276">
        <v>-9.2382041049612713</v>
      </c>
      <c r="GD439" s="276">
        <v>-15.230472981104819</v>
      </c>
      <c r="GE439" s="276" t="s">
        <v>237</v>
      </c>
      <c r="GF439" s="276">
        <v>20.50380639970291</v>
      </c>
      <c r="GG439" s="276">
        <v>10.181413522642712</v>
      </c>
      <c r="GH439" s="276">
        <v>105.33996972238259</v>
      </c>
      <c r="GI439" s="276">
        <v>33.341221012778036</v>
      </c>
      <c r="GJ439" s="276">
        <v>-4.4792304488439854</v>
      </c>
    </row>
    <row r="440" spans="1:192">
      <c r="A440" s="274"/>
      <c r="B440" s="275"/>
      <c r="C440" s="275">
        <v>23</v>
      </c>
      <c r="D440" s="276">
        <v>5.9336338155563269</v>
      </c>
      <c r="E440" s="276">
        <v>-4.3096488676390496</v>
      </c>
      <c r="F440" s="276">
        <v>52.646362696555848</v>
      </c>
      <c r="G440" s="276">
        <v>6.4477477456000907</v>
      </c>
      <c r="H440" s="276">
        <v>-3.9710379903734214</v>
      </c>
      <c r="I440" s="276">
        <v>23.782371058245559</v>
      </c>
      <c r="J440" s="276">
        <v>23.791836536149756</v>
      </c>
      <c r="K440" s="276">
        <v>23.341308966706329</v>
      </c>
      <c r="L440" s="276">
        <v>10.115247880123567</v>
      </c>
      <c r="M440" s="276">
        <v>11.025781718285481</v>
      </c>
      <c r="N440" s="276">
        <v>7.0275520125602311</v>
      </c>
      <c r="O440" s="276">
        <v>7.7737828877377853</v>
      </c>
      <c r="P440" s="276">
        <v>1.6571373195077082</v>
      </c>
      <c r="Q440" s="276">
        <v>-4.7539763155415056</v>
      </c>
      <c r="R440" s="276">
        <v>8.1991976711332306</v>
      </c>
      <c r="S440" s="276">
        <v>-14.793642303014794</v>
      </c>
      <c r="T440" s="276">
        <v>-14.598430589911217</v>
      </c>
      <c r="U440" s="276">
        <v>-11.749984032776576</v>
      </c>
      <c r="V440" s="276">
        <v>-2.2442557017703666</v>
      </c>
      <c r="W440" s="276">
        <v>-16.506757374912208</v>
      </c>
      <c r="X440" s="276">
        <v>31.201470495516254</v>
      </c>
      <c r="Y440" s="276">
        <v>-22.211241800095248</v>
      </c>
      <c r="Z440" s="276">
        <v>15.748651635356012</v>
      </c>
      <c r="AA440" s="276">
        <v>-57.886482165289891</v>
      </c>
      <c r="AB440" s="276" t="s">
        <v>237</v>
      </c>
      <c r="AC440" s="276">
        <v>52.646362696555848</v>
      </c>
      <c r="AD440" s="276">
        <v>9.8597207776235276</v>
      </c>
      <c r="AE440" s="276">
        <v>9.3827920907488815E-2</v>
      </c>
      <c r="AF440" s="276">
        <v>21.035501251479079</v>
      </c>
      <c r="AG440" s="276">
        <v>21.129639731094692</v>
      </c>
      <c r="AH440" s="276">
        <v>16.965572090339577</v>
      </c>
      <c r="AI440" s="276">
        <v>10.966633126565391</v>
      </c>
      <c r="AJ440" s="276">
        <v>12.60829234731554</v>
      </c>
      <c r="AK440" s="276">
        <v>11.735868547782717</v>
      </c>
      <c r="AL440" s="276">
        <v>7.6595650950881309</v>
      </c>
      <c r="AM440" s="276">
        <v>26.712258388610458</v>
      </c>
      <c r="AN440" s="276">
        <v>6.7058511774497198</v>
      </c>
      <c r="AO440" s="276">
        <v>-44.652075995917677</v>
      </c>
      <c r="AP440" s="276">
        <v>-9.955278856883945</v>
      </c>
      <c r="AQ440" s="276">
        <v>7.6021771941646508</v>
      </c>
      <c r="AR440" s="276">
        <v>-10.213626788295555</v>
      </c>
      <c r="AS440" s="276">
        <v>-1.0673819416119994</v>
      </c>
      <c r="AT440" s="277" t="s">
        <v>237</v>
      </c>
      <c r="AU440" s="276">
        <v>52.646362696555848</v>
      </c>
      <c r="AV440" s="276">
        <v>12.074015717655502</v>
      </c>
      <c r="AW440" s="276">
        <v>15.135456702000329</v>
      </c>
      <c r="AX440" s="276">
        <v>12.095301663942703</v>
      </c>
      <c r="AY440" s="276">
        <v>20.582877256007954</v>
      </c>
      <c r="AZ440" s="276">
        <v>-8.8636506971837381</v>
      </c>
      <c r="BA440" s="276">
        <v>12.158908338273333</v>
      </c>
      <c r="BB440" s="276">
        <v>22.29462153781407</v>
      </c>
      <c r="BC440" s="276">
        <v>-30.286001304871562</v>
      </c>
      <c r="BD440" s="276">
        <v>10.708719083210845</v>
      </c>
      <c r="BE440" s="276">
        <v>-20.83961702048321</v>
      </c>
      <c r="BF440" s="276">
        <v>-20.971811894226295</v>
      </c>
      <c r="BG440" s="276">
        <v>-12.174494768774997</v>
      </c>
      <c r="BH440" s="276" t="s">
        <v>237</v>
      </c>
      <c r="BI440" s="276">
        <v>-10.865256431240905</v>
      </c>
      <c r="BJ440" s="276">
        <v>-63.393165570902902</v>
      </c>
      <c r="BK440" s="276">
        <v>32.497687160584682</v>
      </c>
      <c r="BL440" s="276">
        <v>15.637650595108235</v>
      </c>
      <c r="BM440" s="277" t="s">
        <v>237</v>
      </c>
      <c r="BN440" s="276">
        <v>8.9617076028480707</v>
      </c>
      <c r="BO440" s="276">
        <v>28.422482079875223</v>
      </c>
      <c r="BP440" s="276">
        <v>6.809405552392815</v>
      </c>
      <c r="BQ440" s="276">
        <v>-44.77003998107346</v>
      </c>
      <c r="BR440" s="276" t="s">
        <v>237</v>
      </c>
      <c r="BS440" s="276">
        <v>15.187322959807986</v>
      </c>
      <c r="BT440" s="276">
        <v>17.123626766333253</v>
      </c>
      <c r="BU440" s="276">
        <v>18.197867157265968</v>
      </c>
      <c r="BV440" s="276">
        <v>14.581979643197197</v>
      </c>
      <c r="BW440" s="276">
        <v>-79.477471566712509</v>
      </c>
      <c r="BX440" s="276">
        <v>-12.668122331437534</v>
      </c>
      <c r="BY440" s="276" t="s">
        <v>237</v>
      </c>
      <c r="BZ440" s="276">
        <v>-92.513368983957207</v>
      </c>
      <c r="CA440" s="276">
        <v>17.756832278148597</v>
      </c>
      <c r="CB440" s="276">
        <v>-58.907856281953308</v>
      </c>
      <c r="CC440" s="276">
        <v>-58.907856281953308</v>
      </c>
      <c r="CD440" s="277" t="s">
        <v>237</v>
      </c>
      <c r="CE440" s="276">
        <v>8.9160259248277551</v>
      </c>
      <c r="CF440" s="276">
        <v>11.627557320800065</v>
      </c>
      <c r="CG440" s="276">
        <v>16.007026057067762</v>
      </c>
      <c r="CH440" s="276">
        <v>-40.082166523328986</v>
      </c>
      <c r="CI440" s="276">
        <v>-0.13335862551952554</v>
      </c>
      <c r="CJ440" s="276">
        <v>-12.779419462422998</v>
      </c>
      <c r="CK440" s="276">
        <v>3.4974660805265785</v>
      </c>
      <c r="CL440" s="276">
        <v>2.5558181808169311</v>
      </c>
      <c r="CM440" s="276">
        <v>3.5738836370739682</v>
      </c>
      <c r="CN440" s="276">
        <v>11.886192586532749</v>
      </c>
      <c r="CO440" s="276">
        <v>156.43008974964573</v>
      </c>
      <c r="CP440" s="276" t="s">
        <v>237</v>
      </c>
      <c r="CQ440" s="276">
        <v>9.7016894075567475</v>
      </c>
      <c r="CR440" s="276">
        <v>3.7811771346848162</v>
      </c>
      <c r="CS440" s="276">
        <v>-6.3188609629702297</v>
      </c>
      <c r="CT440" s="276">
        <v>-3.6094794209586496</v>
      </c>
      <c r="CU440" s="276">
        <v>-28.591561297596339</v>
      </c>
      <c r="CV440" s="276">
        <v>38.941176470588232</v>
      </c>
      <c r="CW440" s="276">
        <v>-15.167768874317675</v>
      </c>
      <c r="CX440" s="276">
        <v>6.7191039599958664</v>
      </c>
      <c r="CY440" s="276">
        <v>9.3616138113915301</v>
      </c>
      <c r="CZ440" s="276">
        <v>1.1624541348839084</v>
      </c>
      <c r="DA440" s="276" t="s">
        <v>237</v>
      </c>
      <c r="DB440" s="276">
        <v>4.8823657242199128E-2</v>
      </c>
      <c r="DC440" s="276">
        <v>5.1208294594284007</v>
      </c>
      <c r="DD440" s="276">
        <v>1.5910520336839671</v>
      </c>
      <c r="DE440" s="276">
        <v>-19.263018309879275</v>
      </c>
      <c r="DF440" s="276">
        <v>33.451650715702321</v>
      </c>
      <c r="DG440" s="276">
        <v>33.388929833380544</v>
      </c>
      <c r="DH440" s="276">
        <v>36.389484703625897</v>
      </c>
      <c r="DI440" s="276">
        <v>2.4619969947271656</v>
      </c>
      <c r="DJ440" s="276">
        <v>-7.2052967978231841</v>
      </c>
      <c r="DK440" s="276">
        <v>-0.89142673745302026</v>
      </c>
      <c r="DL440" s="276">
        <v>-10.850234009360374</v>
      </c>
      <c r="DM440" s="276">
        <v>-3.2570189631845374E-2</v>
      </c>
      <c r="DN440" s="276">
        <v>0.40729855287823996</v>
      </c>
      <c r="DO440" s="276">
        <v>-20.014929590532784</v>
      </c>
      <c r="DP440" s="276"/>
      <c r="DQ440" s="276">
        <v>-42.511143878917309</v>
      </c>
      <c r="DR440" s="276">
        <v>8.7984862819299892</v>
      </c>
      <c r="DS440" s="276">
        <v>1.8355126481730395</v>
      </c>
      <c r="DT440" s="276">
        <v>-16.850578498785364</v>
      </c>
      <c r="DU440" s="276">
        <v>10.007342593159153</v>
      </c>
      <c r="DV440" s="276">
        <v>-41.592920353982301</v>
      </c>
      <c r="DW440" s="276">
        <v>11.824029611029127</v>
      </c>
      <c r="DX440" s="276">
        <v>-8.6895910780669148</v>
      </c>
      <c r="DY440" s="276">
        <v>3.181059988418899</v>
      </c>
      <c r="DZ440" s="276">
        <v>36.145440284902698</v>
      </c>
      <c r="EA440" s="276">
        <v>4.8011897307451479</v>
      </c>
      <c r="EB440" s="276">
        <v>67.915066154502782</v>
      </c>
      <c r="EC440" s="276"/>
      <c r="ED440" s="276">
        <v>97.133220910623947</v>
      </c>
      <c r="EE440" s="276">
        <v>-60.348162475822043</v>
      </c>
      <c r="EF440" s="276">
        <v>2.6358816674148793</v>
      </c>
      <c r="EG440" s="276">
        <v>-7.5044340132898757</v>
      </c>
      <c r="EH440" s="276">
        <v>9.3461454051170367</v>
      </c>
      <c r="EI440" s="276">
        <v>9.2683415741235109</v>
      </c>
      <c r="EJ440" s="276">
        <v>14.599555217746239</v>
      </c>
      <c r="EK440" s="276">
        <v>-9.7863974729959526</v>
      </c>
      <c r="EL440" s="276">
        <v>-51.721329532634172</v>
      </c>
      <c r="EM440" s="276">
        <v>72.265471929778755</v>
      </c>
      <c r="EN440" s="276">
        <v>72.157693063143157</v>
      </c>
      <c r="EO440" s="276">
        <v>77.798666894547949</v>
      </c>
      <c r="EP440" s="276">
        <v>-1.8170681312630037E-2</v>
      </c>
      <c r="EQ440" s="276">
        <v>-13.12560746247933</v>
      </c>
      <c r="ER440" s="276">
        <v>11.345294178799859</v>
      </c>
      <c r="ES440" s="276">
        <v>11.468969178752054</v>
      </c>
      <c r="ET440" s="276">
        <v>5.5642633228840266</v>
      </c>
      <c r="EU440" s="276">
        <v>-11.316597151176522</v>
      </c>
      <c r="EV440" s="276">
        <v>-73.977666538313443</v>
      </c>
      <c r="EW440" s="276">
        <v>54.147558130179426</v>
      </c>
      <c r="EX440" s="276">
        <v>54.306377383300472</v>
      </c>
      <c r="EY440" s="276">
        <v>46.743295019157081</v>
      </c>
      <c r="EZ440" s="276">
        <v>0.57085524148448619</v>
      </c>
      <c r="FA440" s="276">
        <v>-27.622710526354254</v>
      </c>
      <c r="FB440" s="276">
        <v>24.2787183906457</v>
      </c>
      <c r="FC440" s="276">
        <v>24.152012654731468</v>
      </c>
      <c r="FD440" s="276">
        <v>32.868374334263251</v>
      </c>
      <c r="FE440" s="276">
        <v>0.45709335797345757</v>
      </c>
      <c r="FF440" s="276">
        <v>18.890505356581766</v>
      </c>
      <c r="FG440" s="276">
        <v>-12.741235200243265</v>
      </c>
      <c r="FH440" s="276">
        <v>-12.721516154723757</v>
      </c>
      <c r="FI440" s="276">
        <v>-13.772709226072324</v>
      </c>
      <c r="FJ440" s="276">
        <v>-18.043742672597389</v>
      </c>
      <c r="FK440" s="276">
        <v>14.90335216746765</v>
      </c>
      <c r="FL440" s="276">
        <v>-15.468626380097039</v>
      </c>
      <c r="FM440" s="276">
        <v>-15.468626380097039</v>
      </c>
      <c r="FN440" s="277"/>
      <c r="FO440" s="277"/>
      <c r="FP440" s="276">
        <v>-41.390642566807927</v>
      </c>
      <c r="FQ440" s="276">
        <v>-40.555555555555557</v>
      </c>
      <c r="FR440" s="276">
        <v>5.0024287445598539</v>
      </c>
      <c r="FS440" s="276">
        <v>19.574894747341119</v>
      </c>
      <c r="FT440" s="276">
        <v>8.5013640879966736</v>
      </c>
      <c r="FU440" s="276">
        <v>79.130091548063845</v>
      </c>
      <c r="FV440" s="276">
        <v>126.43529816657279</v>
      </c>
      <c r="FW440" s="276">
        <v>15.531836584468159</v>
      </c>
      <c r="FX440" s="276">
        <v>-5.5712951939053124</v>
      </c>
      <c r="FY440" s="276">
        <v>4.6299902369278989</v>
      </c>
      <c r="FZ440" s="276">
        <v>1.0551140105052028</v>
      </c>
      <c r="GA440" s="276">
        <v>8.8417831539931306</v>
      </c>
      <c r="GB440" s="276">
        <v>12.964031544527783</v>
      </c>
      <c r="GC440" s="276">
        <v>13.941131820865323</v>
      </c>
      <c r="GD440" s="276">
        <v>-78.33818414140697</v>
      </c>
      <c r="GE440" s="276" t="s">
        <v>237</v>
      </c>
      <c r="GF440" s="276">
        <v>9.0625334767544707</v>
      </c>
      <c r="GG440" s="276">
        <v>27.738659458012982</v>
      </c>
      <c r="GH440" s="276">
        <v>139.70467335324099</v>
      </c>
      <c r="GI440" s="276">
        <v>28.819875776397527</v>
      </c>
      <c r="GJ440" s="276">
        <v>-8.943469352125069</v>
      </c>
    </row>
    <row r="441" spans="1:192">
      <c r="A441" s="274"/>
      <c r="B441" s="275" t="s">
        <v>261</v>
      </c>
      <c r="C441" s="275">
        <v>24</v>
      </c>
      <c r="D441" s="276">
        <v>5.347930287905756</v>
      </c>
      <c r="E441" s="276">
        <v>-1.0514414158803052</v>
      </c>
      <c r="F441" s="276" t="s">
        <v>237</v>
      </c>
      <c r="G441" s="276">
        <v>6.2008695502895943</v>
      </c>
      <c r="H441" s="276">
        <v>9.8878740086969579</v>
      </c>
      <c r="I441" s="276">
        <v>1.5414220192507964</v>
      </c>
      <c r="J441" s="276">
        <v>1.5133779695285727</v>
      </c>
      <c r="K441" s="276">
        <v>2.8611648865997164</v>
      </c>
      <c r="L441" s="276">
        <v>7.8049028166794132</v>
      </c>
      <c r="M441" s="276">
        <v>6.9884146869568537</v>
      </c>
      <c r="N441" s="276">
        <v>7.2355687893347627</v>
      </c>
      <c r="O441" s="276" t="s">
        <v>237</v>
      </c>
      <c r="P441" s="276">
        <v>7.2355687893347627</v>
      </c>
      <c r="Q441" s="276">
        <v>-33.239328101308338</v>
      </c>
      <c r="R441" s="276">
        <v>17.02408313449796</v>
      </c>
      <c r="S441" s="276">
        <v>-3.4654069087940176</v>
      </c>
      <c r="T441" s="276">
        <v>-21.778594448902147</v>
      </c>
      <c r="U441" s="276">
        <v>-114.81395945599178</v>
      </c>
      <c r="V441" s="276">
        <v>-11.295661069988572</v>
      </c>
      <c r="W441" s="276" t="s">
        <v>237</v>
      </c>
      <c r="X441" s="276">
        <v>-10.027892203887157</v>
      </c>
      <c r="Y441" s="276">
        <v>-23.762669596671632</v>
      </c>
      <c r="Z441" s="276">
        <v>67.943934267762216</v>
      </c>
      <c r="AA441" s="276">
        <v>31.633610807650285</v>
      </c>
      <c r="AB441" s="276">
        <v>98.156211124933364</v>
      </c>
      <c r="AC441" s="276" t="s">
        <v>237</v>
      </c>
      <c r="AD441" s="276">
        <v>7.2827538446444553</v>
      </c>
      <c r="AE441" s="276">
        <v>10.185216951321996</v>
      </c>
      <c r="AF441" s="276">
        <v>3.0868505801677935</v>
      </c>
      <c r="AG441" s="276">
        <v>3.0457821209153271</v>
      </c>
      <c r="AH441" s="276">
        <v>4.9418760771600638</v>
      </c>
      <c r="AI441" s="276">
        <v>7.1107567187602889</v>
      </c>
      <c r="AJ441" s="276">
        <v>7.6628533138671964</v>
      </c>
      <c r="AK441" s="276">
        <v>9.554853401386449</v>
      </c>
      <c r="AL441" s="276">
        <v>4.9700954492435727</v>
      </c>
      <c r="AM441" s="276">
        <v>34.186973765137552</v>
      </c>
      <c r="AN441" s="276">
        <v>5.4620143714219758</v>
      </c>
      <c r="AO441" s="276">
        <v>35.664691393281672</v>
      </c>
      <c r="AP441" s="276">
        <v>23.071375091871985</v>
      </c>
      <c r="AQ441" s="276">
        <v>6.3761650957274361</v>
      </c>
      <c r="AR441" s="276">
        <v>-49.398511702031961</v>
      </c>
      <c r="AS441" s="276">
        <v>-21.331245936873948</v>
      </c>
      <c r="AT441" s="277" t="s">
        <v>237</v>
      </c>
      <c r="AU441" s="276" t="s">
        <v>237</v>
      </c>
      <c r="AV441" s="276">
        <v>14.918890295046115</v>
      </c>
      <c r="AW441" s="276">
        <v>21.782576156554036</v>
      </c>
      <c r="AX441" s="276">
        <v>-5.4304101858415672</v>
      </c>
      <c r="AY441" s="276">
        <v>-28.526680482827349</v>
      </c>
      <c r="AZ441" s="276">
        <v>24.628723139467343</v>
      </c>
      <c r="BA441" s="276">
        <v>-30.066365297682026</v>
      </c>
      <c r="BB441" s="276">
        <v>11.95877150801781</v>
      </c>
      <c r="BC441" s="276">
        <v>40.932271118497013</v>
      </c>
      <c r="BD441" s="276">
        <v>18.926997255314603</v>
      </c>
      <c r="BE441" s="276">
        <v>-5.6826588997349177</v>
      </c>
      <c r="BF441" s="276">
        <v>-5.6621834283397448</v>
      </c>
      <c r="BG441" s="276">
        <v>-0.57005129129920695</v>
      </c>
      <c r="BH441" s="276" t="s">
        <v>237</v>
      </c>
      <c r="BI441" s="276" t="s">
        <v>237</v>
      </c>
      <c r="BJ441" s="276">
        <v>-2.3645323681969144</v>
      </c>
      <c r="BK441" s="276">
        <v>-109.12121521504638</v>
      </c>
      <c r="BL441" s="276">
        <v>-38.23016564952048</v>
      </c>
      <c r="BM441" s="277" t="s">
        <v>237</v>
      </c>
      <c r="BN441" s="276">
        <v>-3.7384241039727035</v>
      </c>
      <c r="BO441" s="276">
        <v>30.729797308604788</v>
      </c>
      <c r="BP441" s="276">
        <v>5.5628449234282531</v>
      </c>
      <c r="BQ441" s="276">
        <v>36.420937243080296</v>
      </c>
      <c r="BR441" s="276">
        <v>-99.40067124820203</v>
      </c>
      <c r="BS441" s="276">
        <v>20.919855342977144</v>
      </c>
      <c r="BT441" s="276">
        <v>45.577655522640697</v>
      </c>
      <c r="BU441" s="276">
        <v>104.72021317091742</v>
      </c>
      <c r="BV441" s="276">
        <v>24.927280740414275</v>
      </c>
      <c r="BW441" s="276">
        <v>-5.988472191032268</v>
      </c>
      <c r="BX441" s="276">
        <v>-0.88519530274737324</v>
      </c>
      <c r="BY441" s="276" t="s">
        <v>237</v>
      </c>
      <c r="BZ441" s="276" t="s">
        <v>237</v>
      </c>
      <c r="CA441" s="276">
        <v>13.029867631042107</v>
      </c>
      <c r="CB441" s="276">
        <v>30.20781972871184</v>
      </c>
      <c r="CC441" s="276">
        <v>30.20781972871184</v>
      </c>
      <c r="CD441" s="277" t="s">
        <v>237</v>
      </c>
      <c r="CE441" s="276">
        <v>19.237071419320046</v>
      </c>
      <c r="CF441" s="276">
        <v>20.464751610949893</v>
      </c>
      <c r="CG441" s="276">
        <v>30.414746543778794</v>
      </c>
      <c r="CH441" s="276">
        <v>11.616779431664405</v>
      </c>
      <c r="CI441" s="276">
        <v>2.1026423257745064</v>
      </c>
      <c r="CJ441" s="276">
        <v>-12.905195328313807</v>
      </c>
      <c r="CK441" s="276">
        <v>4.9501009680374199</v>
      </c>
      <c r="CL441" s="276">
        <v>4.9709642445962379</v>
      </c>
      <c r="CM441" s="276">
        <v>3.4589154486080149</v>
      </c>
      <c r="CN441" s="276">
        <v>18.017514552665993</v>
      </c>
      <c r="CO441" s="276" t="s">
        <v>237</v>
      </c>
      <c r="CP441" s="276">
        <v>-63.756793478260867</v>
      </c>
      <c r="CQ441" s="276">
        <v>18.505230296111627</v>
      </c>
      <c r="CR441" s="276">
        <v>8.4494434129974945</v>
      </c>
      <c r="CS441" s="276">
        <v>2.9591316177304088</v>
      </c>
      <c r="CT441" s="276">
        <v>-81.597919199344105</v>
      </c>
      <c r="CU441" s="276">
        <v>-2.6723170883709226</v>
      </c>
      <c r="CV441" s="276">
        <v>19.512195121951216</v>
      </c>
      <c r="CW441" s="276">
        <v>17.469508594949307</v>
      </c>
      <c r="CX441" s="276">
        <v>7.7734950308449147</v>
      </c>
      <c r="CY441" s="276">
        <v>91.93548387096773</v>
      </c>
      <c r="CZ441" s="276">
        <v>7.9653433549870947</v>
      </c>
      <c r="DA441" s="276">
        <v>-99.773792211989033</v>
      </c>
      <c r="DB441" s="276" t="s">
        <v>237</v>
      </c>
      <c r="DC441" s="276">
        <v>83.160013418315998</v>
      </c>
      <c r="DD441" s="276">
        <v>4.0243391951790812</v>
      </c>
      <c r="DE441" s="276">
        <v>6.1265320799511267</v>
      </c>
      <c r="DF441" s="276">
        <v>1.2824192023690593E-2</v>
      </c>
      <c r="DG441" s="276">
        <v>0</v>
      </c>
      <c r="DH441" s="276">
        <v>0.61069815862237653</v>
      </c>
      <c r="DI441" s="276">
        <v>10.454417349351543</v>
      </c>
      <c r="DJ441" s="276">
        <v>-1.600562622012595</v>
      </c>
      <c r="DK441" s="276">
        <v>1.4572425828970348</v>
      </c>
      <c r="DL441" s="276">
        <v>1.1159330440173461</v>
      </c>
      <c r="DM441" s="276">
        <v>2.1445384510240348</v>
      </c>
      <c r="DN441" s="276">
        <v>18.812932518033023</v>
      </c>
      <c r="DO441" s="276">
        <v>138.78029032444624</v>
      </c>
      <c r="DP441" s="276"/>
      <c r="DQ441" s="276">
        <v>21.950987841945288</v>
      </c>
      <c r="DR441" s="276">
        <v>126.14379084967318</v>
      </c>
      <c r="DS441" s="276">
        <v>-41.024934787187512</v>
      </c>
      <c r="DT441" s="276">
        <v>22.999019928128064</v>
      </c>
      <c r="DU441" s="276">
        <v>45.1505016722408</v>
      </c>
      <c r="DV441" s="276">
        <v>57.446808510638299</v>
      </c>
      <c r="DW441" s="276">
        <v>-19.073311287733752</v>
      </c>
      <c r="DX441" s="276">
        <v>4.7363068429463846</v>
      </c>
      <c r="DY441" s="276">
        <v>-23.05592144653334</v>
      </c>
      <c r="DZ441" s="276">
        <v>-18.2883176049463</v>
      </c>
      <c r="EA441" s="276" t="s">
        <v>237</v>
      </c>
      <c r="EB441" s="276">
        <v>29.145728643216092</v>
      </c>
      <c r="EC441" s="276" t="s">
        <v>237</v>
      </c>
      <c r="ED441" s="276" t="s">
        <v>237</v>
      </c>
      <c r="EE441" s="276" t="s">
        <v>237</v>
      </c>
      <c r="EF441" s="276">
        <v>9.8414983624897392</v>
      </c>
      <c r="EG441" s="276">
        <v>43.211036286517441</v>
      </c>
      <c r="EH441" s="276">
        <v>1.2321273203843063E-2</v>
      </c>
      <c r="EI441" s="276">
        <v>6.415863436153678E-4</v>
      </c>
      <c r="EJ441" s="276">
        <v>0.69420166808170281</v>
      </c>
      <c r="EK441" s="276">
        <v>-0.33898522717787843</v>
      </c>
      <c r="EL441" s="276">
        <v>-0.93405566971792242</v>
      </c>
      <c r="EM441" s="276">
        <v>2.270944299930382E-2</v>
      </c>
      <c r="EN441" s="276">
        <v>0</v>
      </c>
      <c r="EO441" s="276">
        <v>1.0265982267848923</v>
      </c>
      <c r="EP441" s="276">
        <v>1.7017245311485745</v>
      </c>
      <c r="EQ441" s="276">
        <v>4.2325254654021718</v>
      </c>
      <c r="ER441" s="276">
        <v>1.7531044558072247E-2</v>
      </c>
      <c r="ES441" s="276">
        <v>0</v>
      </c>
      <c r="ET441" s="276">
        <v>0.87082728592162639</v>
      </c>
      <c r="EU441" s="276">
        <v>1.6903171953255511</v>
      </c>
      <c r="EV441" s="276">
        <v>4.8206937095825895</v>
      </c>
      <c r="EW441" s="276">
        <v>-3.2351989647359747E-2</v>
      </c>
      <c r="EX441" s="276">
        <v>0</v>
      </c>
      <c r="EY441" s="276">
        <v>-1.6666666666666683</v>
      </c>
      <c r="EZ441" s="276">
        <v>1.6770046347281005</v>
      </c>
      <c r="FA441" s="276">
        <v>6.6559928271798592</v>
      </c>
      <c r="FB441" s="276">
        <v>1.5741290116250754E-2</v>
      </c>
      <c r="FC441" s="276">
        <v>0</v>
      </c>
      <c r="FD441" s="276">
        <v>0.90733669992199406</v>
      </c>
      <c r="FE441" s="276">
        <v>18.786872113059882</v>
      </c>
      <c r="FF441" s="276">
        <v>59.655292712235322</v>
      </c>
      <c r="FG441" s="276">
        <v>4.8584569540669684E-3</v>
      </c>
      <c r="FH441" s="276">
        <v>0</v>
      </c>
      <c r="FI441" s="276">
        <v>0.23442994451824145</v>
      </c>
      <c r="FJ441" s="276">
        <v>140.73543178095017</v>
      </c>
      <c r="FK441" s="276">
        <v>25.555543747409587</v>
      </c>
      <c r="FL441" s="276">
        <v>6.745271564639839E-3</v>
      </c>
      <c r="FM441" s="276">
        <v>6.745271564639839E-3</v>
      </c>
      <c r="FN441" s="277"/>
      <c r="FO441" s="277">
        <v>120.76973808177877</v>
      </c>
      <c r="FP441" s="276">
        <v>21.950987841945288</v>
      </c>
      <c r="FQ441" s="276">
        <v>34.065934065934066</v>
      </c>
      <c r="FR441" s="276">
        <v>-3.129144619712533</v>
      </c>
      <c r="FS441" s="276">
        <v>-12.581274906826277</v>
      </c>
      <c r="FT441" s="276">
        <v>-4.6037577554627029</v>
      </c>
      <c r="FU441" s="276">
        <v>68.556557300864398</v>
      </c>
      <c r="FV441" s="276" t="s">
        <v>237</v>
      </c>
      <c r="FW441" s="276">
        <v>-7.850074102404756</v>
      </c>
      <c r="FX441" s="276">
        <v>-14.954120546361519</v>
      </c>
      <c r="FY441" s="276">
        <v>9.8720047293420325</v>
      </c>
      <c r="FZ441" s="276">
        <v>-30.958575830195137</v>
      </c>
      <c r="GA441" s="276">
        <v>21.253139637499146</v>
      </c>
      <c r="GB441" s="276">
        <v>22.191400832177536</v>
      </c>
      <c r="GC441" s="276">
        <v>-0.65164725543793278</v>
      </c>
      <c r="GD441" s="276">
        <v>-3.4403847645644263</v>
      </c>
      <c r="GE441" s="276" t="s">
        <v>237</v>
      </c>
      <c r="GF441" s="276">
        <v>1.3958003041382281</v>
      </c>
      <c r="GG441" s="276">
        <v>-20.906411859260583</v>
      </c>
      <c r="GH441" s="276">
        <v>-39.589695243170127</v>
      </c>
      <c r="GI441" s="276">
        <v>4.87927565392354</v>
      </c>
      <c r="GJ441" s="276">
        <v>-15.938422095057716</v>
      </c>
    </row>
  </sheetData>
  <mergeCells count="451">
    <mergeCell ref="GH5:GH7"/>
    <mergeCell ref="ER6:ET6"/>
    <mergeCell ref="EU6:EU7"/>
    <mergeCell ref="EV6:EV7"/>
    <mergeCell ref="EW6:EY6"/>
    <mergeCell ref="EZ6:EZ7"/>
    <mergeCell ref="FA6:FA7"/>
    <mergeCell ref="EC4:EC7"/>
    <mergeCell ref="GG5:GG7"/>
    <mergeCell ref="FE5:FI5"/>
    <mergeCell ref="FJ5:FN5"/>
    <mergeCell ref="FP5:FP7"/>
    <mergeCell ref="FQ5:FQ7"/>
    <mergeCell ref="FU5:FU7"/>
    <mergeCell ref="FV5:FV7"/>
    <mergeCell ref="FL6:FN6"/>
    <mergeCell ref="FE6:FE7"/>
    <mergeCell ref="FF6:FF7"/>
    <mergeCell ref="FG6:FI6"/>
    <mergeCell ref="FJ6:FJ7"/>
    <mergeCell ref="FK6:FK7"/>
    <mergeCell ref="FT4:FT7"/>
    <mergeCell ref="FU4:FW4"/>
    <mergeCell ref="FX4:FX7"/>
    <mergeCell ref="GI5:GI7"/>
    <mergeCell ref="GJ5:GJ7"/>
    <mergeCell ref="CW5:CW7"/>
    <mergeCell ref="CX5:CX7"/>
    <mergeCell ref="CY5:CY7"/>
    <mergeCell ref="CZ5:CZ7"/>
    <mergeCell ref="EJ6:EJ7"/>
    <mergeCell ref="EK6:EK7"/>
    <mergeCell ref="EL6:EL7"/>
    <mergeCell ref="EM6:EO6"/>
    <mergeCell ref="EP6:EP7"/>
    <mergeCell ref="EQ6:EQ7"/>
    <mergeCell ref="DF6:DF7"/>
    <mergeCell ref="DG6:DG7"/>
    <mergeCell ref="DH6:DH7"/>
    <mergeCell ref="DR4:DR7"/>
    <mergeCell ref="DS4:DS7"/>
    <mergeCell ref="DT4:DT7"/>
    <mergeCell ref="DU4:DU7"/>
    <mergeCell ref="GG4:GJ4"/>
    <mergeCell ref="DW5:DW7"/>
    <mergeCell ref="DX5:DX7"/>
    <mergeCell ref="DY5:DY7"/>
    <mergeCell ref="FW5:FW7"/>
    <mergeCell ref="FZ4:FZ7"/>
    <mergeCell ref="GA4:GA7"/>
    <mergeCell ref="BS5:BS7"/>
    <mergeCell ref="BT5:BT7"/>
    <mergeCell ref="BU5:BU7"/>
    <mergeCell ref="BV5:BV7"/>
    <mergeCell ref="BW5:BW7"/>
    <mergeCell ref="CK5:CK7"/>
    <mergeCell ref="CO6:CO7"/>
    <mergeCell ref="CP6:CP7"/>
    <mergeCell ref="CE4:CE7"/>
    <mergeCell ref="CF4:CF7"/>
    <mergeCell ref="CG4:CG7"/>
    <mergeCell ref="CH4:CH7"/>
    <mergeCell ref="CI4:CI7"/>
    <mergeCell ref="CJ4:CJ7"/>
    <mergeCell ref="BX4:BX7"/>
    <mergeCell ref="BY4:BY7"/>
    <mergeCell ref="BZ4:BZ7"/>
    <mergeCell ref="CB4:CB7"/>
    <mergeCell ref="CC4:CC7"/>
    <mergeCell ref="CD4:CD7"/>
    <mergeCell ref="EA4:EA7"/>
    <mergeCell ref="AK6:AK7"/>
    <mergeCell ref="AL6:AL7"/>
    <mergeCell ref="BI6:BI7"/>
    <mergeCell ref="BJ6:BJ7"/>
    <mergeCell ref="BK6:BK7"/>
    <mergeCell ref="AX4:BB4"/>
    <mergeCell ref="BC4:BC7"/>
    <mergeCell ref="AJ5:AL5"/>
    <mergeCell ref="FY4:FY7"/>
    <mergeCell ref="EK4:FQ4"/>
    <mergeCell ref="EK5:EO5"/>
    <mergeCell ref="EP5:ET5"/>
    <mergeCell ref="EU5:EY5"/>
    <mergeCell ref="EZ5:FD5"/>
    <mergeCell ref="FB6:FD6"/>
    <mergeCell ref="FO5:FO7"/>
    <mergeCell ref="AX5:AX7"/>
    <mergeCell ref="BN4:BN7"/>
    <mergeCell ref="BI5:BK5"/>
    <mergeCell ref="BF5:BF7"/>
    <mergeCell ref="AM5:AM7"/>
    <mergeCell ref="AN5:AN7"/>
    <mergeCell ref="AO5:AO7"/>
    <mergeCell ref="AY5:AY7"/>
    <mergeCell ref="I6:I7"/>
    <mergeCell ref="J6:J7"/>
    <mergeCell ref="K6:K7"/>
    <mergeCell ref="AF6:AF7"/>
    <mergeCell ref="AG6:AG7"/>
    <mergeCell ref="AH6:AH7"/>
    <mergeCell ref="AJ6:AJ7"/>
    <mergeCell ref="W5:W7"/>
    <mergeCell ref="X5:X7"/>
    <mergeCell ref="Y5:Y7"/>
    <mergeCell ref="AE5:AE7"/>
    <mergeCell ref="AF5:AH5"/>
    <mergeCell ref="AI5:AI7"/>
    <mergeCell ref="AA4:AA7"/>
    <mergeCell ref="AB4:AB7"/>
    <mergeCell ref="AD4:AD7"/>
    <mergeCell ref="AZ5:AZ7"/>
    <mergeCell ref="BA5:BA7"/>
    <mergeCell ref="BB5:BB7"/>
    <mergeCell ref="CQ6:CQ7"/>
    <mergeCell ref="DI4:DI7"/>
    <mergeCell ref="CR4:CR7"/>
    <mergeCell ref="CS4:CW4"/>
    <mergeCell ref="CX4:DA4"/>
    <mergeCell ref="DB4:DB7"/>
    <mergeCell ref="BD4:BD7"/>
    <mergeCell ref="BE4:BE7"/>
    <mergeCell ref="BF4:BK4"/>
    <mergeCell ref="BL4:BL7"/>
    <mergeCell ref="BM4:BM7"/>
    <mergeCell ref="BR4:BR7"/>
    <mergeCell ref="CV5:CV7"/>
    <mergeCell ref="CT5:CT7"/>
    <mergeCell ref="CU5:CU7"/>
    <mergeCell ref="CN6:CN7"/>
    <mergeCell ref="FT3:GJ3"/>
    <mergeCell ref="G4:G7"/>
    <mergeCell ref="H4:K4"/>
    <mergeCell ref="L4:L7"/>
    <mergeCell ref="M4:M7"/>
    <mergeCell ref="N4:P4"/>
    <mergeCell ref="Q4:Q7"/>
    <mergeCell ref="R4:R7"/>
    <mergeCell ref="S4:S7"/>
    <mergeCell ref="T4:Y4"/>
    <mergeCell ref="DD3:DH3"/>
    <mergeCell ref="DI3:DR3"/>
    <mergeCell ref="DS3:EE3"/>
    <mergeCell ref="EF3:FQ3"/>
    <mergeCell ref="FR3:FR7"/>
    <mergeCell ref="FS3:FS7"/>
    <mergeCell ref="DD4:DD7"/>
    <mergeCell ref="DE4:DH4"/>
    <mergeCell ref="DQ4:DQ7"/>
    <mergeCell ref="CK4:CQ4"/>
    <mergeCell ref="EB4:EB7"/>
    <mergeCell ref="ED4:ED7"/>
    <mergeCell ref="EE4:EE7"/>
    <mergeCell ref="EF4:EF7"/>
    <mergeCell ref="CI3:CQ3"/>
    <mergeCell ref="CR3:DC3"/>
    <mergeCell ref="BO4:BO7"/>
    <mergeCell ref="BP4:BP7"/>
    <mergeCell ref="BQ4:BQ7"/>
    <mergeCell ref="BS4:BW4"/>
    <mergeCell ref="L3:R3"/>
    <mergeCell ref="S3:AB3"/>
    <mergeCell ref="AC3:AC7"/>
    <mergeCell ref="AD3:AU3"/>
    <mergeCell ref="AV3:BD3"/>
    <mergeCell ref="BE3:BM3"/>
    <mergeCell ref="Z4:Z7"/>
    <mergeCell ref="AP5:AP7"/>
    <mergeCell ref="AQ5:AQ7"/>
    <mergeCell ref="AR5:AR7"/>
    <mergeCell ref="AS5:AS7"/>
    <mergeCell ref="AT5:AT7"/>
    <mergeCell ref="AU5:AU7"/>
    <mergeCell ref="DC4:DC7"/>
    <mergeCell ref="CL5:CL7"/>
    <mergeCell ref="CM5:CM7"/>
    <mergeCell ref="CN5:CQ5"/>
    <mergeCell ref="CS5:CS7"/>
    <mergeCell ref="BN3:BZ3"/>
    <mergeCell ref="CA3:CA7"/>
    <mergeCell ref="CB3:CD3"/>
    <mergeCell ref="CE3:CH3"/>
    <mergeCell ref="A1:C1"/>
    <mergeCell ref="A2:C7"/>
    <mergeCell ref="D3:D7"/>
    <mergeCell ref="E3:E7"/>
    <mergeCell ref="F3:F7"/>
    <mergeCell ref="G3:K3"/>
    <mergeCell ref="BG5:BG7"/>
    <mergeCell ref="BH5:BH7"/>
    <mergeCell ref="AE4:AH4"/>
    <mergeCell ref="H5:H7"/>
    <mergeCell ref="I5:K5"/>
    <mergeCell ref="N5:N7"/>
    <mergeCell ref="O5:O7"/>
    <mergeCell ref="P5:P7"/>
    <mergeCell ref="T5:T7"/>
    <mergeCell ref="U5:U7"/>
    <mergeCell ref="V5:V7"/>
    <mergeCell ref="AI4:AU4"/>
    <mergeCell ref="AV4:AV7"/>
    <mergeCell ref="AW4:AW7"/>
    <mergeCell ref="GC4:GF4"/>
    <mergeCell ref="GC5:GC7"/>
    <mergeCell ref="GD5:GD7"/>
    <mergeCell ref="GE5:GE7"/>
    <mergeCell ref="GF5:GF7"/>
    <mergeCell ref="DJ4:DJ7"/>
    <mergeCell ref="DA5:DA7"/>
    <mergeCell ref="DE5:DE7"/>
    <mergeCell ref="DF5:DH5"/>
    <mergeCell ref="DK4:DK7"/>
    <mergeCell ref="DL4:DL7"/>
    <mergeCell ref="DM4:DM7"/>
    <mergeCell ref="DN4:DN7"/>
    <mergeCell ref="DO4:DO7"/>
    <mergeCell ref="DP4:DP7"/>
    <mergeCell ref="DV4:DV7"/>
    <mergeCell ref="DW4:DZ4"/>
    <mergeCell ref="DZ5:DZ7"/>
    <mergeCell ref="EG4:EJ4"/>
    <mergeCell ref="EG5:EG7"/>
    <mergeCell ref="EH5:EJ5"/>
    <mergeCell ref="EH6:EH7"/>
    <mergeCell ref="EI6:EI7"/>
    <mergeCell ref="GB4:GB7"/>
    <mergeCell ref="A370:C375"/>
    <mergeCell ref="D371:D375"/>
    <mergeCell ref="E371:E375"/>
    <mergeCell ref="F371:F375"/>
    <mergeCell ref="G371:K371"/>
    <mergeCell ref="L371:R371"/>
    <mergeCell ref="S371:AB371"/>
    <mergeCell ref="AC371:AC375"/>
    <mergeCell ref="AD371:AU371"/>
    <mergeCell ref="AO373:AO375"/>
    <mergeCell ref="AP373:AP375"/>
    <mergeCell ref="AQ373:AQ375"/>
    <mergeCell ref="AR373:AR375"/>
    <mergeCell ref="AS373:AS375"/>
    <mergeCell ref="AT373:AT375"/>
    <mergeCell ref="AU373:AU375"/>
    <mergeCell ref="X373:X375"/>
    <mergeCell ref="Y373:Y375"/>
    <mergeCell ref="AE373:AE375"/>
    <mergeCell ref="AF373:AH373"/>
    <mergeCell ref="AI373:AI375"/>
    <mergeCell ref="AJ373:AL373"/>
    <mergeCell ref="AM373:AM375"/>
    <mergeCell ref="AN373:AN375"/>
    <mergeCell ref="AV371:BD371"/>
    <mergeCell ref="BE371:BM371"/>
    <mergeCell ref="BN371:BZ371"/>
    <mergeCell ref="CA371:CA375"/>
    <mergeCell ref="CB371:CD371"/>
    <mergeCell ref="CE371:CH371"/>
    <mergeCell ref="CI371:CQ371"/>
    <mergeCell ref="CR371:DC371"/>
    <mergeCell ref="DD371:DH371"/>
    <mergeCell ref="BC372:BC375"/>
    <mergeCell ref="BD372:BD375"/>
    <mergeCell ref="BE372:BE375"/>
    <mergeCell ref="BF372:BK372"/>
    <mergeCell ref="BL372:BL375"/>
    <mergeCell ref="BM372:BM375"/>
    <mergeCell ref="BN372:BN375"/>
    <mergeCell ref="BO372:BO375"/>
    <mergeCell ref="AZ373:AZ375"/>
    <mergeCell ref="BA373:BA375"/>
    <mergeCell ref="BB373:BB375"/>
    <mergeCell ref="BF373:BF375"/>
    <mergeCell ref="BG373:BG375"/>
    <mergeCell ref="BH373:BH375"/>
    <mergeCell ref="BI373:BK373"/>
    <mergeCell ref="DI371:DR371"/>
    <mergeCell ref="DS371:EE371"/>
    <mergeCell ref="EF371:FQ371"/>
    <mergeCell ref="FR371:FR375"/>
    <mergeCell ref="FS371:FS375"/>
    <mergeCell ref="FT371:GJ371"/>
    <mergeCell ref="G372:G375"/>
    <mergeCell ref="H372:K372"/>
    <mergeCell ref="L372:L375"/>
    <mergeCell ref="M372:M375"/>
    <mergeCell ref="N372:P372"/>
    <mergeCell ref="Q372:Q375"/>
    <mergeCell ref="R372:R375"/>
    <mergeCell ref="S372:S375"/>
    <mergeCell ref="T372:Y372"/>
    <mergeCell ref="Z372:Z375"/>
    <mergeCell ref="AA372:AA375"/>
    <mergeCell ref="AB372:AB375"/>
    <mergeCell ref="AD372:AD375"/>
    <mergeCell ref="AE372:AH372"/>
    <mergeCell ref="AI372:AU372"/>
    <mergeCell ref="AV372:AV375"/>
    <mergeCell ref="AW372:AW375"/>
    <mergeCell ref="AX372:BB372"/>
    <mergeCell ref="BP372:BP375"/>
    <mergeCell ref="BQ372:BQ375"/>
    <mergeCell ref="BR372:BR375"/>
    <mergeCell ref="BS372:BW372"/>
    <mergeCell ref="BX372:BX375"/>
    <mergeCell ref="BY372:BY375"/>
    <mergeCell ref="BZ372:BZ375"/>
    <mergeCell ref="CB372:CB375"/>
    <mergeCell ref="CC372:CC375"/>
    <mergeCell ref="BS373:BS375"/>
    <mergeCell ref="BT373:BT375"/>
    <mergeCell ref="BU373:BU375"/>
    <mergeCell ref="BV373:BV375"/>
    <mergeCell ref="BW373:BW375"/>
    <mergeCell ref="DF374:DF375"/>
    <mergeCell ref="DG374:DG375"/>
    <mergeCell ref="CD372:CD375"/>
    <mergeCell ref="CE372:CE375"/>
    <mergeCell ref="CF372:CF375"/>
    <mergeCell ref="CG372:CG375"/>
    <mergeCell ref="CH372:CH375"/>
    <mergeCell ref="CI372:CI375"/>
    <mergeCell ref="CJ372:CJ375"/>
    <mergeCell ref="CK372:CQ372"/>
    <mergeCell ref="CR372:CR375"/>
    <mergeCell ref="CK373:CK375"/>
    <mergeCell ref="CL373:CL375"/>
    <mergeCell ref="CM373:CM375"/>
    <mergeCell ref="CN373:CQ373"/>
    <mergeCell ref="CN374:CN375"/>
    <mergeCell ref="CO374:CO375"/>
    <mergeCell ref="CP374:CP375"/>
    <mergeCell ref="CQ374:CQ375"/>
    <mergeCell ref="FF374:FF375"/>
    <mergeCell ref="EK372:FQ372"/>
    <mergeCell ref="EZ374:EZ375"/>
    <mergeCell ref="DE372:DH372"/>
    <mergeCell ref="DI372:DI375"/>
    <mergeCell ref="DJ372:DJ375"/>
    <mergeCell ref="DK372:DK375"/>
    <mergeCell ref="CS373:CS375"/>
    <mergeCell ref="CT373:CT375"/>
    <mergeCell ref="CU373:CU375"/>
    <mergeCell ref="CV373:CV375"/>
    <mergeCell ref="CW373:CW375"/>
    <mergeCell ref="CX373:CX375"/>
    <mergeCell ref="CY373:CY375"/>
    <mergeCell ref="CZ373:CZ375"/>
    <mergeCell ref="DA373:DA375"/>
    <mergeCell ref="DE373:DE375"/>
    <mergeCell ref="DF373:DH373"/>
    <mergeCell ref="DH374:DH375"/>
    <mergeCell ref="CS372:CW372"/>
    <mergeCell ref="CX372:DA372"/>
    <mergeCell ref="DB372:DB375"/>
    <mergeCell ref="DC372:DC375"/>
    <mergeCell ref="DD372:DD375"/>
    <mergeCell ref="DT372:DT375"/>
    <mergeCell ref="DU372:DU375"/>
    <mergeCell ref="DP372:DP375"/>
    <mergeCell ref="EE372:EE375"/>
    <mergeCell ref="EZ373:FD373"/>
    <mergeCell ref="FE373:FI373"/>
    <mergeCell ref="FJ373:FN373"/>
    <mergeCell ref="FP373:FP375"/>
    <mergeCell ref="FQ373:FQ375"/>
    <mergeCell ref="EK374:EK375"/>
    <mergeCell ref="EC372:EC375"/>
    <mergeCell ref="FO373:FO375"/>
    <mergeCell ref="EH374:EH375"/>
    <mergeCell ref="EI374:EI375"/>
    <mergeCell ref="EJ374:EJ375"/>
    <mergeCell ref="FA374:FA375"/>
    <mergeCell ref="FB374:FD374"/>
    <mergeCell ref="FE374:FE375"/>
    <mergeCell ref="FG374:FI374"/>
    <mergeCell ref="EL374:EL375"/>
    <mergeCell ref="EM374:EO374"/>
    <mergeCell ref="EP374:EP375"/>
    <mergeCell ref="EF372:EF375"/>
    <mergeCell ref="EG372:EJ372"/>
    <mergeCell ref="ER374:ET374"/>
    <mergeCell ref="EU374:EU375"/>
    <mergeCell ref="EV374:EV375"/>
    <mergeCell ref="EW374:EY374"/>
    <mergeCell ref="H373:H375"/>
    <mergeCell ref="I373:K373"/>
    <mergeCell ref="N373:N375"/>
    <mergeCell ref="O373:O375"/>
    <mergeCell ref="P373:P375"/>
    <mergeCell ref="T373:T375"/>
    <mergeCell ref="U373:U375"/>
    <mergeCell ref="V373:V375"/>
    <mergeCell ref="W373:W375"/>
    <mergeCell ref="I374:I375"/>
    <mergeCell ref="J374:J375"/>
    <mergeCell ref="K374:K375"/>
    <mergeCell ref="DV372:DV375"/>
    <mergeCell ref="DL372:DL375"/>
    <mergeCell ref="DM372:DM375"/>
    <mergeCell ref="DN372:DN375"/>
    <mergeCell ref="DO372:DO375"/>
    <mergeCell ref="DQ372:DQ375"/>
    <mergeCell ref="DR372:DR375"/>
    <mergeCell ref="DS372:DS375"/>
    <mergeCell ref="DW372:DZ372"/>
    <mergeCell ref="FK374:FK375"/>
    <mergeCell ref="FL374:FN374"/>
    <mergeCell ref="EA372:EA375"/>
    <mergeCell ref="EB372:EB375"/>
    <mergeCell ref="ED372:ED375"/>
    <mergeCell ref="GI373:GI375"/>
    <mergeCell ref="GG372:GJ372"/>
    <mergeCell ref="GJ373:GJ375"/>
    <mergeCell ref="FU373:FU375"/>
    <mergeCell ref="FT372:FT375"/>
    <mergeCell ref="FU372:FW372"/>
    <mergeCell ref="FX372:FX375"/>
    <mergeCell ref="FY372:FY375"/>
    <mergeCell ref="GB372:GB375"/>
    <mergeCell ref="GC372:GF372"/>
    <mergeCell ref="GG373:GG375"/>
    <mergeCell ref="GH373:GH375"/>
    <mergeCell ref="FZ372:FZ375"/>
    <mergeCell ref="GA372:GA375"/>
    <mergeCell ref="FW373:FW375"/>
    <mergeCell ref="GC373:GC375"/>
    <mergeCell ref="GD373:GD375"/>
    <mergeCell ref="DW373:DW375"/>
    <mergeCell ref="GE373:GE375"/>
    <mergeCell ref="GF373:GF375"/>
    <mergeCell ref="FV373:FV375"/>
    <mergeCell ref="AF374:AF375"/>
    <mergeCell ref="AG374:AG375"/>
    <mergeCell ref="AH374:AH375"/>
    <mergeCell ref="AJ374:AJ375"/>
    <mergeCell ref="AK374:AK375"/>
    <mergeCell ref="AL374:AL375"/>
    <mergeCell ref="BI374:BI375"/>
    <mergeCell ref="BJ374:BJ375"/>
    <mergeCell ref="BK374:BK375"/>
    <mergeCell ref="AX373:AX375"/>
    <mergeCell ref="AY373:AY375"/>
    <mergeCell ref="FJ374:FJ375"/>
    <mergeCell ref="DX373:DX375"/>
    <mergeCell ref="DY373:DY375"/>
    <mergeCell ref="DZ373:DZ375"/>
    <mergeCell ref="EG373:EG375"/>
    <mergeCell ref="EH373:EJ373"/>
    <mergeCell ref="EK373:EO373"/>
    <mergeCell ref="EP373:ET373"/>
    <mergeCell ref="EU373:EY373"/>
    <mergeCell ref="EQ374:EQ37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16"/>
  <sheetViews>
    <sheetView showGridLines="0" showRowColHeaders="0" workbookViewId="0">
      <pane xSplit="3" ySplit="6" topLeftCell="D55" activePane="bottomRight" state="frozen"/>
      <selection sqref="A1:C1"/>
      <selection pane="topRight" sqref="A1:C1"/>
      <selection pane="bottomLeft" sqref="A1:C1"/>
      <selection pane="bottomRight" activeCell="D68" sqref="D68"/>
    </sheetView>
  </sheetViews>
  <sheetFormatPr baseColWidth="10" defaultColWidth="9.453125" defaultRowHeight="12.6"/>
  <cols>
    <col min="1" max="1" width="9.453125" style="103" customWidth="1"/>
    <col min="2" max="2" width="6" style="103" hidden="1" customWidth="1"/>
    <col min="3" max="3" width="12.26953125" style="103" customWidth="1"/>
    <col min="4" max="31" width="11.7265625" style="103" customWidth="1"/>
    <col min="32" max="32" width="10.36328125" style="103" bestFit="1" customWidth="1"/>
    <col min="33" max="16384" width="9.453125" style="103"/>
  </cols>
  <sheetData>
    <row r="1" spans="1:31" ht="29.4" customHeight="1">
      <c r="A1" s="101" t="s">
        <v>618</v>
      </c>
      <c r="B1" s="101"/>
      <c r="C1" s="10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</row>
    <row r="2" spans="1:31" ht="12.75" customHeight="1">
      <c r="A2" s="388" t="s">
        <v>538</v>
      </c>
      <c r="B2" s="389"/>
      <c r="C2" s="390"/>
      <c r="D2" s="397" t="s">
        <v>588</v>
      </c>
      <c r="E2" s="398"/>
      <c r="F2" s="399" t="s">
        <v>53</v>
      </c>
      <c r="G2" s="400"/>
      <c r="H2" s="400"/>
      <c r="I2" s="400"/>
      <c r="J2" s="400"/>
      <c r="K2" s="400"/>
      <c r="L2" s="401" t="s">
        <v>54</v>
      </c>
      <c r="M2" s="402"/>
      <c r="N2" s="402"/>
      <c r="O2" s="402"/>
      <c r="P2" s="402"/>
      <c r="Q2" s="403" t="s">
        <v>85</v>
      </c>
      <c r="R2" s="404"/>
      <c r="S2" s="404"/>
      <c r="T2" s="404"/>
      <c r="U2" s="404"/>
      <c r="V2" s="421" t="s">
        <v>61</v>
      </c>
      <c r="W2" s="422"/>
      <c r="X2" s="422"/>
      <c r="Y2" s="422"/>
      <c r="Z2" s="422"/>
      <c r="AA2" s="417" t="s">
        <v>580</v>
      </c>
      <c r="AB2" s="417"/>
      <c r="AC2" s="417"/>
      <c r="AD2" s="417"/>
      <c r="AE2" s="417"/>
    </row>
    <row r="3" spans="1:31" ht="12.75" customHeight="1">
      <c r="A3" s="391"/>
      <c r="B3" s="392"/>
      <c r="C3" s="393"/>
      <c r="D3" s="418" t="s">
        <v>458</v>
      </c>
      <c r="E3" s="405" t="s">
        <v>589</v>
      </c>
      <c r="F3" s="418" t="s">
        <v>458</v>
      </c>
      <c r="G3" s="361" t="s">
        <v>590</v>
      </c>
      <c r="H3" s="361"/>
      <c r="I3" s="361"/>
      <c r="J3" s="361"/>
      <c r="K3" s="405" t="s">
        <v>589</v>
      </c>
      <c r="L3" s="418" t="s">
        <v>458</v>
      </c>
      <c r="M3" s="361" t="s">
        <v>590</v>
      </c>
      <c r="N3" s="361"/>
      <c r="O3" s="361"/>
      <c r="P3" s="405" t="s">
        <v>589</v>
      </c>
      <c r="Q3" s="418" t="s">
        <v>458</v>
      </c>
      <c r="R3" s="361" t="s">
        <v>590</v>
      </c>
      <c r="S3" s="361"/>
      <c r="T3" s="361"/>
      <c r="U3" s="405" t="s">
        <v>589</v>
      </c>
      <c r="V3" s="418" t="s">
        <v>458</v>
      </c>
      <c r="W3" s="361" t="s">
        <v>590</v>
      </c>
      <c r="X3" s="361"/>
      <c r="Y3" s="361"/>
      <c r="Z3" s="405" t="s">
        <v>589</v>
      </c>
      <c r="AA3" s="357" t="s">
        <v>458</v>
      </c>
      <c r="AB3" s="361" t="s">
        <v>590</v>
      </c>
      <c r="AC3" s="361"/>
      <c r="AD3" s="361"/>
      <c r="AE3" s="423" t="s">
        <v>589</v>
      </c>
    </row>
    <row r="4" spans="1:31" ht="12.75" customHeight="1">
      <c r="A4" s="391"/>
      <c r="B4" s="392"/>
      <c r="C4" s="393"/>
      <c r="D4" s="419"/>
      <c r="E4" s="406"/>
      <c r="F4" s="419"/>
      <c r="G4" s="414" t="s">
        <v>5</v>
      </c>
      <c r="H4" s="408" t="s">
        <v>591</v>
      </c>
      <c r="I4" s="408" t="s">
        <v>592</v>
      </c>
      <c r="J4" s="411" t="s">
        <v>57</v>
      </c>
      <c r="K4" s="406"/>
      <c r="L4" s="419"/>
      <c r="M4" s="414" t="s">
        <v>5</v>
      </c>
      <c r="N4" s="408" t="s">
        <v>591</v>
      </c>
      <c r="O4" s="411" t="s">
        <v>57</v>
      </c>
      <c r="P4" s="406"/>
      <c r="Q4" s="419"/>
      <c r="R4" s="414" t="s">
        <v>5</v>
      </c>
      <c r="S4" s="408" t="s">
        <v>593</v>
      </c>
      <c r="T4" s="411" t="s">
        <v>57</v>
      </c>
      <c r="U4" s="406"/>
      <c r="V4" s="419"/>
      <c r="W4" s="414" t="s">
        <v>5</v>
      </c>
      <c r="X4" s="408" t="s">
        <v>594</v>
      </c>
      <c r="Y4" s="411" t="s">
        <v>57</v>
      </c>
      <c r="Z4" s="406"/>
      <c r="AA4" s="357"/>
      <c r="AB4" s="414" t="s">
        <v>5</v>
      </c>
      <c r="AC4" s="408" t="s">
        <v>595</v>
      </c>
      <c r="AD4" s="411" t="s">
        <v>57</v>
      </c>
      <c r="AE4" s="424"/>
    </row>
    <row r="5" spans="1:31" ht="12.75" customHeight="1">
      <c r="A5" s="391"/>
      <c r="B5" s="392"/>
      <c r="C5" s="393"/>
      <c r="D5" s="419"/>
      <c r="E5" s="406"/>
      <c r="F5" s="419"/>
      <c r="G5" s="415"/>
      <c r="H5" s="409"/>
      <c r="I5" s="409"/>
      <c r="J5" s="412"/>
      <c r="K5" s="406"/>
      <c r="L5" s="419"/>
      <c r="M5" s="415"/>
      <c r="N5" s="409"/>
      <c r="O5" s="412"/>
      <c r="P5" s="406"/>
      <c r="Q5" s="419"/>
      <c r="R5" s="415"/>
      <c r="S5" s="409"/>
      <c r="T5" s="412"/>
      <c r="U5" s="406"/>
      <c r="V5" s="419"/>
      <c r="W5" s="415"/>
      <c r="X5" s="409"/>
      <c r="Y5" s="412"/>
      <c r="Z5" s="406"/>
      <c r="AA5" s="357"/>
      <c r="AB5" s="415"/>
      <c r="AC5" s="409"/>
      <c r="AD5" s="412"/>
      <c r="AE5" s="424"/>
    </row>
    <row r="6" spans="1:31" ht="39.9" customHeight="1">
      <c r="A6" s="394"/>
      <c r="B6" s="395"/>
      <c r="C6" s="396"/>
      <c r="D6" s="420"/>
      <c r="E6" s="407"/>
      <c r="F6" s="420"/>
      <c r="G6" s="416"/>
      <c r="H6" s="410"/>
      <c r="I6" s="410"/>
      <c r="J6" s="413"/>
      <c r="K6" s="407"/>
      <c r="L6" s="420"/>
      <c r="M6" s="416"/>
      <c r="N6" s="410"/>
      <c r="O6" s="413"/>
      <c r="P6" s="407"/>
      <c r="Q6" s="420"/>
      <c r="R6" s="416"/>
      <c r="S6" s="410"/>
      <c r="T6" s="413"/>
      <c r="U6" s="407"/>
      <c r="V6" s="420"/>
      <c r="W6" s="416"/>
      <c r="X6" s="410"/>
      <c r="Y6" s="413"/>
      <c r="Z6" s="407"/>
      <c r="AA6" s="357"/>
      <c r="AB6" s="416"/>
      <c r="AC6" s="410"/>
      <c r="AD6" s="413"/>
      <c r="AE6" s="425"/>
    </row>
    <row r="7" spans="1:31" ht="14.4" customHeight="1">
      <c r="A7" s="96" t="s">
        <v>37</v>
      </c>
      <c r="B7" s="96">
        <v>1</v>
      </c>
      <c r="C7" s="97" t="s">
        <v>217</v>
      </c>
      <c r="D7" s="104">
        <v>13537814</v>
      </c>
      <c r="E7" s="104">
        <v>20626378</v>
      </c>
      <c r="F7" s="104">
        <v>12102685</v>
      </c>
      <c r="G7" s="104">
        <v>217243</v>
      </c>
      <c r="H7" s="104">
        <v>110070.20199999999</v>
      </c>
      <c r="I7" s="104">
        <v>0</v>
      </c>
      <c r="J7" s="104">
        <v>107172.79800000001</v>
      </c>
      <c r="K7" s="104">
        <v>12319928</v>
      </c>
      <c r="L7" s="104">
        <v>-4281824</v>
      </c>
      <c r="M7" s="104">
        <v>4622704</v>
      </c>
      <c r="N7" s="104">
        <v>4630542.2049969621</v>
      </c>
      <c r="O7" s="104">
        <v>-7838.2049969621003</v>
      </c>
      <c r="P7" s="104">
        <v>340880</v>
      </c>
      <c r="Q7" s="104">
        <v>3365580</v>
      </c>
      <c r="R7" s="104">
        <v>2186313</v>
      </c>
      <c r="S7" s="104">
        <v>1156312.6029247856</v>
      </c>
      <c r="T7" s="104">
        <v>1030000.3970752144</v>
      </c>
      <c r="U7" s="104">
        <v>5551893</v>
      </c>
      <c r="V7" s="104">
        <v>1648377</v>
      </c>
      <c r="W7" s="104">
        <v>36291</v>
      </c>
      <c r="X7" s="104">
        <v>35700.816000000006</v>
      </c>
      <c r="Y7" s="104">
        <v>590.18399999999383</v>
      </c>
      <c r="Z7" s="104">
        <v>1684668</v>
      </c>
      <c r="AA7" s="104">
        <v>702996</v>
      </c>
      <c r="AB7" s="104">
        <v>26013</v>
      </c>
      <c r="AC7" s="104">
        <v>26013</v>
      </c>
      <c r="AD7" s="104">
        <v>0</v>
      </c>
      <c r="AE7" s="104">
        <v>729009</v>
      </c>
    </row>
    <row r="8" spans="1:31" ht="14.4" customHeight="1">
      <c r="A8" s="98" t="s">
        <v>37</v>
      </c>
      <c r="B8" s="98">
        <v>2</v>
      </c>
      <c r="C8" s="98" t="s">
        <v>218</v>
      </c>
      <c r="D8" s="105">
        <v>20356040</v>
      </c>
      <c r="E8" s="105">
        <v>19896971</v>
      </c>
      <c r="F8" s="105">
        <v>5230241</v>
      </c>
      <c r="G8" s="105">
        <v>231913</v>
      </c>
      <c r="H8" s="105">
        <v>-503.29999999998836</v>
      </c>
      <c r="I8" s="105">
        <v>0</v>
      </c>
      <c r="J8" s="105">
        <v>232416.3</v>
      </c>
      <c r="K8" s="105">
        <v>5462154</v>
      </c>
      <c r="L8" s="105">
        <v>-239047</v>
      </c>
      <c r="M8" s="105">
        <v>-8359</v>
      </c>
      <c r="N8" s="105">
        <v>1190.3282604808919</v>
      </c>
      <c r="O8" s="105">
        <v>-9549.3282604808919</v>
      </c>
      <c r="P8" s="105">
        <v>-247406</v>
      </c>
      <c r="Q8" s="105">
        <v>13040209</v>
      </c>
      <c r="R8" s="105">
        <v>-755501</v>
      </c>
      <c r="S8" s="105">
        <v>274499.43075187656</v>
      </c>
      <c r="T8" s="105">
        <v>-1030000.4307518766</v>
      </c>
      <c r="U8" s="105">
        <v>12284708</v>
      </c>
      <c r="V8" s="105">
        <v>1737670</v>
      </c>
      <c r="W8" s="105">
        <v>41688</v>
      </c>
      <c r="X8" s="105">
        <v>40710.290999999997</v>
      </c>
      <c r="Y8" s="105">
        <v>977.70900000000256</v>
      </c>
      <c r="Z8" s="105">
        <v>1779358</v>
      </c>
      <c r="AA8" s="105">
        <v>586967</v>
      </c>
      <c r="AB8" s="105">
        <v>31190</v>
      </c>
      <c r="AC8" s="105">
        <v>31412</v>
      </c>
      <c r="AD8" s="105">
        <v>-222</v>
      </c>
      <c r="AE8" s="105">
        <v>618157</v>
      </c>
    </row>
    <row r="9" spans="1:31" ht="14.4" customHeight="1">
      <c r="A9" s="98" t="s">
        <v>37</v>
      </c>
      <c r="B9" s="98">
        <v>3</v>
      </c>
      <c r="C9" s="98" t="s">
        <v>219</v>
      </c>
      <c r="D9" s="105">
        <v>9507781</v>
      </c>
      <c r="E9" s="105">
        <v>9746257</v>
      </c>
      <c r="F9" s="105">
        <v>4617170</v>
      </c>
      <c r="G9" s="105">
        <v>469593</v>
      </c>
      <c r="H9" s="105">
        <v>24856.464999999967</v>
      </c>
      <c r="I9" s="105">
        <v>0</v>
      </c>
      <c r="J9" s="105">
        <v>444736.53500000003</v>
      </c>
      <c r="K9" s="105">
        <v>5086763</v>
      </c>
      <c r="L9" s="105">
        <v>-581713</v>
      </c>
      <c r="M9" s="105">
        <v>442596</v>
      </c>
      <c r="N9" s="105">
        <v>-262553.62326286879</v>
      </c>
      <c r="O9" s="105">
        <v>705149.62326286873</v>
      </c>
      <c r="P9" s="105">
        <v>-139117</v>
      </c>
      <c r="Q9" s="105">
        <v>3301233</v>
      </c>
      <c r="R9" s="105">
        <v>-688679</v>
      </c>
      <c r="S9" s="105">
        <v>-688678.53533345973</v>
      </c>
      <c r="T9" s="105">
        <v>-0.4646665402688086</v>
      </c>
      <c r="U9" s="105">
        <v>2612554</v>
      </c>
      <c r="V9" s="105">
        <v>1563524</v>
      </c>
      <c r="W9" s="105">
        <v>33741</v>
      </c>
      <c r="X9" s="105">
        <v>32583.098999999998</v>
      </c>
      <c r="Y9" s="105">
        <v>1157.9010000000017</v>
      </c>
      <c r="Z9" s="105">
        <v>1597265</v>
      </c>
      <c r="AA9" s="105">
        <v>607567</v>
      </c>
      <c r="AB9" s="105">
        <v>-18775</v>
      </c>
      <c r="AC9" s="105">
        <v>27632</v>
      </c>
      <c r="AD9" s="105">
        <v>-46407</v>
      </c>
      <c r="AE9" s="105">
        <v>588792</v>
      </c>
    </row>
    <row r="10" spans="1:31" ht="14.4" customHeight="1">
      <c r="A10" s="98" t="s">
        <v>37</v>
      </c>
      <c r="B10" s="98">
        <v>4</v>
      </c>
      <c r="C10" s="98" t="s">
        <v>220</v>
      </c>
      <c r="D10" s="105">
        <v>20886277</v>
      </c>
      <c r="E10" s="105">
        <v>27399138</v>
      </c>
      <c r="F10" s="105">
        <v>6143561</v>
      </c>
      <c r="G10" s="105">
        <v>3777882</v>
      </c>
      <c r="H10" s="105">
        <v>1290241.0499999998</v>
      </c>
      <c r="I10" s="105">
        <v>98675</v>
      </c>
      <c r="J10" s="105">
        <v>2388965.9500000002</v>
      </c>
      <c r="K10" s="105">
        <v>9921443</v>
      </c>
      <c r="L10" s="105">
        <v>5144992</v>
      </c>
      <c r="M10" s="105">
        <v>929756</v>
      </c>
      <c r="N10" s="105">
        <v>-126725.7229336609</v>
      </c>
      <c r="O10" s="105">
        <v>1056481.722933661</v>
      </c>
      <c r="P10" s="105">
        <v>6074748</v>
      </c>
      <c r="Q10" s="105">
        <v>6777784</v>
      </c>
      <c r="R10" s="105">
        <v>2042406</v>
      </c>
      <c r="S10" s="105">
        <v>-136575.4573505962</v>
      </c>
      <c r="T10" s="105">
        <v>2178981.4573505963</v>
      </c>
      <c r="U10" s="105">
        <v>8820190</v>
      </c>
      <c r="V10" s="105">
        <v>1840657</v>
      </c>
      <c r="W10" s="105">
        <v>82760</v>
      </c>
      <c r="X10" s="105">
        <v>37801.574999999997</v>
      </c>
      <c r="Y10" s="105">
        <v>44958.425000000003</v>
      </c>
      <c r="Z10" s="105">
        <v>1923417</v>
      </c>
      <c r="AA10" s="105">
        <v>979283</v>
      </c>
      <c r="AB10" s="105">
        <v>-319943</v>
      </c>
      <c r="AC10" s="105">
        <v>-350137</v>
      </c>
      <c r="AD10" s="105">
        <v>30194</v>
      </c>
      <c r="AE10" s="105">
        <v>659340</v>
      </c>
    </row>
    <row r="11" spans="1:31" ht="14.4" customHeight="1">
      <c r="A11" s="98" t="s">
        <v>37</v>
      </c>
      <c r="B11" s="98">
        <v>5</v>
      </c>
      <c r="C11" s="98" t="s">
        <v>221</v>
      </c>
      <c r="D11" s="105">
        <v>14482504</v>
      </c>
      <c r="E11" s="105">
        <v>9256084</v>
      </c>
      <c r="F11" s="105">
        <v>5061774</v>
      </c>
      <c r="G11" s="105">
        <v>-2258408</v>
      </c>
      <c r="H11" s="105">
        <v>24732.739999999758</v>
      </c>
      <c r="I11" s="105">
        <v>-98675</v>
      </c>
      <c r="J11" s="105">
        <v>-2184465.7399999998</v>
      </c>
      <c r="K11" s="105">
        <v>2803366</v>
      </c>
      <c r="L11" s="105">
        <v>1171989</v>
      </c>
      <c r="M11" s="105">
        <v>-1044051</v>
      </c>
      <c r="N11" s="105">
        <v>-101908.46757954053</v>
      </c>
      <c r="O11" s="105">
        <v>-942142.53242045944</v>
      </c>
      <c r="P11" s="105">
        <v>127938</v>
      </c>
      <c r="Q11" s="105">
        <v>5716190</v>
      </c>
      <c r="R11" s="105">
        <v>-1875720</v>
      </c>
      <c r="S11" s="105">
        <v>303260.67052516225</v>
      </c>
      <c r="T11" s="105">
        <v>-2178980.6705251625</v>
      </c>
      <c r="U11" s="105">
        <v>3840470</v>
      </c>
      <c r="V11" s="105">
        <v>1755035</v>
      </c>
      <c r="W11" s="105">
        <v>-479</v>
      </c>
      <c r="X11" s="105">
        <v>43458.275000000001</v>
      </c>
      <c r="Y11" s="105">
        <v>-43937.275000000001</v>
      </c>
      <c r="Z11" s="105">
        <v>1754556</v>
      </c>
      <c r="AA11" s="105">
        <v>777516</v>
      </c>
      <c r="AB11" s="105">
        <v>-47762</v>
      </c>
      <c r="AC11" s="105">
        <v>30757</v>
      </c>
      <c r="AD11" s="105">
        <v>-78519</v>
      </c>
      <c r="AE11" s="105">
        <v>729754</v>
      </c>
    </row>
    <row r="12" spans="1:31" ht="14.4" customHeight="1">
      <c r="A12" s="98" t="s">
        <v>37</v>
      </c>
      <c r="B12" s="98">
        <v>6</v>
      </c>
      <c r="C12" s="98" t="s">
        <v>222</v>
      </c>
      <c r="D12" s="105">
        <v>8685179</v>
      </c>
      <c r="E12" s="105">
        <v>8164898</v>
      </c>
      <c r="F12" s="105">
        <v>2469627</v>
      </c>
      <c r="G12" s="105">
        <v>-609603</v>
      </c>
      <c r="H12" s="105">
        <v>-794019.86999999965</v>
      </c>
      <c r="I12" s="105">
        <v>3982</v>
      </c>
      <c r="J12" s="105">
        <v>180434.86999999965</v>
      </c>
      <c r="K12" s="105">
        <v>1860024</v>
      </c>
      <c r="L12" s="105">
        <v>393776</v>
      </c>
      <c r="M12" s="105">
        <v>-35813</v>
      </c>
      <c r="N12" s="105">
        <v>-46066.122279748321</v>
      </c>
      <c r="O12" s="105">
        <v>10253.122279748321</v>
      </c>
      <c r="P12" s="105">
        <v>357963</v>
      </c>
      <c r="Q12" s="105">
        <v>3265180</v>
      </c>
      <c r="R12" s="105">
        <v>2072</v>
      </c>
      <c r="S12" s="105">
        <v>2072.2906029884471</v>
      </c>
      <c r="T12" s="105">
        <v>-0.29060298844706267</v>
      </c>
      <c r="U12" s="105">
        <v>3267252</v>
      </c>
      <c r="V12" s="105">
        <v>1819354</v>
      </c>
      <c r="W12" s="105">
        <v>46287</v>
      </c>
      <c r="X12" s="105">
        <v>45998.667000000001</v>
      </c>
      <c r="Y12" s="105">
        <v>288.33299999999872</v>
      </c>
      <c r="Z12" s="105">
        <v>1865641</v>
      </c>
      <c r="AA12" s="105">
        <v>737242</v>
      </c>
      <c r="AB12" s="105">
        <v>76776</v>
      </c>
      <c r="AC12" s="105">
        <v>30145</v>
      </c>
      <c r="AD12" s="105">
        <v>46631</v>
      </c>
      <c r="AE12" s="105">
        <v>814018</v>
      </c>
    </row>
    <row r="13" spans="1:31" ht="14.4" customHeight="1">
      <c r="A13" s="98" t="s">
        <v>37</v>
      </c>
      <c r="B13" s="98">
        <v>7</v>
      </c>
      <c r="C13" s="98" t="s">
        <v>223</v>
      </c>
      <c r="D13" s="105">
        <v>32716872</v>
      </c>
      <c r="E13" s="105">
        <v>32176460</v>
      </c>
      <c r="F13" s="105">
        <v>18975730</v>
      </c>
      <c r="G13" s="105">
        <v>-576682</v>
      </c>
      <c r="H13" s="105">
        <v>-634860.93999999994</v>
      </c>
      <c r="I13" s="105">
        <v>-3982</v>
      </c>
      <c r="J13" s="105">
        <v>62160.939999999944</v>
      </c>
      <c r="K13" s="105">
        <v>18399048</v>
      </c>
      <c r="L13" s="105">
        <v>774341</v>
      </c>
      <c r="M13" s="105">
        <v>210939</v>
      </c>
      <c r="N13" s="105">
        <v>-15134.289741470304</v>
      </c>
      <c r="O13" s="105">
        <v>226073.2897414703</v>
      </c>
      <c r="P13" s="105">
        <v>985280</v>
      </c>
      <c r="Q13" s="105">
        <v>10187962</v>
      </c>
      <c r="R13" s="105">
        <v>-278243</v>
      </c>
      <c r="S13" s="105">
        <v>-278242.66315060132</v>
      </c>
      <c r="T13" s="105">
        <v>-0.33684939867816865</v>
      </c>
      <c r="U13" s="105">
        <v>9909719</v>
      </c>
      <c r="V13" s="105">
        <v>1803181</v>
      </c>
      <c r="W13" s="105">
        <v>44352</v>
      </c>
      <c r="X13" s="105">
        <v>44158.03</v>
      </c>
      <c r="Y13" s="105">
        <v>193.97000000000116</v>
      </c>
      <c r="Z13" s="105">
        <v>1847533</v>
      </c>
      <c r="AA13" s="105">
        <v>975658</v>
      </c>
      <c r="AB13" s="105">
        <v>59222</v>
      </c>
      <c r="AC13" s="105">
        <v>20316</v>
      </c>
      <c r="AD13" s="105">
        <v>38906</v>
      </c>
      <c r="AE13" s="105">
        <v>1034880</v>
      </c>
    </row>
    <row r="14" spans="1:31" ht="14.4" customHeight="1">
      <c r="A14" s="98" t="s">
        <v>37</v>
      </c>
      <c r="B14" s="98">
        <v>8</v>
      </c>
      <c r="C14" s="98" t="s">
        <v>224</v>
      </c>
      <c r="D14" s="105">
        <v>17863944</v>
      </c>
      <c r="E14" s="105">
        <v>18259954</v>
      </c>
      <c r="F14" s="105">
        <v>5131324</v>
      </c>
      <c r="G14" s="105">
        <v>-363207</v>
      </c>
      <c r="H14" s="105">
        <v>-397204.49000000011</v>
      </c>
      <c r="I14" s="105">
        <v>0</v>
      </c>
      <c r="J14" s="105">
        <v>33997.490000000107</v>
      </c>
      <c r="K14" s="105">
        <v>4768117</v>
      </c>
      <c r="L14" s="105">
        <v>5855210</v>
      </c>
      <c r="M14" s="105">
        <v>50853</v>
      </c>
      <c r="N14" s="105">
        <v>49283.508507748273</v>
      </c>
      <c r="O14" s="105">
        <v>1569.4914922517273</v>
      </c>
      <c r="P14" s="105">
        <v>5906063</v>
      </c>
      <c r="Q14" s="105">
        <v>4231635</v>
      </c>
      <c r="R14" s="105">
        <v>667252</v>
      </c>
      <c r="S14" s="105">
        <v>667252.49167068314</v>
      </c>
      <c r="T14" s="105">
        <v>-0.4916706831427291</v>
      </c>
      <c r="U14" s="105">
        <v>4898887</v>
      </c>
      <c r="V14" s="105">
        <v>2028183</v>
      </c>
      <c r="W14" s="105">
        <v>49809</v>
      </c>
      <c r="X14" s="105">
        <v>48699.209000000003</v>
      </c>
      <c r="Y14" s="105">
        <v>1109.7909999999974</v>
      </c>
      <c r="Z14" s="105">
        <v>2077992</v>
      </c>
      <c r="AA14" s="105">
        <v>617592</v>
      </c>
      <c r="AB14" s="105">
        <v>-8697</v>
      </c>
      <c r="AC14" s="105">
        <v>30210</v>
      </c>
      <c r="AD14" s="105">
        <v>-38907</v>
      </c>
      <c r="AE14" s="105">
        <v>608895</v>
      </c>
    </row>
    <row r="15" spans="1:31" ht="14.4" customHeight="1">
      <c r="A15" s="98" t="s">
        <v>37</v>
      </c>
      <c r="B15" s="98">
        <v>9</v>
      </c>
      <c r="C15" s="98" t="s">
        <v>225</v>
      </c>
      <c r="D15" s="105">
        <v>11184595</v>
      </c>
      <c r="E15" s="105">
        <v>10376220</v>
      </c>
      <c r="F15" s="105">
        <v>4111290</v>
      </c>
      <c r="G15" s="105">
        <v>-48939</v>
      </c>
      <c r="H15" s="105">
        <v>-92704.520000000019</v>
      </c>
      <c r="I15" s="105">
        <v>0</v>
      </c>
      <c r="J15" s="105">
        <v>43765.520000000019</v>
      </c>
      <c r="K15" s="105">
        <v>4062351</v>
      </c>
      <c r="L15" s="105">
        <v>201996</v>
      </c>
      <c r="M15" s="105">
        <v>-250122</v>
      </c>
      <c r="N15" s="105">
        <v>-257827.40000000002</v>
      </c>
      <c r="O15" s="105">
        <v>7705.4000000000233</v>
      </c>
      <c r="P15" s="105">
        <v>-48126</v>
      </c>
      <c r="Q15" s="105">
        <v>4170103</v>
      </c>
      <c r="R15" s="105">
        <v>-587047</v>
      </c>
      <c r="S15" s="105">
        <v>-587046.74120219913</v>
      </c>
      <c r="T15" s="105">
        <v>-0.25879780086688697</v>
      </c>
      <c r="U15" s="105">
        <v>3583056</v>
      </c>
      <c r="V15" s="105">
        <v>1853391</v>
      </c>
      <c r="W15" s="105">
        <v>46398</v>
      </c>
      <c r="X15" s="105">
        <v>45321.938999999998</v>
      </c>
      <c r="Y15" s="105">
        <v>1076.0610000000015</v>
      </c>
      <c r="Z15" s="105">
        <v>1899789</v>
      </c>
      <c r="AA15" s="105">
        <v>847815</v>
      </c>
      <c r="AB15" s="105">
        <v>31335</v>
      </c>
      <c r="AC15" s="105">
        <v>31335</v>
      </c>
      <c r="AD15" s="105">
        <v>0</v>
      </c>
      <c r="AE15" s="105">
        <v>879150</v>
      </c>
    </row>
    <row r="16" spans="1:31" ht="14.4" customHeight="1">
      <c r="A16" s="98" t="s">
        <v>37</v>
      </c>
      <c r="B16" s="98">
        <v>10</v>
      </c>
      <c r="C16" s="98" t="s">
        <v>226</v>
      </c>
      <c r="D16" s="105">
        <v>33888706</v>
      </c>
      <c r="E16" s="105">
        <v>33554868</v>
      </c>
      <c r="F16" s="105">
        <v>9763882</v>
      </c>
      <c r="G16" s="105">
        <v>40853</v>
      </c>
      <c r="H16" s="105">
        <v>-4501.3300000000745</v>
      </c>
      <c r="I16" s="105">
        <v>0</v>
      </c>
      <c r="J16" s="105">
        <v>45354.330000000075</v>
      </c>
      <c r="K16" s="105">
        <v>9804735</v>
      </c>
      <c r="L16" s="105">
        <v>11613426</v>
      </c>
      <c r="M16" s="105">
        <v>-510163</v>
      </c>
      <c r="N16" s="105">
        <v>-774205.34908984869</v>
      </c>
      <c r="O16" s="105">
        <v>264042.34908984869</v>
      </c>
      <c r="P16" s="105">
        <v>11103263</v>
      </c>
      <c r="Q16" s="105">
        <v>9992267</v>
      </c>
      <c r="R16" s="105">
        <v>67626</v>
      </c>
      <c r="S16" s="105">
        <v>67625.891912246123</v>
      </c>
      <c r="T16" s="105">
        <v>0.10808775387704372</v>
      </c>
      <c r="U16" s="105">
        <v>10059893</v>
      </c>
      <c r="V16" s="105">
        <v>1829645</v>
      </c>
      <c r="W16" s="105">
        <v>43677</v>
      </c>
      <c r="X16" s="105">
        <v>43187.434999999998</v>
      </c>
      <c r="Y16" s="105">
        <v>489.56500000000233</v>
      </c>
      <c r="Z16" s="105">
        <v>1873322</v>
      </c>
      <c r="AA16" s="105">
        <v>689486</v>
      </c>
      <c r="AB16" s="105">
        <v>24169</v>
      </c>
      <c r="AC16" s="105">
        <v>-14873</v>
      </c>
      <c r="AD16" s="105">
        <v>39042</v>
      </c>
      <c r="AE16" s="105">
        <v>713655</v>
      </c>
    </row>
    <row r="17" spans="1:31" ht="14.4" customHeight="1">
      <c r="A17" s="98" t="s">
        <v>37</v>
      </c>
      <c r="B17" s="98">
        <v>11</v>
      </c>
      <c r="C17" s="98" t="s">
        <v>227</v>
      </c>
      <c r="D17" s="105">
        <v>14742813</v>
      </c>
      <c r="E17" s="105">
        <v>14095571</v>
      </c>
      <c r="F17" s="105">
        <v>7925776</v>
      </c>
      <c r="G17" s="105">
        <v>344251</v>
      </c>
      <c r="H17" s="105">
        <v>309859.09999999998</v>
      </c>
      <c r="I17" s="105">
        <v>0</v>
      </c>
      <c r="J17" s="105">
        <v>34391.900000000023</v>
      </c>
      <c r="K17" s="105">
        <v>8270027</v>
      </c>
      <c r="L17" s="105">
        <v>-223624</v>
      </c>
      <c r="M17" s="105">
        <v>-623498</v>
      </c>
      <c r="N17" s="105">
        <v>-633830.09965173714</v>
      </c>
      <c r="O17" s="105">
        <v>10332.099651737139</v>
      </c>
      <c r="P17" s="105">
        <v>-847122</v>
      </c>
      <c r="Q17" s="105">
        <v>4313195</v>
      </c>
      <c r="R17" s="105">
        <v>-407601</v>
      </c>
      <c r="S17" s="105">
        <v>-407601.00565392198</v>
      </c>
      <c r="T17" s="105">
        <v>5.6539219804108143E-3</v>
      </c>
      <c r="U17" s="105">
        <v>3905594</v>
      </c>
      <c r="V17" s="105">
        <v>1858840</v>
      </c>
      <c r="W17" s="105">
        <v>47559</v>
      </c>
      <c r="X17" s="105">
        <v>45801.665999999997</v>
      </c>
      <c r="Y17" s="105">
        <v>1757.3340000000026</v>
      </c>
      <c r="Z17" s="105">
        <v>1906399</v>
      </c>
      <c r="AA17" s="105">
        <v>868626</v>
      </c>
      <c r="AB17" s="105">
        <v>-7953</v>
      </c>
      <c r="AC17" s="105">
        <v>31550</v>
      </c>
      <c r="AD17" s="105">
        <v>-39503</v>
      </c>
      <c r="AE17" s="105">
        <v>860673</v>
      </c>
    </row>
    <row r="18" spans="1:31" ht="14.4" customHeight="1">
      <c r="A18" s="98" t="s">
        <v>37</v>
      </c>
      <c r="B18" s="98">
        <v>12</v>
      </c>
      <c r="C18" s="98" t="s">
        <v>228</v>
      </c>
      <c r="D18" s="105">
        <v>14955021</v>
      </c>
      <c r="E18" s="105">
        <v>10054842</v>
      </c>
      <c r="F18" s="105">
        <v>5359147</v>
      </c>
      <c r="G18" s="105">
        <v>188749</v>
      </c>
      <c r="H18" s="105">
        <v>164987.21000000002</v>
      </c>
      <c r="I18" s="105">
        <v>0</v>
      </c>
      <c r="J18" s="105">
        <v>23761.789999999979</v>
      </c>
      <c r="K18" s="105">
        <v>5547896</v>
      </c>
      <c r="L18" s="105">
        <v>3903401</v>
      </c>
      <c r="M18" s="105">
        <v>-4898084</v>
      </c>
      <c r="N18" s="105">
        <v>-4899720.9485799819</v>
      </c>
      <c r="O18" s="105">
        <v>1636.9485799819231</v>
      </c>
      <c r="P18" s="105">
        <v>-994683</v>
      </c>
      <c r="Q18" s="105">
        <v>3176585</v>
      </c>
      <c r="R18" s="105">
        <v>-251168</v>
      </c>
      <c r="S18" s="105">
        <v>-251168.11841253936</v>
      </c>
      <c r="T18" s="105">
        <v>0.11841253936290741</v>
      </c>
      <c r="U18" s="105">
        <v>2925417</v>
      </c>
      <c r="V18" s="105">
        <v>1641871</v>
      </c>
      <c r="W18" s="105">
        <v>28292</v>
      </c>
      <c r="X18" s="105">
        <v>27191.988000000001</v>
      </c>
      <c r="Y18" s="105">
        <v>1100.0119999999988</v>
      </c>
      <c r="Z18" s="105">
        <v>1670163</v>
      </c>
      <c r="AA18" s="105">
        <v>874017</v>
      </c>
      <c r="AB18" s="105">
        <v>32032</v>
      </c>
      <c r="AC18" s="105">
        <v>31570</v>
      </c>
      <c r="AD18" s="105">
        <v>462</v>
      </c>
      <c r="AE18" s="105">
        <v>906049</v>
      </c>
    </row>
    <row r="19" spans="1:31" ht="14.4" customHeight="1">
      <c r="A19" s="96" t="s">
        <v>38</v>
      </c>
      <c r="B19" s="96">
        <v>1</v>
      </c>
      <c r="C19" s="97" t="s">
        <v>217</v>
      </c>
      <c r="D19" s="104">
        <v>14769959</v>
      </c>
      <c r="E19" s="104">
        <v>21192983</v>
      </c>
      <c r="F19" s="104">
        <v>12660897</v>
      </c>
      <c r="G19" s="104">
        <v>251145</v>
      </c>
      <c r="H19" s="104">
        <v>120450.26000000001</v>
      </c>
      <c r="I19" s="104">
        <v>0</v>
      </c>
      <c r="J19" s="104">
        <v>130694.73999999999</v>
      </c>
      <c r="K19" s="104">
        <v>12912042</v>
      </c>
      <c r="L19" s="104">
        <v>-3614172</v>
      </c>
      <c r="M19" s="104">
        <v>3945830</v>
      </c>
      <c r="N19" s="104">
        <v>3995150.5136032607</v>
      </c>
      <c r="O19" s="104">
        <v>-49320.513603260741</v>
      </c>
      <c r="P19" s="104">
        <v>331658</v>
      </c>
      <c r="Q19" s="104">
        <v>3200734</v>
      </c>
      <c r="R19" s="104">
        <v>2198044</v>
      </c>
      <c r="S19" s="104">
        <v>1177044.3747763757</v>
      </c>
      <c r="T19" s="104">
        <v>1020999.6252236243</v>
      </c>
      <c r="U19" s="104">
        <v>5398778</v>
      </c>
      <c r="V19" s="104">
        <v>1736248</v>
      </c>
      <c r="W19" s="104">
        <v>28193</v>
      </c>
      <c r="X19" s="104">
        <v>27981.063999999998</v>
      </c>
      <c r="Y19" s="104">
        <v>211.93600000000151</v>
      </c>
      <c r="Z19" s="104">
        <v>1764441</v>
      </c>
      <c r="AA19" s="104">
        <v>786252</v>
      </c>
      <c r="AB19" s="104">
        <v>-188</v>
      </c>
      <c r="AC19" s="104">
        <v>-188</v>
      </c>
      <c r="AD19" s="104">
        <v>0</v>
      </c>
      <c r="AE19" s="104">
        <v>786064</v>
      </c>
    </row>
    <row r="20" spans="1:31" ht="14.4" customHeight="1">
      <c r="A20" s="98">
        <v>2020</v>
      </c>
      <c r="B20" s="98">
        <v>2</v>
      </c>
      <c r="C20" s="98" t="s">
        <v>218</v>
      </c>
      <c r="D20" s="105">
        <v>21213520</v>
      </c>
      <c r="E20" s="105">
        <v>21110188</v>
      </c>
      <c r="F20" s="105">
        <v>5783525</v>
      </c>
      <c r="G20" s="105">
        <v>-7298</v>
      </c>
      <c r="H20" s="105">
        <v>-33642.035000000003</v>
      </c>
      <c r="I20" s="105">
        <v>0</v>
      </c>
      <c r="J20" s="105">
        <v>26344.035000000003</v>
      </c>
      <c r="K20" s="105">
        <v>5776227</v>
      </c>
      <c r="L20" s="105">
        <v>-697656</v>
      </c>
      <c r="M20" s="105">
        <v>470015</v>
      </c>
      <c r="N20" s="105">
        <v>460440.64926652412</v>
      </c>
      <c r="O20" s="105">
        <v>9574.350733475876</v>
      </c>
      <c r="P20" s="105">
        <v>-227641</v>
      </c>
      <c r="Q20" s="105">
        <v>13428696</v>
      </c>
      <c r="R20" s="105">
        <v>-657019</v>
      </c>
      <c r="S20" s="105">
        <v>363980.65668059408</v>
      </c>
      <c r="T20" s="105">
        <v>-1020999.6566805941</v>
      </c>
      <c r="U20" s="105">
        <v>12771677</v>
      </c>
      <c r="V20" s="105">
        <v>1810979</v>
      </c>
      <c r="W20" s="105">
        <v>42859</v>
      </c>
      <c r="X20" s="105">
        <v>42500</v>
      </c>
      <c r="Y20" s="105">
        <v>359</v>
      </c>
      <c r="Z20" s="105">
        <v>1853838</v>
      </c>
      <c r="AA20" s="105">
        <v>887976</v>
      </c>
      <c r="AB20" s="105">
        <v>48111</v>
      </c>
      <c r="AC20" s="105">
        <v>60349</v>
      </c>
      <c r="AD20" s="105">
        <v>-12238</v>
      </c>
      <c r="AE20" s="105">
        <v>936087</v>
      </c>
    </row>
    <row r="21" spans="1:31" ht="14.4" customHeight="1">
      <c r="A21" s="98">
        <v>2020</v>
      </c>
      <c r="B21" s="98">
        <v>3</v>
      </c>
      <c r="C21" s="98" t="s">
        <v>219</v>
      </c>
      <c r="D21" s="105">
        <v>11018494</v>
      </c>
      <c r="E21" s="105">
        <v>10209587</v>
      </c>
      <c r="F21" s="105">
        <v>5114465</v>
      </c>
      <c r="G21" s="105">
        <v>124582</v>
      </c>
      <c r="H21" s="105">
        <v>51672.114000000001</v>
      </c>
      <c r="I21" s="105">
        <v>0</v>
      </c>
      <c r="J21" s="105">
        <v>72909.885999999999</v>
      </c>
      <c r="K21" s="105">
        <v>5239047</v>
      </c>
      <c r="L21" s="105">
        <v>51786</v>
      </c>
      <c r="M21" s="105">
        <v>-313034</v>
      </c>
      <c r="N21" s="105">
        <v>-341931.05090273451</v>
      </c>
      <c r="O21" s="105">
        <v>28897.050902734511</v>
      </c>
      <c r="P21" s="105">
        <v>-261248</v>
      </c>
      <c r="Q21" s="105">
        <v>3831647</v>
      </c>
      <c r="R21" s="105">
        <v>-809070</v>
      </c>
      <c r="S21" s="105">
        <v>-865069.99849677389</v>
      </c>
      <c r="T21" s="105">
        <v>55999.998496773886</v>
      </c>
      <c r="U21" s="105">
        <v>3022577</v>
      </c>
      <c r="V21" s="105">
        <v>1632632</v>
      </c>
      <c r="W21" s="105">
        <v>64750</v>
      </c>
      <c r="X21" s="105">
        <v>42500</v>
      </c>
      <c r="Y21" s="105">
        <v>22250</v>
      </c>
      <c r="Z21" s="105">
        <v>1697382</v>
      </c>
      <c r="AA21" s="105">
        <v>387964</v>
      </c>
      <c r="AB21" s="105">
        <v>123865</v>
      </c>
      <c r="AC21" s="105">
        <v>58273</v>
      </c>
      <c r="AD21" s="105">
        <v>65592</v>
      </c>
      <c r="AE21" s="105">
        <v>511829</v>
      </c>
    </row>
    <row r="22" spans="1:31" ht="14.4" customHeight="1">
      <c r="A22" s="98">
        <v>2020</v>
      </c>
      <c r="B22" s="98">
        <v>4</v>
      </c>
      <c r="C22" s="98" t="s">
        <v>220</v>
      </c>
      <c r="D22" s="105">
        <v>14212916</v>
      </c>
      <c r="E22" s="105">
        <v>25524150</v>
      </c>
      <c r="F22" s="105">
        <v>5343279</v>
      </c>
      <c r="G22" s="105">
        <v>4719199</v>
      </c>
      <c r="H22" s="105">
        <v>1686392.5449999999</v>
      </c>
      <c r="I22" s="105">
        <v>0</v>
      </c>
      <c r="J22" s="105">
        <v>3032806.4550000001</v>
      </c>
      <c r="K22" s="105">
        <v>10062478</v>
      </c>
      <c r="L22" s="105">
        <v>1571529</v>
      </c>
      <c r="M22" s="105">
        <v>3178388</v>
      </c>
      <c r="N22" s="105">
        <v>2442113.7113838899</v>
      </c>
      <c r="O22" s="105">
        <v>736274.28861611011</v>
      </c>
      <c r="P22" s="105">
        <v>4749917</v>
      </c>
      <c r="Q22" s="105">
        <v>4795729</v>
      </c>
      <c r="R22" s="105">
        <v>3561445</v>
      </c>
      <c r="S22" s="105">
        <v>-221511.70926217886</v>
      </c>
      <c r="T22" s="105">
        <v>3782956.7092621787</v>
      </c>
      <c r="U22" s="105">
        <v>8357174</v>
      </c>
      <c r="V22" s="105">
        <v>1698391</v>
      </c>
      <c r="W22" s="105">
        <v>74821</v>
      </c>
      <c r="X22" s="105">
        <v>42500</v>
      </c>
      <c r="Y22" s="105">
        <v>32321</v>
      </c>
      <c r="Z22" s="105">
        <v>1773212</v>
      </c>
      <c r="AA22" s="105">
        <v>803988</v>
      </c>
      <c r="AB22" s="105">
        <v>-222619</v>
      </c>
      <c r="AC22" s="105">
        <v>-313708</v>
      </c>
      <c r="AD22" s="105">
        <v>91089</v>
      </c>
      <c r="AE22" s="105">
        <v>581369</v>
      </c>
    </row>
    <row r="23" spans="1:31" ht="14.4" customHeight="1">
      <c r="A23" s="98">
        <v>2020</v>
      </c>
      <c r="B23" s="98">
        <v>5</v>
      </c>
      <c r="C23" s="98" t="s">
        <v>221</v>
      </c>
      <c r="D23" s="105">
        <v>10481747</v>
      </c>
      <c r="E23" s="105">
        <v>7437155</v>
      </c>
      <c r="F23" s="105">
        <v>4246538</v>
      </c>
      <c r="G23" s="105">
        <v>-1757534</v>
      </c>
      <c r="H23" s="105">
        <v>-136613.3459999999</v>
      </c>
      <c r="I23" s="105">
        <v>0</v>
      </c>
      <c r="J23" s="105">
        <v>-1620920.6540000001</v>
      </c>
      <c r="K23" s="105">
        <v>2489004</v>
      </c>
      <c r="L23" s="105">
        <v>531556</v>
      </c>
      <c r="M23" s="105">
        <v>-436779</v>
      </c>
      <c r="N23" s="105">
        <v>-133259.06519814176</v>
      </c>
      <c r="O23" s="105">
        <v>-303519.93480185827</v>
      </c>
      <c r="P23" s="105">
        <v>94777</v>
      </c>
      <c r="Q23" s="105">
        <v>4035385</v>
      </c>
      <c r="R23" s="105">
        <v>-1046722</v>
      </c>
      <c r="S23" s="105">
        <v>782458.60232404305</v>
      </c>
      <c r="T23" s="105">
        <v>-1829180.6023240429</v>
      </c>
      <c r="U23" s="105">
        <v>2988663</v>
      </c>
      <c r="V23" s="105">
        <v>945316</v>
      </c>
      <c r="W23" s="105">
        <v>68855</v>
      </c>
      <c r="X23" s="105">
        <v>42500</v>
      </c>
      <c r="Y23" s="105">
        <v>26355</v>
      </c>
      <c r="Z23" s="105">
        <v>1014171</v>
      </c>
      <c r="AA23" s="105">
        <v>722952</v>
      </c>
      <c r="AB23" s="105">
        <v>127588</v>
      </c>
      <c r="AC23" s="105">
        <v>31342</v>
      </c>
      <c r="AD23" s="105">
        <v>96246</v>
      </c>
      <c r="AE23" s="105">
        <v>850540</v>
      </c>
    </row>
    <row r="24" spans="1:31" ht="14.4" customHeight="1">
      <c r="A24" s="98">
        <v>2020</v>
      </c>
      <c r="B24" s="98">
        <v>6</v>
      </c>
      <c r="C24" s="98" t="s">
        <v>222</v>
      </c>
      <c r="D24" s="105">
        <v>6102204</v>
      </c>
      <c r="E24" s="105">
        <v>4957306</v>
      </c>
      <c r="F24" s="105">
        <v>2300612</v>
      </c>
      <c r="G24" s="105">
        <v>-807271</v>
      </c>
      <c r="H24" s="105">
        <v>-731576.85499999998</v>
      </c>
      <c r="I24" s="105">
        <v>0</v>
      </c>
      <c r="J24" s="105">
        <v>-75694.145000000019</v>
      </c>
      <c r="K24" s="105">
        <v>1493341</v>
      </c>
      <c r="L24" s="105">
        <v>-153151</v>
      </c>
      <c r="M24" s="105">
        <v>233984</v>
      </c>
      <c r="N24" s="105">
        <v>237651.24828413979</v>
      </c>
      <c r="O24" s="105">
        <v>-3667.2482841397868</v>
      </c>
      <c r="P24" s="105">
        <v>80833</v>
      </c>
      <c r="Q24" s="105">
        <v>2226279</v>
      </c>
      <c r="R24" s="105">
        <v>-644874</v>
      </c>
      <c r="S24" s="105">
        <v>-80348.067693742341</v>
      </c>
      <c r="T24" s="105">
        <v>-564525.93230625766</v>
      </c>
      <c r="U24" s="105">
        <v>1581405</v>
      </c>
      <c r="V24" s="105">
        <v>1204698</v>
      </c>
      <c r="W24" s="105">
        <v>41929</v>
      </c>
      <c r="X24" s="105">
        <v>42500</v>
      </c>
      <c r="Y24" s="105">
        <v>-571</v>
      </c>
      <c r="Z24" s="105">
        <v>1246627</v>
      </c>
      <c r="AA24" s="105">
        <v>523766</v>
      </c>
      <c r="AB24" s="105">
        <v>31334</v>
      </c>
      <c r="AC24" s="105">
        <v>31435</v>
      </c>
      <c r="AD24" s="105">
        <v>-101</v>
      </c>
      <c r="AE24" s="105">
        <v>555100</v>
      </c>
    </row>
    <row r="25" spans="1:31" ht="14.4" customHeight="1">
      <c r="A25" s="98">
        <v>2020</v>
      </c>
      <c r="B25" s="98">
        <v>7</v>
      </c>
      <c r="C25" s="98" t="s">
        <v>223</v>
      </c>
      <c r="D25" s="105">
        <v>27919001</v>
      </c>
      <c r="E25" s="105">
        <v>26323636</v>
      </c>
      <c r="F25" s="105">
        <v>18425554</v>
      </c>
      <c r="G25" s="105">
        <v>-1105769</v>
      </c>
      <c r="H25" s="105">
        <v>-1011444.946</v>
      </c>
      <c r="I25" s="105">
        <v>0</v>
      </c>
      <c r="J25" s="105">
        <v>-94324.054000000004</v>
      </c>
      <c r="K25" s="105">
        <v>17319785</v>
      </c>
      <c r="L25" s="105">
        <v>572621</v>
      </c>
      <c r="M25" s="105">
        <v>-69035</v>
      </c>
      <c r="N25" s="105">
        <v>-47917.841354103934</v>
      </c>
      <c r="O25" s="105">
        <v>-21117.158645896066</v>
      </c>
      <c r="P25" s="105">
        <v>503586</v>
      </c>
      <c r="Q25" s="105">
        <v>6856657</v>
      </c>
      <c r="R25" s="105">
        <v>-479654</v>
      </c>
      <c r="S25" s="105">
        <v>-390076.79350128816</v>
      </c>
      <c r="T25" s="105">
        <v>-89577.206498711836</v>
      </c>
      <c r="U25" s="105">
        <v>6377003</v>
      </c>
      <c r="V25" s="105">
        <v>1574170</v>
      </c>
      <c r="W25" s="105">
        <v>21985</v>
      </c>
      <c r="X25" s="105">
        <v>42500</v>
      </c>
      <c r="Y25" s="105">
        <v>-20515</v>
      </c>
      <c r="Z25" s="105">
        <v>1596155</v>
      </c>
      <c r="AA25" s="105">
        <v>489999</v>
      </c>
      <c r="AB25" s="105">
        <v>37108</v>
      </c>
      <c r="AC25" s="105">
        <v>12446</v>
      </c>
      <c r="AD25" s="105">
        <v>24662</v>
      </c>
      <c r="AE25" s="105">
        <v>527107</v>
      </c>
    </row>
    <row r="26" spans="1:31" ht="14.4" customHeight="1">
      <c r="A26" s="98">
        <v>2020</v>
      </c>
      <c r="B26" s="98">
        <v>8</v>
      </c>
      <c r="C26" s="98" t="s">
        <v>224</v>
      </c>
      <c r="D26" s="105">
        <v>18061554</v>
      </c>
      <c r="E26" s="105">
        <v>17415891</v>
      </c>
      <c r="F26" s="105">
        <v>5578342</v>
      </c>
      <c r="G26" s="105">
        <v>-842508</v>
      </c>
      <c r="H26" s="105">
        <v>-283785.005</v>
      </c>
      <c r="I26" s="105">
        <v>0</v>
      </c>
      <c r="J26" s="105">
        <v>-558722.995</v>
      </c>
      <c r="K26" s="105">
        <v>4735834</v>
      </c>
      <c r="L26" s="105">
        <v>6067175</v>
      </c>
      <c r="M26" s="105">
        <v>-53804</v>
      </c>
      <c r="N26" s="105">
        <v>-2113.7218351466581</v>
      </c>
      <c r="O26" s="105">
        <v>-51690.278164853342</v>
      </c>
      <c r="P26" s="105">
        <v>6013371</v>
      </c>
      <c r="Q26" s="105">
        <v>3992584</v>
      </c>
      <c r="R26" s="105">
        <v>275921</v>
      </c>
      <c r="S26" s="105">
        <v>588650.43172457442</v>
      </c>
      <c r="T26" s="105">
        <v>-312729.43172457442</v>
      </c>
      <c r="U26" s="105">
        <v>4268505</v>
      </c>
      <c r="V26" s="105">
        <v>1798043</v>
      </c>
      <c r="W26" s="105">
        <v>31333</v>
      </c>
      <c r="X26" s="105">
        <v>42500</v>
      </c>
      <c r="Y26" s="105">
        <v>-11167</v>
      </c>
      <c r="Z26" s="105">
        <v>1829376</v>
      </c>
      <c r="AA26" s="105">
        <v>625410</v>
      </c>
      <c r="AB26" s="105">
        <v>-56605</v>
      </c>
      <c r="AC26" s="105">
        <v>-12910</v>
      </c>
      <c r="AD26" s="105">
        <v>-43695</v>
      </c>
      <c r="AE26" s="105">
        <v>568805</v>
      </c>
    </row>
    <row r="27" spans="1:31" ht="14.4" customHeight="1">
      <c r="A27" s="98">
        <v>2020</v>
      </c>
      <c r="B27" s="98">
        <v>9</v>
      </c>
      <c r="C27" s="98" t="s">
        <v>225</v>
      </c>
      <c r="D27" s="105">
        <v>11170394</v>
      </c>
      <c r="E27" s="105">
        <v>9603861</v>
      </c>
      <c r="F27" s="105">
        <v>4326492</v>
      </c>
      <c r="G27" s="105">
        <v>-244359</v>
      </c>
      <c r="H27" s="105">
        <v>-160006.29599999997</v>
      </c>
      <c r="I27" s="105">
        <v>20102</v>
      </c>
      <c r="J27" s="105">
        <v>-104454.70400000003</v>
      </c>
      <c r="K27" s="105">
        <v>4082133</v>
      </c>
      <c r="L27" s="105">
        <v>675947</v>
      </c>
      <c r="M27" s="105">
        <v>-717636</v>
      </c>
      <c r="N27" s="105">
        <v>-153311.47500000001</v>
      </c>
      <c r="O27" s="105">
        <v>-564324.52500000002</v>
      </c>
      <c r="P27" s="105">
        <v>-41689</v>
      </c>
      <c r="Q27" s="105">
        <v>3825943</v>
      </c>
      <c r="R27" s="105">
        <v>-585557</v>
      </c>
      <c r="S27" s="105">
        <v>-465086.76857204922</v>
      </c>
      <c r="T27" s="105">
        <v>-120470.23142795078</v>
      </c>
      <c r="U27" s="105">
        <v>3240386</v>
      </c>
      <c r="V27" s="105">
        <v>1560235</v>
      </c>
      <c r="W27" s="105">
        <v>42643</v>
      </c>
      <c r="X27" s="105">
        <v>42500</v>
      </c>
      <c r="Y27" s="105">
        <v>143</v>
      </c>
      <c r="Z27" s="105">
        <v>1602878</v>
      </c>
      <c r="AA27" s="105">
        <v>781777</v>
      </c>
      <c r="AB27" s="105">
        <v>-61624</v>
      </c>
      <c r="AC27" s="105">
        <v>29245</v>
      </c>
      <c r="AD27" s="105">
        <v>-90869</v>
      </c>
      <c r="AE27" s="105">
        <v>720153</v>
      </c>
    </row>
    <row r="28" spans="1:31" ht="14.4" customHeight="1">
      <c r="A28" s="98">
        <v>2020</v>
      </c>
      <c r="B28" s="98">
        <v>10</v>
      </c>
      <c r="C28" s="98" t="s">
        <v>226</v>
      </c>
      <c r="D28" s="105">
        <v>29680711</v>
      </c>
      <c r="E28" s="105">
        <v>28698399</v>
      </c>
      <c r="F28" s="105">
        <v>9813428</v>
      </c>
      <c r="G28" s="105">
        <v>-37999</v>
      </c>
      <c r="H28" s="105">
        <v>272716.19499999995</v>
      </c>
      <c r="I28" s="105">
        <v>-20102</v>
      </c>
      <c r="J28" s="105">
        <v>-290613.19499999995</v>
      </c>
      <c r="K28" s="105">
        <v>9775429</v>
      </c>
      <c r="L28" s="105">
        <v>7831969</v>
      </c>
      <c r="M28" s="105">
        <v>-522986</v>
      </c>
      <c r="N28" s="105">
        <v>-637327.10229767009</v>
      </c>
      <c r="O28" s="105">
        <v>114341.10229767009</v>
      </c>
      <c r="P28" s="105">
        <v>7308983</v>
      </c>
      <c r="Q28" s="105">
        <v>9814519</v>
      </c>
      <c r="R28" s="105">
        <v>-505710</v>
      </c>
      <c r="S28" s="105">
        <v>-153533.83704681491</v>
      </c>
      <c r="T28" s="105">
        <v>-352176.16295318509</v>
      </c>
      <c r="U28" s="105">
        <v>9308809</v>
      </c>
      <c r="V28" s="105">
        <v>1713455</v>
      </c>
      <c r="W28" s="105">
        <v>41530</v>
      </c>
      <c r="X28" s="105">
        <v>42500</v>
      </c>
      <c r="Y28" s="105">
        <v>-970</v>
      </c>
      <c r="Z28" s="105">
        <v>1754985</v>
      </c>
      <c r="AA28" s="105">
        <v>507340</v>
      </c>
      <c r="AB28" s="105">
        <v>42853</v>
      </c>
      <c r="AC28" s="105">
        <v>52443</v>
      </c>
      <c r="AD28" s="105">
        <v>-9590</v>
      </c>
      <c r="AE28" s="105">
        <v>550193</v>
      </c>
    </row>
    <row r="29" spans="1:31" ht="14.4" customHeight="1">
      <c r="A29" s="98">
        <v>2020</v>
      </c>
      <c r="B29" s="98">
        <v>11</v>
      </c>
      <c r="C29" s="98" t="s">
        <v>227</v>
      </c>
      <c r="D29" s="105">
        <v>15365889</v>
      </c>
      <c r="E29" s="105">
        <v>14216860</v>
      </c>
      <c r="F29" s="105">
        <v>8764445</v>
      </c>
      <c r="G29" s="105">
        <v>-241789</v>
      </c>
      <c r="H29" s="105">
        <v>125820.35399999999</v>
      </c>
      <c r="I29" s="105">
        <v>0</v>
      </c>
      <c r="J29" s="105">
        <v>-367609.35399999999</v>
      </c>
      <c r="K29" s="105">
        <v>8522656</v>
      </c>
      <c r="L29" s="105">
        <v>-32556</v>
      </c>
      <c r="M29" s="105">
        <v>-649737</v>
      </c>
      <c r="N29" s="105">
        <v>-664600.59597681044</v>
      </c>
      <c r="O29" s="105">
        <v>14863.595976810437</v>
      </c>
      <c r="P29" s="105">
        <v>-682293</v>
      </c>
      <c r="Q29" s="105">
        <v>4086525</v>
      </c>
      <c r="R29" s="105">
        <v>-242081</v>
      </c>
      <c r="S29" s="105">
        <v>209876.63951106288</v>
      </c>
      <c r="T29" s="105">
        <v>-451957.63951106288</v>
      </c>
      <c r="U29" s="105">
        <v>3844444</v>
      </c>
      <c r="V29" s="105">
        <v>1661393</v>
      </c>
      <c r="W29" s="105">
        <v>33320</v>
      </c>
      <c r="X29" s="105">
        <v>42500</v>
      </c>
      <c r="Y29" s="105">
        <v>-9180</v>
      </c>
      <c r="Z29" s="105">
        <v>1694713</v>
      </c>
      <c r="AA29" s="105">
        <v>886082</v>
      </c>
      <c r="AB29" s="105">
        <v>-48742</v>
      </c>
      <c r="AC29" s="105">
        <v>-28491</v>
      </c>
      <c r="AD29" s="105">
        <v>-20251</v>
      </c>
      <c r="AE29" s="105">
        <v>837340</v>
      </c>
    </row>
    <row r="30" spans="1:31" ht="14.4" customHeight="1">
      <c r="A30" s="98">
        <v>2020</v>
      </c>
      <c r="B30" s="98">
        <v>12</v>
      </c>
      <c r="C30" s="98" t="s">
        <v>228</v>
      </c>
      <c r="D30" s="105">
        <v>14054249</v>
      </c>
      <c r="E30" s="105">
        <v>9985325</v>
      </c>
      <c r="F30" s="105">
        <v>5614046</v>
      </c>
      <c r="G30" s="105">
        <v>215216</v>
      </c>
      <c r="H30" s="105">
        <v>106279.745</v>
      </c>
      <c r="I30" s="105">
        <v>0</v>
      </c>
      <c r="J30" s="105">
        <v>108936.255</v>
      </c>
      <c r="K30" s="105">
        <v>5829262</v>
      </c>
      <c r="L30" s="105">
        <v>3052670</v>
      </c>
      <c r="M30" s="105">
        <v>-3517488</v>
      </c>
      <c r="N30" s="105">
        <v>-3114343.1222772207</v>
      </c>
      <c r="O30" s="105">
        <v>-403144.87772277929</v>
      </c>
      <c r="P30" s="105">
        <v>-464818</v>
      </c>
      <c r="Q30" s="105">
        <v>3242136</v>
      </c>
      <c r="R30" s="105">
        <v>-841586</v>
      </c>
      <c r="S30" s="105">
        <v>-832031.49623536028</v>
      </c>
      <c r="T30" s="105">
        <v>-9554.503764639725</v>
      </c>
      <c r="U30" s="105">
        <v>2400550</v>
      </c>
      <c r="V30" s="105">
        <v>1454150</v>
      </c>
      <c r="W30" s="105">
        <v>42865</v>
      </c>
      <c r="X30" s="105">
        <v>42500</v>
      </c>
      <c r="Y30" s="105">
        <v>365</v>
      </c>
      <c r="Z30" s="105">
        <v>1497015</v>
      </c>
      <c r="AA30" s="105">
        <v>691247</v>
      </c>
      <c r="AB30" s="105">
        <v>32069</v>
      </c>
      <c r="AC30" s="105">
        <v>31253</v>
      </c>
      <c r="AD30" s="105">
        <v>816</v>
      </c>
      <c r="AE30" s="105">
        <v>723316</v>
      </c>
    </row>
    <row r="31" spans="1:31" ht="14.4" customHeight="1">
      <c r="A31" s="96">
        <v>2021</v>
      </c>
      <c r="B31" s="96">
        <v>1</v>
      </c>
      <c r="C31" s="97" t="s">
        <v>217</v>
      </c>
      <c r="D31" s="104">
        <v>14595485</v>
      </c>
      <c r="E31" s="104">
        <v>21474981</v>
      </c>
      <c r="F31" s="104">
        <v>13047716</v>
      </c>
      <c r="G31" s="104">
        <v>97693</v>
      </c>
      <c r="H31" s="104">
        <v>94030.554000000004</v>
      </c>
      <c r="I31" s="104">
        <v>0</v>
      </c>
      <c r="J31" s="104">
        <v>3662.4459999999963</v>
      </c>
      <c r="K31" s="104">
        <v>13145409</v>
      </c>
      <c r="L31" s="104">
        <v>-4272699</v>
      </c>
      <c r="M31" s="104">
        <v>4776233</v>
      </c>
      <c r="N31" s="104">
        <v>4938725.4410606185</v>
      </c>
      <c r="O31" s="104">
        <v>-162492.4410606185</v>
      </c>
      <c r="P31" s="104">
        <v>503534</v>
      </c>
      <c r="Q31" s="104">
        <v>3541082</v>
      </c>
      <c r="R31" s="104">
        <v>1977768</v>
      </c>
      <c r="S31" s="104">
        <v>915802.29648444802</v>
      </c>
      <c r="T31" s="104">
        <v>1061965.703515552</v>
      </c>
      <c r="U31" s="104">
        <v>5518850</v>
      </c>
      <c r="V31" s="104">
        <v>1582593</v>
      </c>
      <c r="W31" s="104">
        <v>35270</v>
      </c>
      <c r="X31" s="104">
        <v>42000</v>
      </c>
      <c r="Y31" s="104">
        <v>-6730</v>
      </c>
      <c r="Z31" s="104">
        <v>1617863</v>
      </c>
      <c r="AA31" s="104">
        <v>696793</v>
      </c>
      <c r="AB31" s="104">
        <v>-7468</v>
      </c>
      <c r="AC31" s="104">
        <v>33232</v>
      </c>
      <c r="AD31" s="104">
        <v>-40700</v>
      </c>
      <c r="AE31" s="104">
        <v>689325</v>
      </c>
    </row>
    <row r="32" spans="1:31" ht="14.4" customHeight="1">
      <c r="A32" s="98">
        <v>2021</v>
      </c>
      <c r="B32" s="98">
        <v>2</v>
      </c>
      <c r="C32" s="98" t="s">
        <v>218</v>
      </c>
      <c r="D32" s="105">
        <v>20291881</v>
      </c>
      <c r="E32" s="105">
        <v>20155296</v>
      </c>
      <c r="F32" s="105">
        <v>5861476</v>
      </c>
      <c r="G32" s="105">
        <v>-44476</v>
      </c>
      <c r="H32" s="105">
        <v>-47551.285000000003</v>
      </c>
      <c r="I32" s="105">
        <v>0</v>
      </c>
      <c r="J32" s="105">
        <v>3075.2850000000035</v>
      </c>
      <c r="K32" s="105">
        <v>5817000</v>
      </c>
      <c r="L32" s="105">
        <v>-398566</v>
      </c>
      <c r="M32" s="105">
        <v>238401</v>
      </c>
      <c r="N32" s="105">
        <v>231817.31896186288</v>
      </c>
      <c r="O32" s="105">
        <v>6583.6810381371179</v>
      </c>
      <c r="P32" s="105">
        <v>-160165</v>
      </c>
      <c r="Q32" s="105">
        <v>12612960</v>
      </c>
      <c r="R32" s="105">
        <v>-369234</v>
      </c>
      <c r="S32" s="105">
        <v>709065.82878136192</v>
      </c>
      <c r="T32" s="105">
        <v>-1078299.8287813619</v>
      </c>
      <c r="U32" s="105">
        <v>12243726</v>
      </c>
      <c r="V32" s="105">
        <v>1360064</v>
      </c>
      <c r="W32" s="105">
        <v>41927</v>
      </c>
      <c r="X32" s="105">
        <v>42000</v>
      </c>
      <c r="Y32" s="105">
        <v>-73</v>
      </c>
      <c r="Z32" s="105">
        <v>1401991</v>
      </c>
      <c r="AA32" s="105">
        <v>855947</v>
      </c>
      <c r="AB32" s="105">
        <v>-3203</v>
      </c>
      <c r="AC32" s="105">
        <v>14291</v>
      </c>
      <c r="AD32" s="105">
        <v>-17494</v>
      </c>
      <c r="AE32" s="105">
        <v>852744</v>
      </c>
    </row>
    <row r="33" spans="1:31" ht="14.4" customHeight="1">
      <c r="A33" s="98">
        <v>2021</v>
      </c>
      <c r="B33" s="98">
        <v>3</v>
      </c>
      <c r="C33" s="98" t="s">
        <v>219</v>
      </c>
      <c r="D33" s="105">
        <v>10642327</v>
      </c>
      <c r="E33" s="105">
        <v>9419185</v>
      </c>
      <c r="F33" s="105">
        <v>5239496</v>
      </c>
      <c r="G33" s="105">
        <v>61843</v>
      </c>
      <c r="H33" s="105">
        <v>52184.627999999997</v>
      </c>
      <c r="I33" s="105">
        <v>0</v>
      </c>
      <c r="J33" s="105">
        <v>9658.372000000003</v>
      </c>
      <c r="K33" s="105">
        <v>5301339</v>
      </c>
      <c r="L33" s="105">
        <v>85810</v>
      </c>
      <c r="M33" s="105">
        <v>-304965</v>
      </c>
      <c r="N33" s="105">
        <v>-311080.18318861839</v>
      </c>
      <c r="O33" s="105">
        <v>6115.1831886183936</v>
      </c>
      <c r="P33" s="105">
        <v>-219155</v>
      </c>
      <c r="Q33" s="105">
        <v>3298077</v>
      </c>
      <c r="R33" s="105">
        <v>-1021567</v>
      </c>
      <c r="S33" s="105">
        <v>-1017988.9054915134</v>
      </c>
      <c r="T33" s="105">
        <v>-3578.0945084865671</v>
      </c>
      <c r="U33" s="105">
        <v>2276510</v>
      </c>
      <c r="V33" s="105">
        <v>1459378</v>
      </c>
      <c r="W33" s="105">
        <v>42771</v>
      </c>
      <c r="X33" s="105">
        <v>42000</v>
      </c>
      <c r="Y33" s="105">
        <v>771</v>
      </c>
      <c r="Z33" s="105">
        <v>1502149</v>
      </c>
      <c r="AA33" s="105">
        <v>559566</v>
      </c>
      <c r="AB33" s="105">
        <v>-1224</v>
      </c>
      <c r="AC33" s="105">
        <v>24802</v>
      </c>
      <c r="AD33" s="105">
        <v>-26026</v>
      </c>
      <c r="AE33" s="105">
        <v>558342</v>
      </c>
    </row>
    <row r="34" spans="1:31" ht="14.4" customHeight="1">
      <c r="A34" s="98">
        <v>2021</v>
      </c>
      <c r="B34" s="98">
        <v>4</v>
      </c>
      <c r="C34" s="98" t="s">
        <v>220</v>
      </c>
      <c r="D34" s="105">
        <v>27248549</v>
      </c>
      <c r="E34" s="105">
        <v>28715534</v>
      </c>
      <c r="F34" s="105">
        <v>8711677</v>
      </c>
      <c r="G34" s="105">
        <v>1865024</v>
      </c>
      <c r="H34" s="105">
        <v>1687212.2649999999</v>
      </c>
      <c r="I34" s="105">
        <v>0</v>
      </c>
      <c r="J34" s="105">
        <v>177811.7350000001</v>
      </c>
      <c r="K34" s="105">
        <v>10576701</v>
      </c>
      <c r="L34" s="105">
        <v>7357963</v>
      </c>
      <c r="M34" s="105">
        <v>-14155</v>
      </c>
      <c r="N34" s="105">
        <v>-47737.856515505817</v>
      </c>
      <c r="O34" s="105">
        <v>33582.856515505817</v>
      </c>
      <c r="P34" s="105">
        <v>7343808</v>
      </c>
      <c r="Q34" s="105">
        <v>8395870</v>
      </c>
      <c r="R34" s="105">
        <v>-182022</v>
      </c>
      <c r="S34" s="105">
        <v>-279517.26906291849</v>
      </c>
      <c r="T34" s="105">
        <v>97495.269062918494</v>
      </c>
      <c r="U34" s="105">
        <v>8213848</v>
      </c>
      <c r="V34" s="105">
        <v>1887885</v>
      </c>
      <c r="W34" s="105">
        <v>42282</v>
      </c>
      <c r="X34" s="105">
        <v>42000</v>
      </c>
      <c r="Y34" s="105">
        <v>282</v>
      </c>
      <c r="Z34" s="105">
        <v>1930167</v>
      </c>
      <c r="AA34" s="105">
        <v>895154</v>
      </c>
      <c r="AB34" s="105">
        <v>-244144</v>
      </c>
      <c r="AC34" s="105">
        <v>-231462</v>
      </c>
      <c r="AD34" s="105">
        <v>-12682</v>
      </c>
      <c r="AE34" s="105">
        <v>651010</v>
      </c>
    </row>
    <row r="35" spans="1:31" ht="14.4" customHeight="1">
      <c r="A35" s="98">
        <v>2021</v>
      </c>
      <c r="B35" s="98">
        <v>5</v>
      </c>
      <c r="C35" s="98" t="s">
        <v>221</v>
      </c>
      <c r="D35" s="105">
        <v>8760139</v>
      </c>
      <c r="E35" s="105">
        <v>9536061</v>
      </c>
      <c r="F35" s="105">
        <v>3030951</v>
      </c>
      <c r="G35" s="105">
        <v>-60275</v>
      </c>
      <c r="H35" s="105">
        <v>-63569.022000000346</v>
      </c>
      <c r="I35" s="105">
        <v>0</v>
      </c>
      <c r="J35" s="105">
        <v>3294.0220000003465</v>
      </c>
      <c r="K35" s="105">
        <v>2970676</v>
      </c>
      <c r="L35" s="105">
        <v>232627</v>
      </c>
      <c r="M35" s="105">
        <v>-186271</v>
      </c>
      <c r="N35" s="105">
        <v>-109442.4929817626</v>
      </c>
      <c r="O35" s="105">
        <v>-76828.507018237404</v>
      </c>
      <c r="P35" s="105">
        <v>46356</v>
      </c>
      <c r="Q35" s="105">
        <v>3167985</v>
      </c>
      <c r="R35" s="105">
        <v>942743</v>
      </c>
      <c r="S35" s="105">
        <v>923930.93558126199</v>
      </c>
      <c r="T35" s="105">
        <v>18812.064418738009</v>
      </c>
      <c r="U35" s="105">
        <v>4110728</v>
      </c>
      <c r="V35" s="105">
        <v>1440749</v>
      </c>
      <c r="W35" s="105">
        <v>42233</v>
      </c>
      <c r="X35" s="105">
        <v>42000</v>
      </c>
      <c r="Y35" s="105">
        <v>233</v>
      </c>
      <c r="Z35" s="105">
        <v>1482982</v>
      </c>
      <c r="AA35" s="105">
        <v>887827</v>
      </c>
      <c r="AB35" s="105">
        <v>37492</v>
      </c>
      <c r="AC35" s="105">
        <v>32028</v>
      </c>
      <c r="AD35" s="105">
        <v>5464</v>
      </c>
      <c r="AE35" s="105">
        <v>925319</v>
      </c>
    </row>
    <row r="36" spans="1:31" ht="14.4" customHeight="1">
      <c r="A36" s="98">
        <v>2021</v>
      </c>
      <c r="B36" s="98">
        <v>6</v>
      </c>
      <c r="C36" s="98" t="s">
        <v>222</v>
      </c>
      <c r="D36" s="105">
        <v>8936933</v>
      </c>
      <c r="E36" s="105">
        <v>7994659</v>
      </c>
      <c r="F36" s="105">
        <v>3117316</v>
      </c>
      <c r="G36" s="105">
        <v>-805434</v>
      </c>
      <c r="H36" s="105">
        <v>-813117.57499999972</v>
      </c>
      <c r="I36" s="105">
        <v>0</v>
      </c>
      <c r="J36" s="105">
        <v>7683.5749999997206</v>
      </c>
      <c r="K36" s="105">
        <v>2311882</v>
      </c>
      <c r="L36" s="105">
        <v>165957</v>
      </c>
      <c r="M36" s="105">
        <v>-34843</v>
      </c>
      <c r="N36" s="105">
        <v>-36687.619843488792</v>
      </c>
      <c r="O36" s="105">
        <v>1844.619843488792</v>
      </c>
      <c r="P36" s="105">
        <v>131114</v>
      </c>
      <c r="Q36" s="105">
        <v>2979997</v>
      </c>
      <c r="R36" s="105">
        <v>-39822</v>
      </c>
      <c r="S36" s="105">
        <v>-39822.195090294466</v>
      </c>
      <c r="T36" s="105">
        <v>0.19509029446635395</v>
      </c>
      <c r="U36" s="105">
        <v>2940175</v>
      </c>
      <c r="V36" s="105">
        <v>1670380</v>
      </c>
      <c r="W36" s="105">
        <v>41106</v>
      </c>
      <c r="X36" s="105">
        <v>41000</v>
      </c>
      <c r="Y36" s="105">
        <v>106</v>
      </c>
      <c r="Z36" s="105">
        <v>1711486</v>
      </c>
      <c r="AA36" s="105">
        <v>1003283</v>
      </c>
      <c r="AB36" s="105">
        <v>-103281</v>
      </c>
      <c r="AC36" s="105">
        <v>-103222</v>
      </c>
      <c r="AD36" s="105">
        <v>-59</v>
      </c>
      <c r="AE36" s="105">
        <v>900002</v>
      </c>
    </row>
    <row r="37" spans="1:31" ht="14.4" customHeight="1">
      <c r="A37" s="98">
        <v>2021</v>
      </c>
      <c r="B37" s="98">
        <v>7</v>
      </c>
      <c r="C37" s="98" t="s">
        <v>223</v>
      </c>
      <c r="D37" s="105">
        <v>33476504</v>
      </c>
      <c r="E37" s="105">
        <v>32061652</v>
      </c>
      <c r="F37" s="105">
        <v>19892178</v>
      </c>
      <c r="G37" s="105">
        <v>-725253</v>
      </c>
      <c r="H37" s="105">
        <v>-733998.38199999998</v>
      </c>
      <c r="I37" s="105">
        <v>0</v>
      </c>
      <c r="J37" s="105">
        <v>8745.3819999999832</v>
      </c>
      <c r="K37" s="105">
        <v>19166925</v>
      </c>
      <c r="L37" s="105">
        <v>587245</v>
      </c>
      <c r="M37" s="105">
        <v>39761</v>
      </c>
      <c r="N37" s="105">
        <v>39914.30804513389</v>
      </c>
      <c r="O37" s="105">
        <v>-153.30804513389012</v>
      </c>
      <c r="P37" s="105">
        <v>627006</v>
      </c>
      <c r="Q37" s="105">
        <v>10574197</v>
      </c>
      <c r="R37" s="105">
        <v>-869411</v>
      </c>
      <c r="S37" s="105">
        <v>-869410.88084386918</v>
      </c>
      <c r="T37" s="105">
        <v>-0.11915613082237542</v>
      </c>
      <c r="U37" s="105">
        <v>9704786</v>
      </c>
      <c r="V37" s="105">
        <v>1744904</v>
      </c>
      <c r="W37" s="105">
        <v>43477</v>
      </c>
      <c r="X37" s="105">
        <v>41000</v>
      </c>
      <c r="Y37" s="105">
        <v>2477</v>
      </c>
      <c r="Z37" s="105">
        <v>1788381</v>
      </c>
      <c r="AA37" s="105">
        <v>677980</v>
      </c>
      <c r="AB37" s="105">
        <v>96574</v>
      </c>
      <c r="AC37" s="105">
        <v>66465</v>
      </c>
      <c r="AD37" s="105">
        <v>30109</v>
      </c>
      <c r="AE37" s="105">
        <v>774554</v>
      </c>
    </row>
    <row r="38" spans="1:31" ht="14.4" customHeight="1">
      <c r="A38" s="98">
        <v>2021</v>
      </c>
      <c r="B38" s="98">
        <v>8</v>
      </c>
      <c r="C38" s="98" t="s">
        <v>224</v>
      </c>
      <c r="D38" s="105">
        <v>17914983</v>
      </c>
      <c r="E38" s="105">
        <v>18523790</v>
      </c>
      <c r="F38" s="105">
        <v>5634885</v>
      </c>
      <c r="G38" s="105">
        <v>-360665</v>
      </c>
      <c r="H38" s="105">
        <v>-356756.68999999994</v>
      </c>
      <c r="I38" s="105">
        <v>0</v>
      </c>
      <c r="J38" s="105">
        <v>-3908.3100000000559</v>
      </c>
      <c r="K38" s="105">
        <v>5274220</v>
      </c>
      <c r="L38" s="105">
        <v>5595602</v>
      </c>
      <c r="M38" s="105">
        <v>-15897</v>
      </c>
      <c r="N38" s="105">
        <v>-19645.959309940794</v>
      </c>
      <c r="O38" s="105">
        <v>3748.9593099407939</v>
      </c>
      <c r="P38" s="105">
        <v>5579705</v>
      </c>
      <c r="Q38" s="105">
        <v>4059823</v>
      </c>
      <c r="R38" s="105">
        <v>975631</v>
      </c>
      <c r="S38" s="105">
        <v>988275.35339380789</v>
      </c>
      <c r="T38" s="105">
        <v>-12644.353393807891</v>
      </c>
      <c r="U38" s="105">
        <v>5035454</v>
      </c>
      <c r="V38" s="105">
        <v>1796865</v>
      </c>
      <c r="W38" s="105">
        <v>41048</v>
      </c>
      <c r="X38" s="105">
        <v>41000</v>
      </c>
      <c r="Y38" s="105">
        <v>48</v>
      </c>
      <c r="Z38" s="105">
        <v>1837913</v>
      </c>
      <c r="AA38" s="105">
        <v>827808</v>
      </c>
      <c r="AB38" s="105">
        <v>-31310</v>
      </c>
      <c r="AC38" s="105">
        <v>-1113</v>
      </c>
      <c r="AD38" s="105">
        <v>-30197</v>
      </c>
      <c r="AE38" s="105">
        <v>796498</v>
      </c>
    </row>
    <row r="39" spans="1:31" ht="14.4" customHeight="1">
      <c r="A39" s="98">
        <v>2021</v>
      </c>
      <c r="B39" s="98">
        <v>9</v>
      </c>
      <c r="C39" s="98" t="s">
        <v>225</v>
      </c>
      <c r="D39" s="105">
        <v>12049719</v>
      </c>
      <c r="E39" s="105">
        <v>11270572</v>
      </c>
      <c r="F39" s="105">
        <v>4811291</v>
      </c>
      <c r="G39" s="105">
        <v>-255038</v>
      </c>
      <c r="H39" s="105">
        <v>-262972.41700000002</v>
      </c>
      <c r="I39" s="105">
        <v>0</v>
      </c>
      <c r="J39" s="105">
        <v>7934.4170000000158</v>
      </c>
      <c r="K39" s="105">
        <v>4556253</v>
      </c>
      <c r="L39" s="105">
        <v>158163</v>
      </c>
      <c r="M39" s="105">
        <v>-118464</v>
      </c>
      <c r="N39" s="105">
        <v>-119521.82500000001</v>
      </c>
      <c r="O39" s="105">
        <v>1057.8250000000116</v>
      </c>
      <c r="P39" s="105">
        <v>39699</v>
      </c>
      <c r="Q39" s="105">
        <v>4101179</v>
      </c>
      <c r="R39" s="105">
        <v>-480634</v>
      </c>
      <c r="S39" s="105">
        <v>-474144.90590771736</v>
      </c>
      <c r="T39" s="105">
        <v>-6489.0940922826412</v>
      </c>
      <c r="U39" s="105">
        <v>3620545</v>
      </c>
      <c r="V39" s="105">
        <v>1887289</v>
      </c>
      <c r="W39" s="105">
        <v>41014</v>
      </c>
      <c r="X39" s="105">
        <v>41000</v>
      </c>
      <c r="Y39" s="105">
        <v>14</v>
      </c>
      <c r="Z39" s="105">
        <v>1928303</v>
      </c>
      <c r="AA39" s="105">
        <v>1091797</v>
      </c>
      <c r="AB39" s="105">
        <v>33975</v>
      </c>
      <c r="AC39" s="105">
        <v>34005</v>
      </c>
      <c r="AD39" s="105">
        <v>-30</v>
      </c>
      <c r="AE39" s="105">
        <v>1125772</v>
      </c>
    </row>
    <row r="40" spans="1:31" ht="14.4" customHeight="1">
      <c r="A40" s="98">
        <v>2021</v>
      </c>
      <c r="B40" s="98">
        <v>10</v>
      </c>
      <c r="C40" s="98" t="s">
        <v>226</v>
      </c>
      <c r="D40" s="105">
        <v>37493629</v>
      </c>
      <c r="E40" s="105">
        <v>36601451</v>
      </c>
      <c r="F40" s="105">
        <v>10722464</v>
      </c>
      <c r="G40" s="105">
        <v>106378</v>
      </c>
      <c r="H40" s="105">
        <v>178900.12999999989</v>
      </c>
      <c r="I40" s="105">
        <v>0</v>
      </c>
      <c r="J40" s="105">
        <v>-72522.129999999888</v>
      </c>
      <c r="K40" s="105">
        <v>10828842</v>
      </c>
      <c r="L40" s="105">
        <v>12966400</v>
      </c>
      <c r="M40" s="105">
        <v>-423405</v>
      </c>
      <c r="N40" s="105">
        <v>-406257.35389615281</v>
      </c>
      <c r="O40" s="105">
        <v>-17147.64610384719</v>
      </c>
      <c r="P40" s="105">
        <v>12542995</v>
      </c>
      <c r="Q40" s="105">
        <v>11172157</v>
      </c>
      <c r="R40" s="105">
        <v>-602216</v>
      </c>
      <c r="S40" s="105">
        <v>-510259.18677578849</v>
      </c>
      <c r="T40" s="105">
        <v>-91956.81322421151</v>
      </c>
      <c r="U40" s="105">
        <v>10569941</v>
      </c>
      <c r="V40" s="105">
        <v>1837870</v>
      </c>
      <c r="W40" s="105">
        <v>41062</v>
      </c>
      <c r="X40" s="105">
        <v>41000</v>
      </c>
      <c r="Y40" s="105">
        <v>62</v>
      </c>
      <c r="Z40" s="105">
        <v>1878932</v>
      </c>
      <c r="AA40" s="105">
        <v>794738</v>
      </c>
      <c r="AB40" s="105">
        <v>-13997</v>
      </c>
      <c r="AC40" s="105">
        <v>-123</v>
      </c>
      <c r="AD40" s="105">
        <v>-13874</v>
      </c>
      <c r="AE40" s="105">
        <v>780741</v>
      </c>
    </row>
    <row r="41" spans="1:31" ht="14.4" customHeight="1">
      <c r="A41" s="98">
        <v>2021</v>
      </c>
      <c r="B41" s="98">
        <v>11</v>
      </c>
      <c r="C41" s="98" t="s">
        <v>227</v>
      </c>
      <c r="D41" s="105">
        <v>15460224</v>
      </c>
      <c r="E41" s="105">
        <v>15176529</v>
      </c>
      <c r="F41" s="105">
        <v>8338623</v>
      </c>
      <c r="G41" s="105">
        <v>171413</v>
      </c>
      <c r="H41" s="105">
        <v>156908.44800000003</v>
      </c>
      <c r="I41" s="105">
        <v>0</v>
      </c>
      <c r="J41" s="105">
        <v>14504.551999999967</v>
      </c>
      <c r="K41" s="105">
        <v>8510036</v>
      </c>
      <c r="L41" s="105">
        <v>101424</v>
      </c>
      <c r="M41" s="105">
        <v>-510991</v>
      </c>
      <c r="N41" s="105">
        <v>-509793.63936679868</v>
      </c>
      <c r="O41" s="105">
        <v>-1197.3606332013151</v>
      </c>
      <c r="P41" s="105">
        <v>-409567</v>
      </c>
      <c r="Q41" s="105">
        <v>4700211</v>
      </c>
      <c r="R41" s="105">
        <v>-38350</v>
      </c>
      <c r="S41" s="105">
        <v>-36230.040396592987</v>
      </c>
      <c r="T41" s="105">
        <v>-2119.9596034070128</v>
      </c>
      <c r="U41" s="105">
        <v>4661861</v>
      </c>
      <c r="V41" s="105">
        <v>1518278</v>
      </c>
      <c r="W41" s="105">
        <v>42297</v>
      </c>
      <c r="X41" s="105">
        <v>42000</v>
      </c>
      <c r="Y41" s="105">
        <v>297</v>
      </c>
      <c r="Z41" s="105">
        <v>1560575</v>
      </c>
      <c r="AA41" s="105">
        <v>801688</v>
      </c>
      <c r="AB41" s="105">
        <v>51936</v>
      </c>
      <c r="AC41" s="105">
        <v>33169</v>
      </c>
      <c r="AD41" s="105">
        <v>18767</v>
      </c>
      <c r="AE41" s="105">
        <v>853624</v>
      </c>
    </row>
    <row r="42" spans="1:31" ht="14.4" customHeight="1">
      <c r="A42" s="98">
        <v>2021</v>
      </c>
      <c r="B42" s="98">
        <v>12</v>
      </c>
      <c r="C42" s="98" t="s">
        <v>228</v>
      </c>
      <c r="D42" s="105">
        <v>16514433</v>
      </c>
      <c r="E42" s="105">
        <v>13607770</v>
      </c>
      <c r="F42" s="105">
        <v>6137792</v>
      </c>
      <c r="G42" s="105">
        <v>162053</v>
      </c>
      <c r="H42" s="105">
        <v>147180.08500000002</v>
      </c>
      <c r="I42" s="105">
        <v>0</v>
      </c>
      <c r="J42" s="105">
        <v>14872.914999999979</v>
      </c>
      <c r="K42" s="105">
        <v>6299845</v>
      </c>
      <c r="L42" s="105">
        <v>4046811</v>
      </c>
      <c r="M42" s="105">
        <v>-2095015</v>
      </c>
      <c r="N42" s="105">
        <v>-2094631.5689486982</v>
      </c>
      <c r="O42" s="105">
        <v>-383.43105130176991</v>
      </c>
      <c r="P42" s="105">
        <v>1951796</v>
      </c>
      <c r="Q42" s="105">
        <v>3894814</v>
      </c>
      <c r="R42" s="105">
        <v>-1086901</v>
      </c>
      <c r="S42" s="105">
        <v>-1086581.4516099319</v>
      </c>
      <c r="T42" s="105">
        <v>-319.5483900681138</v>
      </c>
      <c r="U42" s="105">
        <v>2807913</v>
      </c>
      <c r="V42" s="105">
        <v>1542340</v>
      </c>
      <c r="W42" s="105">
        <v>43526</v>
      </c>
      <c r="X42" s="105">
        <v>43000</v>
      </c>
      <c r="Y42" s="105">
        <v>526</v>
      </c>
      <c r="Z42" s="105">
        <v>1585866</v>
      </c>
      <c r="AA42" s="105">
        <v>892676</v>
      </c>
      <c r="AB42" s="105">
        <v>69674</v>
      </c>
      <c r="AC42" s="105">
        <v>31456</v>
      </c>
      <c r="AD42" s="105">
        <v>38218</v>
      </c>
      <c r="AE42" s="105">
        <v>962350</v>
      </c>
    </row>
    <row r="43" spans="1:31" ht="14.4" customHeight="1">
      <c r="A43" s="96">
        <v>2022</v>
      </c>
      <c r="B43" s="96">
        <v>1</v>
      </c>
      <c r="C43" s="97" t="s">
        <v>217</v>
      </c>
      <c r="D43" s="105">
        <v>18998268</v>
      </c>
      <c r="E43" s="105">
        <v>25481062</v>
      </c>
      <c r="F43" s="105">
        <v>13916943</v>
      </c>
      <c r="G43" s="105">
        <v>336187</v>
      </c>
      <c r="H43" s="105">
        <v>209734.26799999998</v>
      </c>
      <c r="I43" s="105">
        <v>1956</v>
      </c>
      <c r="J43" s="105">
        <v>124496.73200000002</v>
      </c>
      <c r="K43" s="105">
        <v>14253130</v>
      </c>
      <c r="L43" s="105">
        <v>-2755263</v>
      </c>
      <c r="M43" s="105">
        <v>3308736</v>
      </c>
      <c r="N43" s="105">
        <v>3418625.0827981848</v>
      </c>
      <c r="O43" s="105">
        <v>-109889.08279818483</v>
      </c>
      <c r="P43" s="105">
        <v>553473</v>
      </c>
      <c r="Q43" s="105">
        <v>5179712</v>
      </c>
      <c r="R43" s="105">
        <v>2763614</v>
      </c>
      <c r="S43" s="105">
        <v>1037613.6800659613</v>
      </c>
      <c r="T43" s="105">
        <v>1726000.3199340387</v>
      </c>
      <c r="U43" s="105">
        <v>7943326</v>
      </c>
      <c r="V43" s="105">
        <v>1688498</v>
      </c>
      <c r="W43" s="105">
        <v>42000</v>
      </c>
      <c r="X43" s="105">
        <v>42000</v>
      </c>
      <c r="Y43" s="105">
        <v>0</v>
      </c>
      <c r="Z43" s="105">
        <v>1730498</v>
      </c>
      <c r="AA43" s="105">
        <v>968378</v>
      </c>
      <c r="AB43" s="105">
        <v>32257</v>
      </c>
      <c r="AC43" s="105">
        <v>32257</v>
      </c>
      <c r="AD43" s="105">
        <v>0</v>
      </c>
      <c r="AE43" s="105">
        <v>1000635</v>
      </c>
    </row>
    <row r="44" spans="1:31" ht="14.4" customHeight="1">
      <c r="A44" s="98">
        <v>2022</v>
      </c>
      <c r="B44" s="98">
        <v>2</v>
      </c>
      <c r="C44" s="98" t="s">
        <v>218</v>
      </c>
      <c r="D44" s="105">
        <v>23361192</v>
      </c>
      <c r="E44" s="105">
        <v>22955993</v>
      </c>
      <c r="F44" s="105">
        <v>6772693</v>
      </c>
      <c r="G44" s="105">
        <v>-62638</v>
      </c>
      <c r="H44" s="105">
        <v>-78251.91</v>
      </c>
      <c r="I44" s="105">
        <v>-1956</v>
      </c>
      <c r="J44" s="105">
        <v>17569.910000000003</v>
      </c>
      <c r="K44" s="105">
        <v>6710055</v>
      </c>
      <c r="L44" s="105">
        <v>-49922</v>
      </c>
      <c r="M44" s="105">
        <v>37281</v>
      </c>
      <c r="N44" s="105">
        <v>38097.995381217392</v>
      </c>
      <c r="O44" s="105">
        <v>-816.9953812173917</v>
      </c>
      <c r="P44" s="105">
        <v>-12641</v>
      </c>
      <c r="Q44" s="105">
        <v>14288164</v>
      </c>
      <c r="R44" s="105">
        <v>-449755</v>
      </c>
      <c r="S44" s="105">
        <v>1276245.3481841257</v>
      </c>
      <c r="T44" s="105">
        <v>-1726000.3481841257</v>
      </c>
      <c r="U44" s="105">
        <v>13838409</v>
      </c>
      <c r="V44" s="105">
        <v>1505671</v>
      </c>
      <c r="W44" s="105">
        <v>42000</v>
      </c>
      <c r="X44" s="105">
        <v>42000</v>
      </c>
      <c r="Y44" s="105">
        <v>0</v>
      </c>
      <c r="Z44" s="105">
        <v>1547671</v>
      </c>
      <c r="AA44" s="105">
        <v>844586</v>
      </c>
      <c r="AB44" s="105">
        <v>27913</v>
      </c>
      <c r="AC44" s="105">
        <v>33928</v>
      </c>
      <c r="AD44" s="105">
        <v>-6015</v>
      </c>
      <c r="AE44" s="105">
        <v>872499</v>
      </c>
    </row>
    <row r="45" spans="1:31" ht="14.4" customHeight="1">
      <c r="A45" s="98">
        <v>2022</v>
      </c>
      <c r="B45" s="98">
        <v>3</v>
      </c>
      <c r="C45" s="98" t="s">
        <v>219</v>
      </c>
      <c r="D45" s="105">
        <v>12389893</v>
      </c>
      <c r="E45" s="105">
        <v>10993711</v>
      </c>
      <c r="F45" s="105">
        <v>5926282</v>
      </c>
      <c r="G45" s="105">
        <v>40480</v>
      </c>
      <c r="H45" s="105">
        <v>22909.044999999984</v>
      </c>
      <c r="I45" s="105">
        <v>0</v>
      </c>
      <c r="J45" s="105">
        <v>17570.955000000016</v>
      </c>
      <c r="K45" s="105">
        <v>5966762</v>
      </c>
      <c r="L45" s="105">
        <v>122988</v>
      </c>
      <c r="M45" s="105">
        <v>-131069</v>
      </c>
      <c r="N45" s="105">
        <v>-180738.18331678561</v>
      </c>
      <c r="O45" s="105">
        <v>49669.183316785609</v>
      </c>
      <c r="P45" s="105">
        <v>-8081</v>
      </c>
      <c r="Q45" s="105">
        <v>4118373</v>
      </c>
      <c r="R45" s="105">
        <v>-1341959</v>
      </c>
      <c r="S45" s="105">
        <v>-1341958.9049418287</v>
      </c>
      <c r="T45" s="105">
        <v>-9.505817131139338E-2</v>
      </c>
      <c r="U45" s="105">
        <v>2776414</v>
      </c>
      <c r="V45" s="105">
        <v>1525373</v>
      </c>
      <c r="W45" s="105">
        <v>42000</v>
      </c>
      <c r="X45" s="105">
        <v>42000</v>
      </c>
      <c r="Y45" s="105">
        <v>0</v>
      </c>
      <c r="Z45" s="105">
        <v>1567373</v>
      </c>
      <c r="AA45" s="105">
        <v>696877</v>
      </c>
      <c r="AB45" s="105">
        <v>-5634</v>
      </c>
      <c r="AC45" s="105">
        <v>26750</v>
      </c>
      <c r="AD45" s="105">
        <v>-32384</v>
      </c>
      <c r="AE45" s="105">
        <v>691243</v>
      </c>
    </row>
    <row r="46" spans="1:31" ht="14.4" customHeight="1">
      <c r="A46" s="98">
        <v>2022</v>
      </c>
      <c r="B46" s="98">
        <v>4</v>
      </c>
      <c r="C46" s="98" t="s">
        <v>220</v>
      </c>
      <c r="D46" s="105">
        <v>31172404</v>
      </c>
      <c r="E46" s="105">
        <v>32167901</v>
      </c>
      <c r="F46" s="105">
        <v>10663831</v>
      </c>
      <c r="G46" s="105">
        <v>1648121</v>
      </c>
      <c r="H46" s="105">
        <v>1630551.15</v>
      </c>
      <c r="I46" s="105">
        <v>0</v>
      </c>
      <c r="J46" s="105">
        <v>17569.850000000093</v>
      </c>
      <c r="K46" s="105">
        <v>12311952</v>
      </c>
      <c r="L46" s="105">
        <v>7372183</v>
      </c>
      <c r="M46" s="105">
        <v>59775</v>
      </c>
      <c r="N46" s="105">
        <v>-102437.07589837204</v>
      </c>
      <c r="O46" s="105">
        <v>162212.07589837204</v>
      </c>
      <c r="P46" s="105">
        <v>7431958</v>
      </c>
      <c r="Q46" s="105">
        <v>9816022</v>
      </c>
      <c r="R46" s="105">
        <v>-415754</v>
      </c>
      <c r="S46" s="105">
        <v>-272753.83668067667</v>
      </c>
      <c r="T46" s="105">
        <v>-143000.16331932333</v>
      </c>
      <c r="U46" s="105">
        <v>9400268</v>
      </c>
      <c r="V46" s="105">
        <v>2009601</v>
      </c>
      <c r="W46" s="105">
        <v>42000</v>
      </c>
      <c r="X46" s="105">
        <v>42000</v>
      </c>
      <c r="Y46" s="105">
        <v>0</v>
      </c>
      <c r="Z46" s="105">
        <v>2051601</v>
      </c>
      <c r="AA46" s="105">
        <v>1310767</v>
      </c>
      <c r="AB46" s="105">
        <v>-338645</v>
      </c>
      <c r="AC46" s="105">
        <v>-364852</v>
      </c>
      <c r="AD46" s="105">
        <v>26207</v>
      </c>
      <c r="AE46" s="105">
        <v>972122</v>
      </c>
    </row>
    <row r="47" spans="1:31" ht="14.4" customHeight="1">
      <c r="A47" s="98">
        <v>2022</v>
      </c>
      <c r="B47" s="98">
        <v>5</v>
      </c>
      <c r="C47" s="98" t="s">
        <v>221</v>
      </c>
      <c r="D47" s="105">
        <v>11175185</v>
      </c>
      <c r="E47" s="105">
        <v>11926930</v>
      </c>
      <c r="F47" s="105">
        <v>3932539</v>
      </c>
      <c r="G47" s="105">
        <v>133682</v>
      </c>
      <c r="H47" s="105">
        <v>116110.60000000009</v>
      </c>
      <c r="I47" s="105">
        <v>0</v>
      </c>
      <c r="J47" s="105">
        <v>17571.399999999907</v>
      </c>
      <c r="K47" s="105">
        <v>4066221</v>
      </c>
      <c r="L47" s="105">
        <v>384175</v>
      </c>
      <c r="M47" s="105">
        <v>-166364</v>
      </c>
      <c r="N47" s="105">
        <v>-59361.369590943097</v>
      </c>
      <c r="O47" s="105">
        <v>-107002.6304090569</v>
      </c>
      <c r="P47" s="105">
        <v>217811</v>
      </c>
      <c r="Q47" s="105">
        <v>4253761</v>
      </c>
      <c r="R47" s="105">
        <v>751950</v>
      </c>
      <c r="S47" s="105">
        <v>751949.98358381598</v>
      </c>
      <c r="T47" s="105">
        <v>1.6416184022091329E-2</v>
      </c>
      <c r="U47" s="105">
        <v>5005711</v>
      </c>
      <c r="V47" s="105">
        <v>1611892</v>
      </c>
      <c r="W47" s="105">
        <v>42000</v>
      </c>
      <c r="X47" s="105">
        <v>42000</v>
      </c>
      <c r="Y47" s="105">
        <v>0</v>
      </c>
      <c r="Z47" s="105">
        <v>1653892</v>
      </c>
      <c r="AA47" s="105">
        <v>992818</v>
      </c>
      <c r="AB47" s="105">
        <v>-9523</v>
      </c>
      <c r="AC47" s="105">
        <v>19544</v>
      </c>
      <c r="AD47" s="105">
        <v>-29067</v>
      </c>
      <c r="AE47" s="105">
        <v>983295</v>
      </c>
    </row>
    <row r="48" spans="1:31" ht="14.4" customHeight="1">
      <c r="A48" s="98">
        <v>2022</v>
      </c>
      <c r="B48" s="98">
        <v>6</v>
      </c>
      <c r="C48" s="98" t="s">
        <v>222</v>
      </c>
      <c r="D48" s="105">
        <v>9911943</v>
      </c>
      <c r="E48" s="105">
        <v>9739035</v>
      </c>
      <c r="F48" s="105">
        <v>3735606</v>
      </c>
      <c r="G48" s="105">
        <v>-619332</v>
      </c>
      <c r="H48" s="105">
        <v>-636901.73</v>
      </c>
      <c r="I48" s="105">
        <v>0</v>
      </c>
      <c r="J48" s="105">
        <v>17569.729999999981</v>
      </c>
      <c r="K48" s="105">
        <v>3116274</v>
      </c>
      <c r="L48" s="105">
        <v>342477</v>
      </c>
      <c r="M48" s="105">
        <v>-70581</v>
      </c>
      <c r="N48" s="105">
        <v>9880.3493591422739</v>
      </c>
      <c r="O48" s="105">
        <v>-80461.349359142274</v>
      </c>
      <c r="P48" s="105">
        <v>271896</v>
      </c>
      <c r="Q48" s="105">
        <v>3332494</v>
      </c>
      <c r="R48" s="105">
        <v>401537</v>
      </c>
      <c r="S48" s="105">
        <v>401537.15153117594</v>
      </c>
      <c r="T48" s="105">
        <v>-0.15153117594309151</v>
      </c>
      <c r="U48" s="105">
        <v>3734031</v>
      </c>
      <c r="V48" s="105">
        <v>1625552</v>
      </c>
      <c r="W48" s="105">
        <v>41000</v>
      </c>
      <c r="X48" s="105">
        <v>41000</v>
      </c>
      <c r="Y48" s="105">
        <v>0</v>
      </c>
      <c r="Z48" s="105">
        <v>1666552</v>
      </c>
      <c r="AA48" s="105">
        <v>875814</v>
      </c>
      <c r="AB48" s="105">
        <v>74468</v>
      </c>
      <c r="AC48" s="105">
        <v>33209</v>
      </c>
      <c r="AD48" s="105">
        <v>41259</v>
      </c>
      <c r="AE48" s="105">
        <v>950282</v>
      </c>
    </row>
    <row r="49" spans="1:31" ht="14.4" customHeight="1">
      <c r="A49" s="98">
        <v>2022</v>
      </c>
      <c r="B49" s="98">
        <v>7</v>
      </c>
      <c r="C49" s="98" t="s">
        <v>223</v>
      </c>
      <c r="D49" s="105">
        <v>39226526</v>
      </c>
      <c r="E49" s="105">
        <v>38339661</v>
      </c>
      <c r="F49" s="105">
        <v>24211751</v>
      </c>
      <c r="G49" s="105">
        <v>-934195</v>
      </c>
      <c r="H49" s="105">
        <v>-959756.91999999993</v>
      </c>
      <c r="I49" s="105">
        <v>7991</v>
      </c>
      <c r="J49" s="105">
        <v>17570.919999999925</v>
      </c>
      <c r="K49" s="105">
        <v>23277556</v>
      </c>
      <c r="L49" s="105">
        <v>809908</v>
      </c>
      <c r="M49" s="105">
        <v>109245</v>
      </c>
      <c r="N49" s="105">
        <v>-35686.131334588747</v>
      </c>
      <c r="O49" s="105">
        <v>144931.13133458875</v>
      </c>
      <c r="P49" s="105">
        <v>919153</v>
      </c>
      <c r="Q49" s="105">
        <v>11515367</v>
      </c>
      <c r="R49" s="105">
        <v>-126622</v>
      </c>
      <c r="S49" s="105">
        <v>-126622.13845897722</v>
      </c>
      <c r="T49" s="105">
        <v>0.13845897722057998</v>
      </c>
      <c r="U49" s="105">
        <v>11388745</v>
      </c>
      <c r="V49" s="105">
        <v>1783799</v>
      </c>
      <c r="W49" s="105">
        <v>41000</v>
      </c>
      <c r="X49" s="105">
        <v>41000</v>
      </c>
      <c r="Y49" s="105">
        <v>0</v>
      </c>
      <c r="Z49" s="105">
        <v>1824799</v>
      </c>
      <c r="AA49" s="105">
        <v>905701</v>
      </c>
      <c r="AB49" s="105">
        <v>23707</v>
      </c>
      <c r="AC49" s="105">
        <v>33446</v>
      </c>
      <c r="AD49" s="105">
        <v>-9739</v>
      </c>
      <c r="AE49" s="105">
        <v>929408</v>
      </c>
    </row>
    <row r="50" spans="1:31" ht="14.4" customHeight="1">
      <c r="A50" s="98">
        <v>2022</v>
      </c>
      <c r="B50" s="98">
        <v>8</v>
      </c>
      <c r="C50" s="98" t="s">
        <v>224</v>
      </c>
      <c r="D50" s="105">
        <v>22561558</v>
      </c>
      <c r="E50" s="105">
        <v>22840211</v>
      </c>
      <c r="F50" s="105">
        <v>6141722</v>
      </c>
      <c r="G50" s="105">
        <v>-393104</v>
      </c>
      <c r="H50" s="105">
        <v>-402683.03500000003</v>
      </c>
      <c r="I50" s="105">
        <v>-7991</v>
      </c>
      <c r="J50" s="105">
        <v>17570.035000000033</v>
      </c>
      <c r="K50" s="105">
        <v>5748618</v>
      </c>
      <c r="L50" s="105">
        <v>8052936</v>
      </c>
      <c r="M50" s="105">
        <v>-50635</v>
      </c>
      <c r="N50" s="105">
        <v>27151.658569905034</v>
      </c>
      <c r="O50" s="105">
        <v>-77786.658569905034</v>
      </c>
      <c r="P50" s="105">
        <v>8002301</v>
      </c>
      <c r="Q50" s="105">
        <v>5910331</v>
      </c>
      <c r="R50" s="105">
        <v>639149</v>
      </c>
      <c r="S50" s="105">
        <v>639148.60775921238</v>
      </c>
      <c r="T50" s="105">
        <v>0.39224078762345016</v>
      </c>
      <c r="U50" s="105">
        <v>6549480</v>
      </c>
      <c r="V50" s="105">
        <v>1740581</v>
      </c>
      <c r="W50" s="105">
        <v>41000</v>
      </c>
      <c r="X50" s="105">
        <v>41000</v>
      </c>
      <c r="Y50" s="105">
        <v>0</v>
      </c>
      <c r="Z50" s="105">
        <v>1781581</v>
      </c>
      <c r="AA50" s="105">
        <v>715988</v>
      </c>
      <c r="AB50" s="105">
        <v>42243</v>
      </c>
      <c r="AC50" s="105">
        <v>68232</v>
      </c>
      <c r="AD50" s="105">
        <v>-25989</v>
      </c>
      <c r="AE50" s="105">
        <v>758231</v>
      </c>
    </row>
    <row r="51" spans="1:31" ht="14.4" customHeight="1">
      <c r="A51" s="98">
        <v>2022</v>
      </c>
      <c r="B51" s="98">
        <v>9</v>
      </c>
      <c r="C51" s="98" t="s">
        <v>225</v>
      </c>
      <c r="D51" s="105">
        <v>13033324</v>
      </c>
      <c r="E51" s="105">
        <v>11974966</v>
      </c>
      <c r="F51" s="105">
        <v>5447024</v>
      </c>
      <c r="G51" s="105">
        <v>-297744</v>
      </c>
      <c r="H51" s="105">
        <v>-315314.66500000004</v>
      </c>
      <c r="I51" s="105">
        <v>0</v>
      </c>
      <c r="J51" s="105">
        <v>17570.665000000037</v>
      </c>
      <c r="K51" s="105">
        <v>5149280</v>
      </c>
      <c r="L51" s="105">
        <v>187834</v>
      </c>
      <c r="M51" s="105">
        <v>-242184</v>
      </c>
      <c r="N51" s="105">
        <v>-276330.22500000003</v>
      </c>
      <c r="O51" s="105">
        <v>34146.225000000035</v>
      </c>
      <c r="P51" s="105">
        <v>-54350</v>
      </c>
      <c r="Q51" s="105">
        <v>4658329</v>
      </c>
      <c r="R51" s="105">
        <v>-552273</v>
      </c>
      <c r="S51" s="105">
        <v>-552272.54371787165</v>
      </c>
      <c r="T51" s="105">
        <v>-0.45628212834708393</v>
      </c>
      <c r="U51" s="105">
        <v>4106056</v>
      </c>
      <c r="V51" s="105">
        <v>1795430</v>
      </c>
      <c r="W51" s="105">
        <v>41000</v>
      </c>
      <c r="X51" s="105">
        <v>41000</v>
      </c>
      <c r="Y51" s="105">
        <v>0</v>
      </c>
      <c r="Z51" s="105">
        <v>1836430</v>
      </c>
      <c r="AA51" s="105">
        <v>944707</v>
      </c>
      <c r="AB51" s="105">
        <v>-7157</v>
      </c>
      <c r="AC51" s="105">
        <v>-153</v>
      </c>
      <c r="AD51" s="105">
        <v>-7004</v>
      </c>
      <c r="AE51" s="105">
        <v>937550</v>
      </c>
    </row>
    <row r="52" spans="1:31" ht="14.4" customHeight="1">
      <c r="A52" s="98">
        <v>2022</v>
      </c>
      <c r="B52" s="98">
        <v>10</v>
      </c>
      <c r="C52" s="98" t="s">
        <v>226</v>
      </c>
      <c r="D52" s="105">
        <v>41864280</v>
      </c>
      <c r="E52" s="105">
        <v>42838193</v>
      </c>
      <c r="F52" s="105">
        <v>11968154</v>
      </c>
      <c r="G52" s="105">
        <v>181914</v>
      </c>
      <c r="H52" s="105">
        <v>164343.70499999996</v>
      </c>
      <c r="I52" s="105">
        <v>0</v>
      </c>
      <c r="J52" s="105">
        <v>17570.295000000042</v>
      </c>
      <c r="K52" s="105">
        <v>12150068</v>
      </c>
      <c r="L52" s="105">
        <v>14920749</v>
      </c>
      <c r="M52" s="105">
        <v>957774</v>
      </c>
      <c r="N52" s="105">
        <v>-786603.38446132187</v>
      </c>
      <c r="O52" s="105">
        <v>1744377.3844613219</v>
      </c>
      <c r="P52" s="105">
        <v>15878523</v>
      </c>
      <c r="Q52" s="105">
        <v>12272787</v>
      </c>
      <c r="R52" s="105">
        <v>-179534</v>
      </c>
      <c r="S52" s="105">
        <v>-179533.53451642569</v>
      </c>
      <c r="T52" s="105">
        <v>-0.4654835743131116</v>
      </c>
      <c r="U52" s="105">
        <v>12093253</v>
      </c>
      <c r="V52" s="105">
        <v>1742027</v>
      </c>
      <c r="W52" s="105">
        <v>41000</v>
      </c>
      <c r="X52" s="105">
        <v>41000</v>
      </c>
      <c r="Y52" s="105">
        <v>0</v>
      </c>
      <c r="Z52" s="105">
        <v>1783027</v>
      </c>
      <c r="AA52" s="105">
        <v>960563</v>
      </c>
      <c r="AB52" s="105">
        <v>-27241</v>
      </c>
      <c r="AC52" s="105">
        <v>-6386</v>
      </c>
      <c r="AD52" s="105">
        <v>-20855</v>
      </c>
      <c r="AE52" s="105">
        <v>933322</v>
      </c>
    </row>
    <row r="53" spans="1:31" ht="14.4" customHeight="1">
      <c r="A53" s="98">
        <v>2022</v>
      </c>
      <c r="B53" s="98">
        <v>11</v>
      </c>
      <c r="C53" s="98" t="s">
        <v>227</v>
      </c>
      <c r="D53" s="105">
        <v>16094814</v>
      </c>
      <c r="E53" s="105">
        <v>17186556</v>
      </c>
      <c r="F53" s="105">
        <v>9873818</v>
      </c>
      <c r="G53" s="105">
        <v>184692</v>
      </c>
      <c r="H53" s="105">
        <v>167120.89000000001</v>
      </c>
      <c r="I53" s="105">
        <v>0</v>
      </c>
      <c r="J53" s="105">
        <v>17571.109999999986</v>
      </c>
      <c r="K53" s="105">
        <v>10058510</v>
      </c>
      <c r="L53" s="105">
        <v>-755205</v>
      </c>
      <c r="M53" s="105">
        <v>-178681</v>
      </c>
      <c r="N53" s="105">
        <v>-211452.56261787331</v>
      </c>
      <c r="O53" s="105">
        <v>32771.562617873307</v>
      </c>
      <c r="P53" s="105">
        <v>-933886</v>
      </c>
      <c r="Q53" s="105">
        <v>4380654</v>
      </c>
      <c r="R53" s="105">
        <v>1030979</v>
      </c>
      <c r="S53" s="105">
        <v>1030978.8221554121</v>
      </c>
      <c r="T53" s="105">
        <v>0.17784458794631064</v>
      </c>
      <c r="U53" s="105">
        <v>5411633</v>
      </c>
      <c r="V53" s="105">
        <v>1597382</v>
      </c>
      <c r="W53" s="105">
        <v>42000</v>
      </c>
      <c r="X53" s="105">
        <v>42000</v>
      </c>
      <c r="Y53" s="105">
        <v>0</v>
      </c>
      <c r="Z53" s="105">
        <v>1639382</v>
      </c>
      <c r="AA53" s="105">
        <v>998165</v>
      </c>
      <c r="AB53" s="105">
        <v>12752</v>
      </c>
      <c r="AC53" s="105">
        <v>33866</v>
      </c>
      <c r="AD53" s="105">
        <v>-21114</v>
      </c>
      <c r="AE53" s="105">
        <v>1010917</v>
      </c>
    </row>
    <row r="54" spans="1:31" ht="14.4" customHeight="1">
      <c r="A54" s="98">
        <v>2022</v>
      </c>
      <c r="B54" s="98">
        <v>12</v>
      </c>
      <c r="C54" s="98" t="s">
        <v>228</v>
      </c>
      <c r="D54" s="105">
        <v>15674050</v>
      </c>
      <c r="E54" s="105">
        <v>11855040</v>
      </c>
      <c r="F54" s="105">
        <v>6895060</v>
      </c>
      <c r="G54" s="105">
        <v>325758</v>
      </c>
      <c r="H54" s="105">
        <v>184863.89</v>
      </c>
      <c r="I54" s="105">
        <v>0</v>
      </c>
      <c r="J54" s="105">
        <v>140894.10999999999</v>
      </c>
      <c r="K54" s="105">
        <v>7220818</v>
      </c>
      <c r="L54" s="105">
        <v>3543240</v>
      </c>
      <c r="M54" s="105">
        <v>-3639437</v>
      </c>
      <c r="N54" s="105">
        <v>-3671554.5681598838</v>
      </c>
      <c r="O54" s="105">
        <v>32117.568159883842</v>
      </c>
      <c r="P54" s="105">
        <v>-96197</v>
      </c>
      <c r="Q54" s="105">
        <v>2869042</v>
      </c>
      <c r="R54" s="105">
        <v>-666843</v>
      </c>
      <c r="S54" s="105">
        <v>-666843.41859462718</v>
      </c>
      <c r="T54" s="105">
        <v>0.41859462717548013</v>
      </c>
      <c r="U54" s="105">
        <v>2202199</v>
      </c>
      <c r="V54" s="105">
        <v>1598243</v>
      </c>
      <c r="W54" s="105">
        <v>43000</v>
      </c>
      <c r="X54" s="105">
        <v>43000</v>
      </c>
      <c r="Y54" s="105">
        <v>0</v>
      </c>
      <c r="Z54" s="105">
        <v>1641243</v>
      </c>
      <c r="AA54" s="105">
        <v>768465</v>
      </c>
      <c r="AB54" s="105">
        <v>118512</v>
      </c>
      <c r="AC54" s="105">
        <v>33811</v>
      </c>
      <c r="AD54" s="105">
        <v>84701</v>
      </c>
      <c r="AE54" s="105">
        <v>886977</v>
      </c>
    </row>
    <row r="55" spans="1:31" ht="14.4" customHeight="1">
      <c r="A55" s="96">
        <v>2023</v>
      </c>
      <c r="B55" s="96">
        <v>1</v>
      </c>
      <c r="C55" s="97" t="s">
        <v>217</v>
      </c>
      <c r="D55" s="104">
        <v>17572304</v>
      </c>
      <c r="E55" s="104">
        <v>26792116</v>
      </c>
      <c r="F55" s="104">
        <v>15682742</v>
      </c>
      <c r="G55" s="104">
        <v>99392</v>
      </c>
      <c r="H55" s="104">
        <v>79543.63</v>
      </c>
      <c r="I55" s="104">
        <v>2277</v>
      </c>
      <c r="J55" s="104">
        <v>17571.369999999995</v>
      </c>
      <c r="K55" s="104">
        <v>15782134</v>
      </c>
      <c r="L55" s="104">
        <v>-5926566</v>
      </c>
      <c r="M55" s="104">
        <v>6191169</v>
      </c>
      <c r="N55" s="104">
        <v>6165234.3816564139</v>
      </c>
      <c r="O55" s="104">
        <v>25934.618343586102</v>
      </c>
      <c r="P55" s="104">
        <v>264603</v>
      </c>
      <c r="Q55" s="104">
        <v>5103568</v>
      </c>
      <c r="R55" s="104">
        <v>2848481</v>
      </c>
      <c r="S55" s="104">
        <v>1172481.1431494595</v>
      </c>
      <c r="T55" s="104">
        <v>1675999.8568505405</v>
      </c>
      <c r="U55" s="104">
        <v>7952049</v>
      </c>
      <c r="V55" s="104">
        <v>1652102</v>
      </c>
      <c r="W55" s="104">
        <v>42000</v>
      </c>
      <c r="X55" s="104">
        <v>42000</v>
      </c>
      <c r="Y55" s="104">
        <v>0</v>
      </c>
      <c r="Z55" s="104">
        <v>1694102</v>
      </c>
      <c r="AA55" s="104">
        <v>1060458</v>
      </c>
      <c r="AB55" s="104">
        <v>38770</v>
      </c>
      <c r="AC55" s="104">
        <v>38770</v>
      </c>
      <c r="AD55" s="104">
        <v>0</v>
      </c>
      <c r="AE55" s="104">
        <v>1099228</v>
      </c>
    </row>
    <row r="56" spans="1:31" ht="14.4" customHeight="1">
      <c r="A56" s="98">
        <v>2023</v>
      </c>
      <c r="B56" s="98">
        <v>2</v>
      </c>
      <c r="C56" s="98" t="s">
        <v>218</v>
      </c>
      <c r="D56" s="105">
        <v>25475465</v>
      </c>
      <c r="E56" s="105">
        <v>23753746</v>
      </c>
      <c r="F56" s="105">
        <v>7444169</v>
      </c>
      <c r="G56" s="105">
        <v>-53601</v>
      </c>
      <c r="H56" s="105">
        <v>-68688.37</v>
      </c>
      <c r="I56" s="105">
        <v>-2277</v>
      </c>
      <c r="J56" s="105">
        <v>17364.369999999995</v>
      </c>
      <c r="K56" s="105">
        <v>7390568</v>
      </c>
      <c r="L56" s="105">
        <v>-102017</v>
      </c>
      <c r="M56" s="105">
        <v>-147661</v>
      </c>
      <c r="N56" s="105">
        <v>-176788.88985586818</v>
      </c>
      <c r="O56" s="105">
        <v>29127.889855868183</v>
      </c>
      <c r="P56" s="105">
        <v>-249678</v>
      </c>
      <c r="Q56" s="105">
        <v>15782743</v>
      </c>
      <c r="R56" s="105">
        <v>-1591124</v>
      </c>
      <c r="S56" s="105">
        <v>84876.235046468209</v>
      </c>
      <c r="T56" s="105">
        <v>-1676000.2350464682</v>
      </c>
      <c r="U56" s="105">
        <v>14191619</v>
      </c>
      <c r="V56" s="105">
        <v>1426352</v>
      </c>
      <c r="W56" s="105">
        <v>42000</v>
      </c>
      <c r="X56" s="105">
        <v>42000</v>
      </c>
      <c r="Y56" s="105">
        <v>0</v>
      </c>
      <c r="Z56" s="105">
        <v>1468352</v>
      </c>
      <c r="AA56" s="105">
        <v>924218</v>
      </c>
      <c r="AB56" s="105">
        <v>28667</v>
      </c>
      <c r="AC56" s="105">
        <v>38576</v>
      </c>
      <c r="AD56" s="105">
        <v>-9909</v>
      </c>
      <c r="AE56" s="105">
        <v>952885</v>
      </c>
    </row>
    <row r="57" spans="1:31" ht="14.4" customHeight="1">
      <c r="A57" s="98">
        <v>2023</v>
      </c>
      <c r="B57" s="98">
        <v>3</v>
      </c>
      <c r="C57" s="98" t="s">
        <v>219</v>
      </c>
      <c r="D57" s="105">
        <v>13102323</v>
      </c>
      <c r="E57" s="105">
        <v>11441944</v>
      </c>
      <c r="F57" s="105">
        <v>6610548</v>
      </c>
      <c r="G57" s="105">
        <v>43332</v>
      </c>
      <c r="H57" s="105">
        <v>25966.815000000002</v>
      </c>
      <c r="I57" s="105">
        <v>0</v>
      </c>
      <c r="J57" s="105">
        <v>17365.184999999998</v>
      </c>
      <c r="K57" s="105">
        <v>6653880</v>
      </c>
      <c r="L57" s="105">
        <v>-91106</v>
      </c>
      <c r="M57" s="105">
        <v>-175992</v>
      </c>
      <c r="N57" s="105">
        <v>-330617.6461619332</v>
      </c>
      <c r="O57" s="105">
        <v>154625.6461619332</v>
      </c>
      <c r="P57" s="105">
        <v>-267098</v>
      </c>
      <c r="Q57" s="105">
        <v>4387852</v>
      </c>
      <c r="R57" s="105">
        <v>-1575686</v>
      </c>
      <c r="S57" s="105">
        <v>-1575685.8867612693</v>
      </c>
      <c r="T57" s="105">
        <v>-0.11323873070068657</v>
      </c>
      <c r="U57" s="105">
        <v>2812166</v>
      </c>
      <c r="V57" s="105">
        <v>1499350</v>
      </c>
      <c r="W57" s="105">
        <v>42000</v>
      </c>
      <c r="X57" s="105">
        <v>42000</v>
      </c>
      <c r="Y57" s="105">
        <v>0</v>
      </c>
      <c r="Z57" s="105">
        <v>1541350</v>
      </c>
      <c r="AA57" s="105">
        <v>695679</v>
      </c>
      <c r="AB57" s="105">
        <v>5967</v>
      </c>
      <c r="AC57" s="105">
        <v>29938</v>
      </c>
      <c r="AD57" s="105">
        <v>-23971</v>
      </c>
      <c r="AE57" s="105">
        <v>701646</v>
      </c>
    </row>
    <row r="58" spans="1:31" ht="14.4" customHeight="1">
      <c r="A58" s="98">
        <v>2023</v>
      </c>
      <c r="B58" s="98">
        <v>4</v>
      </c>
      <c r="C58" s="98" t="s">
        <v>220</v>
      </c>
      <c r="D58" s="105">
        <v>34528496</v>
      </c>
      <c r="E58" s="105">
        <v>35590577</v>
      </c>
      <c r="F58" s="105">
        <v>11873834</v>
      </c>
      <c r="G58" s="105">
        <v>1616110</v>
      </c>
      <c r="H58" s="105">
        <v>1590966</v>
      </c>
      <c r="I58" s="105">
        <v>0</v>
      </c>
      <c r="J58" s="105">
        <v>25144</v>
      </c>
      <c r="K58" s="105">
        <v>13489944</v>
      </c>
      <c r="L58" s="105">
        <v>9263004</v>
      </c>
      <c r="M58" s="105">
        <v>-194499</v>
      </c>
      <c r="N58" s="105">
        <v>-199695.58463257796</v>
      </c>
      <c r="O58" s="105">
        <v>5196.5846325779567</v>
      </c>
      <c r="P58" s="105">
        <v>9068505</v>
      </c>
      <c r="Q58" s="105">
        <v>10111011</v>
      </c>
      <c r="R58" s="105">
        <v>-57807</v>
      </c>
      <c r="S58" s="105">
        <v>-209439.55477208283</v>
      </c>
      <c r="T58" s="105">
        <v>151632.55477208283</v>
      </c>
      <c r="U58" s="105">
        <v>10053204</v>
      </c>
      <c r="V58" s="105">
        <v>2032581</v>
      </c>
      <c r="W58" s="105">
        <v>42000</v>
      </c>
      <c r="X58" s="105">
        <v>42000</v>
      </c>
      <c r="Y58" s="105">
        <v>0</v>
      </c>
      <c r="Z58" s="105">
        <v>2074581</v>
      </c>
      <c r="AA58" s="105">
        <v>1248066</v>
      </c>
      <c r="AB58" s="105">
        <v>-343723</v>
      </c>
      <c r="AC58" s="105">
        <v>-360181</v>
      </c>
      <c r="AD58" s="105">
        <v>16458</v>
      </c>
      <c r="AE58" s="105">
        <v>904343</v>
      </c>
    </row>
    <row r="59" spans="1:31" ht="14.4" customHeight="1">
      <c r="A59" s="98">
        <v>2023</v>
      </c>
      <c r="B59" s="98">
        <v>5</v>
      </c>
      <c r="C59" s="98" t="s">
        <v>221</v>
      </c>
      <c r="D59" s="105">
        <v>10519990</v>
      </c>
      <c r="E59" s="105">
        <v>12280475</v>
      </c>
      <c r="F59" s="105">
        <v>4494554</v>
      </c>
      <c r="G59" s="105">
        <v>-147457</v>
      </c>
      <c r="H59" s="105">
        <v>-164821</v>
      </c>
      <c r="I59" s="105">
        <v>0</v>
      </c>
      <c r="J59" s="105">
        <v>17364</v>
      </c>
      <c r="K59" s="105">
        <v>4347097</v>
      </c>
      <c r="L59" s="105">
        <v>-651594</v>
      </c>
      <c r="M59" s="105">
        <v>896228</v>
      </c>
      <c r="N59" s="105">
        <v>-129729.9320272113</v>
      </c>
      <c r="O59" s="105">
        <v>1025957.9320272113</v>
      </c>
      <c r="P59" s="105">
        <v>244634</v>
      </c>
      <c r="Q59" s="105">
        <v>4093221</v>
      </c>
      <c r="R59" s="105">
        <v>943520</v>
      </c>
      <c r="S59" s="105">
        <v>943520.12735020684</v>
      </c>
      <c r="T59" s="105">
        <v>-0.12735020683612674</v>
      </c>
      <c r="U59" s="105">
        <v>5036741</v>
      </c>
      <c r="V59" s="105">
        <v>1603842</v>
      </c>
      <c r="W59" s="105">
        <v>42000</v>
      </c>
      <c r="X59" s="105">
        <v>42000</v>
      </c>
      <c r="Y59" s="105">
        <v>0</v>
      </c>
      <c r="Z59" s="105">
        <v>1645842</v>
      </c>
      <c r="AA59" s="105">
        <v>979967</v>
      </c>
      <c r="AB59" s="105">
        <v>26194</v>
      </c>
      <c r="AC59" s="105">
        <v>26887</v>
      </c>
      <c r="AD59" s="105">
        <v>-693</v>
      </c>
      <c r="AE59" s="105">
        <v>1006161</v>
      </c>
    </row>
    <row r="60" spans="1:31" ht="14.4" customHeight="1">
      <c r="A60" s="98">
        <v>2023</v>
      </c>
      <c r="B60" s="98">
        <v>6</v>
      </c>
      <c r="C60" s="98" t="s">
        <v>222</v>
      </c>
      <c r="D60" s="105">
        <v>9843983</v>
      </c>
      <c r="E60" s="105">
        <v>9750742</v>
      </c>
      <c r="F60" s="105">
        <v>3825453</v>
      </c>
      <c r="G60" s="105">
        <v>-414780</v>
      </c>
      <c r="H60" s="105">
        <v>-431451.99999999953</v>
      </c>
      <c r="I60" s="105">
        <v>0</v>
      </c>
      <c r="J60" s="105">
        <v>16671.999999999534</v>
      </c>
      <c r="K60" s="105">
        <v>3410673</v>
      </c>
      <c r="L60" s="105">
        <v>296284</v>
      </c>
      <c r="M60" s="105">
        <v>-62140</v>
      </c>
      <c r="N60" s="105">
        <v>-62139.699032640638</v>
      </c>
      <c r="O60" s="105">
        <v>-0.30096735936240293</v>
      </c>
      <c r="P60" s="105">
        <v>234144</v>
      </c>
      <c r="Q60" s="105">
        <v>2979403</v>
      </c>
      <c r="R60" s="105">
        <v>306311</v>
      </c>
      <c r="S60" s="105">
        <v>325252.01097217936</v>
      </c>
      <c r="T60" s="105">
        <v>-18941.010972179356</v>
      </c>
      <c r="U60" s="105">
        <v>3285714</v>
      </c>
      <c r="V60" s="105">
        <v>1746295</v>
      </c>
      <c r="W60" s="105">
        <v>41000</v>
      </c>
      <c r="X60" s="105">
        <v>41000</v>
      </c>
      <c r="Y60" s="105">
        <v>0</v>
      </c>
      <c r="Z60" s="105">
        <v>1787295</v>
      </c>
      <c r="AA60" s="105">
        <v>996548</v>
      </c>
      <c r="AB60" s="105">
        <v>36368</v>
      </c>
      <c r="AC60" s="105">
        <v>36432</v>
      </c>
      <c r="AD60" s="105">
        <v>-64</v>
      </c>
      <c r="AE60" s="105">
        <v>1032916</v>
      </c>
    </row>
    <row r="61" spans="1:31" ht="14.4" customHeight="1">
      <c r="A61" s="98">
        <v>2023</v>
      </c>
      <c r="B61" s="98">
        <v>7</v>
      </c>
      <c r="C61" s="98" t="s">
        <v>223</v>
      </c>
      <c r="D61" s="105">
        <v>40910197</v>
      </c>
      <c r="E61" s="105">
        <v>40597697</v>
      </c>
      <c r="F61" s="105">
        <v>25930609</v>
      </c>
      <c r="G61" s="105">
        <v>-712760</v>
      </c>
      <c r="H61" s="105">
        <v>-774601</v>
      </c>
      <c r="I61" s="105">
        <v>0</v>
      </c>
      <c r="J61" s="105">
        <v>61841</v>
      </c>
      <c r="K61" s="105">
        <v>25217849</v>
      </c>
      <c r="L61" s="105">
        <v>1004266</v>
      </c>
      <c r="M61" s="105">
        <v>-73970</v>
      </c>
      <c r="N61" s="105">
        <v>-73882.697162525132</v>
      </c>
      <c r="O61" s="105">
        <v>-87.302837474868284</v>
      </c>
      <c r="P61" s="105">
        <v>930296</v>
      </c>
      <c r="Q61" s="105">
        <v>11171414</v>
      </c>
      <c r="R61" s="105">
        <v>415146</v>
      </c>
      <c r="S61" s="105">
        <v>235464.61139507801</v>
      </c>
      <c r="T61" s="105">
        <v>179681.38860492199</v>
      </c>
      <c r="U61" s="105">
        <v>11586560</v>
      </c>
      <c r="V61" s="105">
        <v>1836430</v>
      </c>
      <c r="W61" s="105">
        <v>41000</v>
      </c>
      <c r="X61" s="105">
        <v>41000</v>
      </c>
      <c r="Y61" s="105">
        <v>0</v>
      </c>
      <c r="Z61" s="105">
        <v>1877430</v>
      </c>
      <c r="AA61" s="105">
        <v>967478</v>
      </c>
      <c r="AB61" s="105">
        <v>18084</v>
      </c>
      <c r="AC61" s="105">
        <v>36132</v>
      </c>
      <c r="AD61" s="105">
        <v>-18048</v>
      </c>
      <c r="AE61" s="105">
        <v>985562</v>
      </c>
    </row>
    <row r="62" spans="1:31" ht="14.4" customHeight="1">
      <c r="A62" s="98">
        <v>2023</v>
      </c>
      <c r="B62" s="98">
        <v>8</v>
      </c>
      <c r="C62" s="98" t="s">
        <v>224</v>
      </c>
      <c r="D62" s="105">
        <v>24361953</v>
      </c>
      <c r="E62" s="105">
        <v>24746654</v>
      </c>
      <c r="F62" s="105">
        <v>6643076</v>
      </c>
      <c r="G62" s="105">
        <v>-308248</v>
      </c>
      <c r="H62" s="105">
        <v>-321791</v>
      </c>
      <c r="I62" s="105">
        <v>0</v>
      </c>
      <c r="J62" s="105">
        <v>13543</v>
      </c>
      <c r="K62" s="105">
        <v>6334828</v>
      </c>
      <c r="L62" s="105">
        <v>8939127</v>
      </c>
      <c r="M62" s="105">
        <v>40917</v>
      </c>
      <c r="N62" s="105">
        <v>-30306.614547498291</v>
      </c>
      <c r="O62" s="105">
        <v>71223.614547498291</v>
      </c>
      <c r="P62" s="105">
        <v>8980044</v>
      </c>
      <c r="Q62" s="105">
        <v>5354489</v>
      </c>
      <c r="R62" s="105">
        <v>533844</v>
      </c>
      <c r="S62" s="105">
        <v>574955.44810358365</v>
      </c>
      <c r="T62" s="105">
        <v>-41111.448103583651</v>
      </c>
      <c r="U62" s="105">
        <v>5888333</v>
      </c>
      <c r="V62" s="105">
        <v>1853557</v>
      </c>
      <c r="W62" s="105">
        <v>41000</v>
      </c>
      <c r="X62" s="105">
        <v>41000</v>
      </c>
      <c r="Y62" s="105">
        <v>0</v>
      </c>
      <c r="Z62" s="105">
        <v>1894557</v>
      </c>
      <c r="AA62" s="105">
        <v>1571704</v>
      </c>
      <c r="AB62" s="105">
        <v>77188</v>
      </c>
      <c r="AC62" s="105">
        <v>77544</v>
      </c>
      <c r="AD62" s="105">
        <v>-356</v>
      </c>
      <c r="AE62" s="105">
        <v>1648892</v>
      </c>
    </row>
    <row r="63" spans="1:31" ht="14.4" customHeight="1">
      <c r="A63" s="98">
        <v>2023</v>
      </c>
      <c r="B63" s="98">
        <v>9</v>
      </c>
      <c r="C63" s="98" t="s">
        <v>225</v>
      </c>
      <c r="D63" s="105">
        <v>13749561</v>
      </c>
      <c r="E63" s="105">
        <v>12384174</v>
      </c>
      <c r="F63" s="105">
        <v>6039827</v>
      </c>
      <c r="G63" s="105">
        <v>-342587</v>
      </c>
      <c r="H63" s="105">
        <v>-349663</v>
      </c>
      <c r="I63" s="105">
        <v>0</v>
      </c>
      <c r="J63" s="105">
        <v>7076</v>
      </c>
      <c r="K63" s="105">
        <v>5697240</v>
      </c>
      <c r="L63" s="105">
        <v>126764</v>
      </c>
      <c r="M63" s="105">
        <v>-179666</v>
      </c>
      <c r="N63" s="105">
        <v>-80332</v>
      </c>
      <c r="O63" s="105">
        <v>-99334</v>
      </c>
      <c r="P63" s="105">
        <v>-52902</v>
      </c>
      <c r="Q63" s="105">
        <v>4968094</v>
      </c>
      <c r="R63" s="105">
        <v>-883711</v>
      </c>
      <c r="S63" s="105">
        <v>-839728.22938431869</v>
      </c>
      <c r="T63" s="105">
        <v>-43982.770615681307</v>
      </c>
      <c r="U63" s="105">
        <v>4084383</v>
      </c>
      <c r="V63" s="105">
        <v>1819288</v>
      </c>
      <c r="W63" s="105">
        <v>41000</v>
      </c>
      <c r="X63" s="105">
        <v>41000</v>
      </c>
      <c r="Y63" s="105">
        <v>0</v>
      </c>
      <c r="Z63" s="105">
        <v>1860288</v>
      </c>
      <c r="AA63" s="105">
        <v>795588</v>
      </c>
      <c r="AB63" s="105">
        <v>-423</v>
      </c>
      <c r="AC63" s="105">
        <v>-89</v>
      </c>
      <c r="AD63" s="105">
        <v>-334</v>
      </c>
      <c r="AE63" s="105">
        <v>795165</v>
      </c>
    </row>
    <row r="64" spans="1:31" ht="14.4" customHeight="1">
      <c r="A64" s="98">
        <v>2023</v>
      </c>
      <c r="B64" s="98">
        <v>10</v>
      </c>
      <c r="C64" s="98" t="s">
        <v>226</v>
      </c>
      <c r="D64" s="105">
        <v>45326835</v>
      </c>
      <c r="E64" s="105">
        <v>45330628</v>
      </c>
      <c r="F64" s="105">
        <v>13041517</v>
      </c>
      <c r="G64" s="105">
        <v>196838</v>
      </c>
      <c r="H64" s="105">
        <v>170571</v>
      </c>
      <c r="I64" s="105">
        <v>0</v>
      </c>
      <c r="J64" s="105">
        <v>26267</v>
      </c>
      <c r="K64" s="105">
        <v>13238355</v>
      </c>
      <c r="L64" s="105">
        <v>17491699</v>
      </c>
      <c r="M64" s="105">
        <v>-236976</v>
      </c>
      <c r="N64" s="105">
        <v>-236379.17697229516</v>
      </c>
      <c r="O64" s="105">
        <v>-596.82302770484239</v>
      </c>
      <c r="P64" s="105">
        <v>17254723</v>
      </c>
      <c r="Q64" s="105">
        <v>12078346</v>
      </c>
      <c r="R64" s="105">
        <v>-2632</v>
      </c>
      <c r="S64" s="105">
        <v>-139206.82217326877</v>
      </c>
      <c r="T64" s="105">
        <v>136574.82217326877</v>
      </c>
      <c r="U64" s="105">
        <v>12075714</v>
      </c>
      <c r="V64" s="105">
        <v>1845577</v>
      </c>
      <c r="W64" s="105">
        <v>41000</v>
      </c>
      <c r="X64" s="105">
        <v>41000</v>
      </c>
      <c r="Y64" s="105">
        <v>0</v>
      </c>
      <c r="Z64" s="105">
        <v>1886577</v>
      </c>
      <c r="AA64" s="105">
        <v>869696</v>
      </c>
      <c r="AB64" s="105">
        <v>5563</v>
      </c>
      <c r="AC64" s="105">
        <v>-13278</v>
      </c>
      <c r="AD64" s="105">
        <v>18841</v>
      </c>
      <c r="AE64" s="105">
        <v>875259</v>
      </c>
    </row>
    <row r="65" spans="1:31" ht="14.4" customHeight="1">
      <c r="A65" s="98">
        <v>2023</v>
      </c>
      <c r="B65" s="98">
        <v>11</v>
      </c>
      <c r="C65" s="98" t="s">
        <v>227</v>
      </c>
      <c r="D65" s="105">
        <v>17535975</v>
      </c>
      <c r="E65" s="105">
        <v>18024875</v>
      </c>
      <c r="F65" s="105">
        <v>11004448</v>
      </c>
      <c r="G65" s="105">
        <v>201105</v>
      </c>
      <c r="H65" s="105">
        <v>190541</v>
      </c>
      <c r="I65" s="105">
        <v>0</v>
      </c>
      <c r="J65" s="105">
        <v>10564</v>
      </c>
      <c r="K65" s="105">
        <v>11205553</v>
      </c>
      <c r="L65" s="105">
        <v>-459247</v>
      </c>
      <c r="M65" s="105">
        <v>-387771</v>
      </c>
      <c r="N65" s="105">
        <v>-369677.0902008852</v>
      </c>
      <c r="O65" s="105">
        <v>-18093.909799114801</v>
      </c>
      <c r="P65" s="105">
        <v>-847018</v>
      </c>
      <c r="Q65" s="105">
        <v>4357059</v>
      </c>
      <c r="R65" s="105">
        <v>594981</v>
      </c>
      <c r="S65" s="105">
        <v>629674.79477142659</v>
      </c>
      <c r="T65" s="105">
        <v>-34693.79477142659</v>
      </c>
      <c r="U65" s="105">
        <v>4952040</v>
      </c>
      <c r="V65" s="105">
        <v>1787932</v>
      </c>
      <c r="W65" s="105">
        <v>42000</v>
      </c>
      <c r="X65" s="105">
        <v>42000</v>
      </c>
      <c r="Y65" s="105">
        <v>0</v>
      </c>
      <c r="Z65" s="105">
        <v>1829932</v>
      </c>
      <c r="AA65" s="105">
        <v>845783</v>
      </c>
      <c r="AB65" s="105">
        <v>38585</v>
      </c>
      <c r="AC65" s="105">
        <v>38631</v>
      </c>
      <c r="AD65" s="105">
        <v>-46</v>
      </c>
      <c r="AE65" s="105">
        <v>884368</v>
      </c>
    </row>
    <row r="66" spans="1:31" ht="14.4" customHeight="1">
      <c r="A66" s="98">
        <v>2023</v>
      </c>
      <c r="B66" s="98">
        <v>12</v>
      </c>
      <c r="C66" s="98" t="s">
        <v>228</v>
      </c>
      <c r="D66" s="105">
        <v>19007993</v>
      </c>
      <c r="E66" s="105">
        <v>14290109</v>
      </c>
      <c r="F66" s="105">
        <v>7689603</v>
      </c>
      <c r="G66" s="105">
        <v>233396</v>
      </c>
      <c r="H66" s="105">
        <v>222451</v>
      </c>
      <c r="I66" s="105">
        <v>0</v>
      </c>
      <c r="J66" s="105">
        <v>10945</v>
      </c>
      <c r="K66" s="105">
        <v>7922999</v>
      </c>
      <c r="L66" s="105">
        <v>5169014</v>
      </c>
      <c r="M66" s="105">
        <v>-4426139</v>
      </c>
      <c r="N66" s="105">
        <v>-4419762.9881919138</v>
      </c>
      <c r="O66" s="105">
        <v>-6376.0118080861866</v>
      </c>
      <c r="P66" s="105">
        <v>742875</v>
      </c>
      <c r="Q66" s="105">
        <v>3521966</v>
      </c>
      <c r="R66" s="105">
        <v>-624697</v>
      </c>
      <c r="S66" s="105">
        <v>-580633.27840545331</v>
      </c>
      <c r="T66" s="105">
        <v>-44063.721594546689</v>
      </c>
      <c r="U66" s="105">
        <v>2897269</v>
      </c>
      <c r="V66" s="105">
        <v>1653825</v>
      </c>
      <c r="W66" s="105">
        <v>43000</v>
      </c>
      <c r="X66" s="105">
        <v>43000</v>
      </c>
      <c r="Y66" s="105">
        <v>0</v>
      </c>
      <c r="Z66" s="105">
        <v>1696825</v>
      </c>
      <c r="AA66" s="105">
        <v>973585</v>
      </c>
      <c r="AB66" s="105">
        <v>56556</v>
      </c>
      <c r="AC66" s="105">
        <v>38432</v>
      </c>
      <c r="AD66" s="105">
        <v>18124</v>
      </c>
      <c r="AE66" s="105">
        <v>1030141</v>
      </c>
    </row>
    <row r="67" spans="1:31" ht="14.4" customHeight="1">
      <c r="A67" s="96">
        <v>2024</v>
      </c>
      <c r="B67" s="96">
        <v>1</v>
      </c>
      <c r="C67" s="97" t="s">
        <v>217</v>
      </c>
      <c r="D67" s="104">
        <v>18737134</v>
      </c>
      <c r="E67" s="104">
        <v>27920728</v>
      </c>
      <c r="F67" s="104">
        <v>16601722</v>
      </c>
      <c r="G67" s="104">
        <v>227229</v>
      </c>
      <c r="H67" s="104">
        <v>74423</v>
      </c>
      <c r="I67" s="104">
        <v>2393</v>
      </c>
      <c r="J67" s="104">
        <v>150413</v>
      </c>
      <c r="K67" s="104">
        <v>16828951</v>
      </c>
      <c r="L67" s="104">
        <v>-6065584</v>
      </c>
      <c r="M67" s="104">
        <v>6414699</v>
      </c>
      <c r="N67" s="104">
        <v>6424086.5012528775</v>
      </c>
      <c r="O67" s="104">
        <v>-9387.501252877526</v>
      </c>
      <c r="P67" s="104">
        <v>349115</v>
      </c>
      <c r="Q67" s="104">
        <v>5455732</v>
      </c>
      <c r="R67" s="104">
        <v>2499586</v>
      </c>
      <c r="S67" s="104">
        <v>1009105.1782422322</v>
      </c>
      <c r="T67" s="104">
        <v>1490480.8217577678</v>
      </c>
      <c r="U67" s="104">
        <v>7955318</v>
      </c>
      <c r="V67" s="104">
        <v>1611699</v>
      </c>
      <c r="W67" s="104">
        <v>42000</v>
      </c>
      <c r="X67" s="104">
        <v>42000</v>
      </c>
      <c r="Y67" s="104">
        <v>0</v>
      </c>
      <c r="Z67" s="104">
        <v>1653699</v>
      </c>
      <c r="AA67" s="104">
        <v>1133565</v>
      </c>
      <c r="AB67" s="104">
        <v>80</v>
      </c>
      <c r="AC67" s="104">
        <v>80</v>
      </c>
      <c r="AD67" s="104">
        <v>0</v>
      </c>
      <c r="AE67" s="104">
        <v>1133645</v>
      </c>
    </row>
    <row r="68" spans="1:31" ht="14.4" customHeight="1">
      <c r="A68" s="98">
        <v>2024</v>
      </c>
      <c r="B68" s="98">
        <v>2</v>
      </c>
      <c r="C68" s="98" t="s">
        <v>218</v>
      </c>
      <c r="D68" s="105">
        <v>26979971</v>
      </c>
      <c r="E68" s="105">
        <v>26028442</v>
      </c>
      <c r="F68" s="105">
        <v>8209465</v>
      </c>
      <c r="G68" s="105">
        <v>9994</v>
      </c>
      <c r="H68" s="105">
        <v>-18097</v>
      </c>
      <c r="I68" s="105">
        <v>-2393</v>
      </c>
      <c r="J68" s="105">
        <v>30484</v>
      </c>
      <c r="K68" s="105">
        <v>8219459</v>
      </c>
      <c r="L68" s="105">
        <v>-188373</v>
      </c>
      <c r="M68" s="105">
        <v>42851</v>
      </c>
      <c r="N68" s="105">
        <v>-323099.55833231937</v>
      </c>
      <c r="O68" s="105">
        <v>365950.55833231937</v>
      </c>
      <c r="P68" s="105">
        <v>-145522</v>
      </c>
      <c r="Q68" s="105">
        <v>16271115</v>
      </c>
      <c r="R68" s="105">
        <v>-1119821</v>
      </c>
      <c r="S68" s="105">
        <v>196403.61144171888</v>
      </c>
      <c r="T68" s="105">
        <v>-1316224.6114417189</v>
      </c>
      <c r="U68" s="105">
        <v>15151294</v>
      </c>
      <c r="V68" s="105">
        <v>1769721</v>
      </c>
      <c r="W68" s="105">
        <v>42000</v>
      </c>
      <c r="X68" s="105">
        <v>42000</v>
      </c>
      <c r="Y68" s="105">
        <v>0</v>
      </c>
      <c r="Z68" s="105">
        <v>1811721</v>
      </c>
      <c r="AA68" s="105">
        <v>918043</v>
      </c>
      <c r="AB68" s="105">
        <v>73447</v>
      </c>
      <c r="AC68" s="105">
        <v>79927</v>
      </c>
      <c r="AD68" s="105">
        <v>-6480</v>
      </c>
      <c r="AE68" s="105">
        <v>991490</v>
      </c>
    </row>
    <row r="69" spans="1:31" ht="14.4" customHeight="1">
      <c r="A69" s="98">
        <v>2024</v>
      </c>
      <c r="B69" s="98">
        <v>3</v>
      </c>
      <c r="C69" s="98" t="s">
        <v>219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</row>
    <row r="70" spans="1:31" ht="14.4" customHeight="1">
      <c r="A70" s="98">
        <v>2024</v>
      </c>
      <c r="B70" s="98">
        <v>4</v>
      </c>
      <c r="C70" s="98" t="s">
        <v>220</v>
      </c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</row>
    <row r="71" spans="1:31" ht="14.4" customHeight="1">
      <c r="A71" s="98">
        <v>2024</v>
      </c>
      <c r="B71" s="98">
        <v>5</v>
      </c>
      <c r="C71" s="98" t="s">
        <v>221</v>
      </c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</row>
    <row r="72" spans="1:31" ht="14.4" customHeight="1">
      <c r="A72" s="98">
        <v>2024</v>
      </c>
      <c r="B72" s="98">
        <v>6</v>
      </c>
      <c r="C72" s="98" t="s">
        <v>222</v>
      </c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</row>
    <row r="73" spans="1:31" ht="14.4" customHeight="1">
      <c r="A73" s="98">
        <v>2024</v>
      </c>
      <c r="B73" s="98">
        <v>7</v>
      </c>
      <c r="C73" s="98" t="s">
        <v>223</v>
      </c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</row>
    <row r="74" spans="1:31" ht="14.4" customHeight="1">
      <c r="A74" s="98">
        <v>2024</v>
      </c>
      <c r="B74" s="98">
        <v>8</v>
      </c>
      <c r="C74" s="98" t="s">
        <v>224</v>
      </c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</row>
    <row r="75" spans="1:31" ht="14.4" customHeight="1">
      <c r="A75" s="98">
        <v>2024</v>
      </c>
      <c r="B75" s="98">
        <v>9</v>
      </c>
      <c r="C75" s="98" t="s">
        <v>225</v>
      </c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</row>
    <row r="76" spans="1:31" ht="14.4" customHeight="1">
      <c r="A76" s="98">
        <v>2024</v>
      </c>
      <c r="B76" s="98">
        <v>10</v>
      </c>
      <c r="C76" s="98" t="s">
        <v>226</v>
      </c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</row>
    <row r="77" spans="1:31" ht="14.4" customHeight="1">
      <c r="A77" s="98">
        <v>2024</v>
      </c>
      <c r="B77" s="98">
        <v>11</v>
      </c>
      <c r="C77" s="98" t="s">
        <v>227</v>
      </c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</row>
    <row r="78" spans="1:31" ht="14.4" customHeight="1">
      <c r="A78" s="98">
        <v>2024</v>
      </c>
      <c r="B78" s="98">
        <v>12</v>
      </c>
      <c r="C78" s="98" t="s">
        <v>228</v>
      </c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</row>
    <row r="79" spans="1:31" ht="14.4" customHeight="1"/>
    <row r="80" spans="1:31" ht="14.4" customHeight="1"/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  <row r="101" ht="14.4" customHeight="1"/>
    <row r="102" ht="14.4" customHeight="1"/>
    <row r="103" ht="14.4" customHeight="1"/>
    <row r="104" ht="14.4" customHeight="1"/>
    <row r="105" ht="14.4" customHeight="1"/>
    <row r="106" ht="14.4" customHeight="1"/>
    <row r="107" ht="14.4" customHeight="1"/>
    <row r="108" ht="14.4" customHeight="1"/>
    <row r="109" ht="14.4" customHeight="1"/>
    <row r="110" ht="14.4" customHeight="1"/>
    <row r="111" ht="14.4" customHeight="1"/>
    <row r="112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  <row r="163" ht="14.4" customHeight="1"/>
    <row r="164" ht="14.4" customHeight="1"/>
    <row r="165" ht="14.4" customHeight="1"/>
    <row r="166" ht="14.4" customHeight="1"/>
    <row r="167" ht="14.4" customHeight="1"/>
    <row r="168" ht="14.4" customHeight="1"/>
    <row r="169" ht="14.4" customHeight="1"/>
    <row r="170" ht="14.4" customHeight="1"/>
    <row r="171" ht="14.4" customHeight="1"/>
    <row r="172" ht="14.4" customHeight="1"/>
    <row r="173" ht="14.4" customHeight="1"/>
    <row r="174" ht="14.4" customHeight="1"/>
    <row r="175" ht="14.4" customHeight="1"/>
    <row r="176" ht="14.4" customHeight="1"/>
    <row r="177" ht="14.4" customHeight="1"/>
    <row r="178" ht="14.4" customHeight="1"/>
    <row r="179" ht="14.4" customHeight="1"/>
    <row r="180" ht="14.4" customHeight="1"/>
    <row r="181" ht="14.4" customHeight="1"/>
    <row r="182" ht="14.4" customHeight="1"/>
    <row r="183" ht="14.4" customHeight="1"/>
    <row r="184" ht="14.4" customHeight="1"/>
    <row r="185" ht="14.4" customHeight="1"/>
    <row r="186" ht="14.4" customHeight="1"/>
    <row r="187" ht="14.4" customHeight="1"/>
    <row r="188" ht="14.4" customHeight="1"/>
    <row r="189" ht="14.4" customHeight="1"/>
    <row r="190" ht="14.4" customHeight="1"/>
    <row r="191" ht="14.4" customHeight="1"/>
    <row r="192" ht="14.4" customHeight="1"/>
    <row r="193" ht="14.4" customHeight="1"/>
    <row r="194" ht="14.4" customHeight="1"/>
    <row r="195" ht="14.4" customHeight="1"/>
    <row r="196" ht="14.4" customHeight="1"/>
    <row r="197" ht="14.4" customHeight="1"/>
    <row r="198" ht="14.4" customHeight="1"/>
    <row r="199" ht="14.4" customHeight="1"/>
    <row r="200" ht="14.4" customHeight="1"/>
    <row r="201" ht="14.4" customHeight="1"/>
    <row r="202" ht="14.4" customHeight="1"/>
    <row r="203" ht="14.4" customHeight="1"/>
    <row r="204" ht="14.4" customHeight="1"/>
    <row r="205" ht="14.4" customHeight="1"/>
    <row r="206" ht="14.4" customHeight="1"/>
    <row r="207" ht="14.4" customHeight="1"/>
    <row r="208" ht="14.4" customHeight="1"/>
    <row r="209" ht="14.4" customHeight="1"/>
    <row r="210" ht="14.4" customHeight="1"/>
    <row r="211" ht="14.4" customHeight="1"/>
    <row r="212" ht="14.4" customHeight="1"/>
    <row r="213" ht="14.4" customHeight="1"/>
    <row r="214" ht="14.4" customHeight="1"/>
    <row r="215" ht="14.4" customHeight="1"/>
    <row r="216" ht="14.4" customHeight="1"/>
    <row r="217" ht="14.4" customHeight="1"/>
    <row r="218" ht="14.4" customHeight="1"/>
    <row r="219" ht="14.4" customHeight="1"/>
    <row r="220" ht="14.4" customHeight="1"/>
    <row r="221" ht="14.4" customHeight="1"/>
    <row r="222" ht="14.4" customHeight="1"/>
    <row r="223" ht="14.4" customHeight="1"/>
    <row r="224" ht="14.4" customHeight="1"/>
    <row r="225" ht="14.4" customHeight="1"/>
    <row r="226" ht="14.4" customHeight="1"/>
    <row r="227" ht="14.4" customHeight="1"/>
    <row r="228" ht="14.4" customHeight="1"/>
    <row r="229" ht="14.4" customHeight="1"/>
    <row r="230" ht="14.4" customHeight="1"/>
    <row r="231" ht="14.4" customHeight="1"/>
    <row r="232" ht="14.4" customHeight="1"/>
    <row r="233" ht="14.4" customHeight="1"/>
    <row r="234" ht="14.4" customHeight="1"/>
    <row r="235" ht="14.4" customHeight="1"/>
    <row r="236" ht="14.4" customHeight="1"/>
    <row r="237" ht="14.4" customHeight="1"/>
    <row r="238" ht="14.4" customHeight="1"/>
    <row r="239" ht="14.4" customHeight="1"/>
    <row r="240" ht="14.4" customHeight="1"/>
    <row r="241" ht="14.4" customHeight="1"/>
    <row r="242" ht="14.4" customHeight="1"/>
    <row r="243" ht="14.4" customHeight="1"/>
    <row r="244" ht="14.4" customHeight="1"/>
    <row r="245" ht="14.4" customHeight="1"/>
    <row r="246" ht="14.4" customHeight="1"/>
    <row r="247" ht="14.4" customHeight="1"/>
    <row r="248" ht="14.4" customHeight="1"/>
    <row r="249" ht="14.4" customHeight="1"/>
    <row r="250" ht="14.4" customHeight="1"/>
    <row r="251" ht="14.4" customHeight="1"/>
    <row r="252" ht="14.4" customHeight="1"/>
    <row r="253" ht="14.4" customHeight="1"/>
    <row r="254" ht="14.4" customHeight="1"/>
    <row r="255" ht="14.4" customHeight="1"/>
    <row r="256" ht="14.4" customHeight="1"/>
    <row r="257" ht="14.4" customHeight="1"/>
    <row r="258" ht="14.4" customHeight="1"/>
    <row r="259" ht="14.4" customHeight="1"/>
    <row r="260" ht="14.4" customHeight="1"/>
    <row r="261" ht="14.4" customHeight="1"/>
    <row r="262" ht="14.4" customHeight="1"/>
    <row r="263" ht="14.4" customHeight="1"/>
    <row r="264" ht="14.4" customHeight="1"/>
    <row r="265" ht="14.4" customHeight="1"/>
    <row r="266" ht="14.4" customHeight="1"/>
    <row r="267" ht="14.4" customHeight="1"/>
    <row r="268" ht="14.4" customHeight="1"/>
    <row r="269" ht="14.4" customHeight="1"/>
    <row r="270" ht="14.4" customHeight="1"/>
    <row r="271" ht="14.4" customHeight="1"/>
    <row r="272" ht="14.4" customHeight="1"/>
    <row r="273" ht="14.4" customHeight="1"/>
    <row r="274" ht="14.4" customHeight="1"/>
    <row r="275" ht="14.4" customHeight="1"/>
    <row r="276" ht="14.4" customHeight="1"/>
    <row r="277" ht="14.4" customHeight="1"/>
    <row r="278" ht="14.4" customHeight="1"/>
    <row r="279" ht="14.4" customHeight="1"/>
    <row r="280" ht="14.4" customHeight="1"/>
    <row r="281" ht="14.4" customHeight="1"/>
    <row r="282" ht="14.4" customHeight="1"/>
    <row r="283" ht="14.4" customHeight="1"/>
    <row r="284" ht="14.4" customHeight="1"/>
    <row r="285" ht="14.4" customHeight="1"/>
    <row r="286" ht="14.4" customHeight="1"/>
    <row r="287" ht="14.4" customHeight="1"/>
    <row r="288" ht="14.4" customHeight="1"/>
    <row r="289" ht="14.4" customHeight="1"/>
    <row r="290" ht="14.4" customHeight="1"/>
    <row r="291" ht="14.4" customHeight="1"/>
    <row r="292" ht="14.4" customHeight="1"/>
    <row r="293" ht="14.4" customHeight="1"/>
    <row r="294" ht="14.4" customHeight="1"/>
    <row r="295" ht="14.4" customHeight="1"/>
    <row r="296" ht="14.4" customHeight="1"/>
    <row r="297" ht="14.4" customHeight="1"/>
    <row r="298" ht="14.4" customHeight="1"/>
    <row r="299" ht="14.4" customHeight="1"/>
    <row r="300" ht="14.4" customHeight="1"/>
    <row r="301" ht="14.4" customHeight="1"/>
    <row r="302" ht="14.4" customHeight="1"/>
    <row r="303" ht="14.4" customHeight="1"/>
    <row r="304" ht="14.4" customHeight="1"/>
    <row r="305" ht="14.4" customHeight="1"/>
    <row r="306" ht="14.4" customHeight="1"/>
    <row r="307" ht="14.4" customHeight="1"/>
    <row r="308" ht="14.4" customHeight="1"/>
    <row r="309" ht="14.4" customHeight="1"/>
    <row r="310" ht="14.4" customHeight="1"/>
    <row r="311" ht="14.4" customHeight="1"/>
    <row r="312" ht="14.4" customHeight="1"/>
    <row r="313" ht="14.4" customHeight="1"/>
    <row r="314" ht="14.4" customHeight="1"/>
    <row r="315" ht="14.4" customHeight="1"/>
    <row r="316" ht="14.4" customHeight="1"/>
    <row r="317" ht="14.4" customHeight="1"/>
    <row r="318" ht="14.4" customHeight="1"/>
    <row r="319" ht="14.4" customHeight="1"/>
    <row r="320" ht="14.4" customHeight="1"/>
    <row r="321" ht="14.4" customHeight="1"/>
    <row r="322" ht="14.4" customHeight="1"/>
    <row r="323" ht="14.4" customHeight="1"/>
    <row r="324" ht="14.4" customHeight="1"/>
    <row r="325" ht="14.4" customHeight="1"/>
    <row r="326" ht="14.4" customHeight="1"/>
    <row r="327" ht="14.4" customHeight="1"/>
    <row r="328" ht="14.4" customHeight="1"/>
    <row r="329" ht="14.4" customHeight="1"/>
    <row r="330" ht="14.4" customHeight="1"/>
    <row r="331" ht="14.4" customHeight="1"/>
    <row r="332" ht="14.4" customHeight="1"/>
    <row r="333" ht="14.4" customHeight="1"/>
    <row r="334" ht="14.4" customHeight="1"/>
    <row r="335" ht="14.4" customHeight="1"/>
    <row r="336" ht="14.4" customHeight="1"/>
    <row r="337" ht="14.4" customHeight="1"/>
    <row r="338" ht="14.4" customHeight="1"/>
    <row r="339" ht="14.4" customHeight="1"/>
    <row r="340" ht="14.4" customHeight="1"/>
    <row r="341" ht="14.4" customHeight="1"/>
    <row r="342" ht="14.4" customHeight="1"/>
    <row r="343" ht="14.4" customHeight="1"/>
    <row r="344" ht="14.4" customHeight="1"/>
    <row r="345" ht="14.4" customHeight="1"/>
    <row r="346" ht="14.4" customHeight="1"/>
    <row r="347" ht="14.4" customHeight="1"/>
    <row r="348" ht="14.4" customHeight="1"/>
    <row r="349" ht="14.4" customHeight="1"/>
    <row r="350" ht="14.4" customHeight="1"/>
    <row r="351" ht="14.4" customHeight="1"/>
    <row r="352" ht="14.4" customHeight="1"/>
    <row r="353" ht="14.4" customHeight="1"/>
    <row r="354" ht="14.4" customHeight="1"/>
    <row r="355" ht="14.4" customHeight="1"/>
    <row r="356" ht="14.4" customHeight="1"/>
    <row r="357" ht="14.4" customHeight="1"/>
    <row r="358" ht="14.4" customHeight="1"/>
    <row r="359" ht="14.4" customHeight="1"/>
    <row r="360" ht="14.4" customHeight="1"/>
    <row r="361" ht="14.4" customHeight="1"/>
    <row r="362" ht="14.4" customHeight="1"/>
    <row r="363" ht="14.4" customHeight="1"/>
    <row r="364" ht="14.4" customHeight="1"/>
    <row r="365" ht="14.4" customHeight="1"/>
    <row r="366" ht="14.4" customHeight="1"/>
    <row r="367" ht="14.4" customHeight="1"/>
    <row r="368" ht="14.4" customHeight="1"/>
    <row r="369" ht="14.4" customHeight="1"/>
    <row r="370" ht="14.4" customHeight="1"/>
    <row r="371" ht="14.4" customHeight="1"/>
    <row r="372" ht="14.4" customHeight="1"/>
    <row r="373" ht="14.4" customHeight="1"/>
    <row r="374" ht="14.4" customHeight="1"/>
    <row r="375" ht="14.4" customHeight="1"/>
    <row r="376" ht="14.4" customHeight="1"/>
    <row r="377" ht="14.4" customHeight="1"/>
    <row r="378" ht="14.4" customHeight="1"/>
    <row r="379" ht="14.4" customHeight="1"/>
    <row r="380" ht="14.4" customHeight="1"/>
    <row r="381" ht="14.4" customHeight="1"/>
    <row r="382" ht="14.4" customHeight="1"/>
    <row r="383" ht="14.4" customHeight="1"/>
    <row r="384" ht="14.4" customHeight="1"/>
    <row r="385" ht="14.4" customHeight="1"/>
    <row r="386" ht="14.4" customHeight="1"/>
    <row r="387" ht="14.4" customHeight="1"/>
    <row r="388" ht="14.4" customHeight="1"/>
    <row r="389" ht="14.4" customHeight="1"/>
    <row r="390" ht="14.4" customHeight="1"/>
    <row r="391" ht="14.4" customHeight="1"/>
    <row r="392" ht="14.4" customHeight="1"/>
    <row r="393" ht="14.4" customHeight="1"/>
    <row r="394" ht="14.4" customHeight="1"/>
    <row r="395" ht="14.4" customHeight="1"/>
    <row r="396" ht="14.4" customHeight="1"/>
    <row r="397" ht="14.4" customHeight="1"/>
    <row r="398" ht="14.4" customHeight="1"/>
    <row r="399" ht="14.4" customHeight="1"/>
    <row r="400" ht="14.4" customHeight="1"/>
    <row r="401" ht="14.4" customHeight="1"/>
    <row r="402" ht="14.4" customHeight="1"/>
    <row r="403" ht="14.4" customHeight="1"/>
    <row r="404" ht="14.4" customHeight="1"/>
    <row r="405" ht="14.4" customHeight="1"/>
    <row r="406" ht="14.4" customHeight="1"/>
    <row r="407" ht="14.4" customHeight="1"/>
    <row r="408" ht="14.4" customHeight="1"/>
    <row r="409" ht="14.4" customHeight="1"/>
    <row r="410" ht="14.4" customHeight="1"/>
    <row r="411" ht="14.4" customHeight="1"/>
    <row r="412" ht="14.4" customHeight="1"/>
    <row r="413" ht="14.4" customHeight="1"/>
    <row r="414" ht="14.4" customHeight="1"/>
    <row r="415" ht="14.4" customHeight="1"/>
    <row r="416" ht="14.4" customHeight="1"/>
    <row r="417" ht="14.4" customHeight="1"/>
    <row r="418" ht="14.4" customHeight="1"/>
    <row r="419" ht="14.4" customHeight="1"/>
    <row r="420" ht="14.4" customHeight="1"/>
    <row r="421" ht="14.4" customHeight="1"/>
    <row r="422" ht="14.4" customHeight="1"/>
    <row r="423" ht="14.4" customHeight="1"/>
    <row r="424" ht="14.4" customHeight="1"/>
    <row r="425" ht="14.4" customHeight="1"/>
    <row r="426" ht="14.4" customHeight="1"/>
    <row r="427" ht="14.4" customHeight="1"/>
    <row r="428" ht="14.4" customHeight="1"/>
    <row r="429" ht="14.4" customHeight="1"/>
    <row r="430" ht="14.4" customHeight="1"/>
    <row r="431" ht="14.4" customHeight="1"/>
    <row r="432" ht="14.4" customHeight="1"/>
    <row r="433" ht="14.4" customHeight="1"/>
    <row r="434" ht="14.4" customHeight="1"/>
    <row r="435" ht="14.4" customHeight="1"/>
    <row r="436" ht="14.4" customHeight="1"/>
    <row r="437" ht="14.4" customHeight="1"/>
    <row r="438" ht="14.4" customHeight="1"/>
    <row r="439" ht="14.4" customHeight="1"/>
    <row r="440" ht="14.4" customHeight="1"/>
    <row r="441" ht="14.4" customHeight="1"/>
    <row r="442" ht="14.4" customHeight="1"/>
    <row r="443" ht="14.4" customHeight="1"/>
    <row r="444" ht="14.4" customHeight="1"/>
    <row r="445" ht="14.4" customHeight="1"/>
    <row r="446" ht="14.4" customHeight="1"/>
    <row r="447" ht="14.4" customHeight="1"/>
    <row r="448" ht="14.4" customHeight="1"/>
    <row r="449" ht="14.4" customHeight="1"/>
    <row r="450" ht="14.4" customHeight="1"/>
    <row r="451" ht="14.4" customHeight="1"/>
    <row r="452" ht="14.4" customHeight="1"/>
    <row r="453" ht="14.4" customHeight="1"/>
    <row r="454" ht="14.4" customHeight="1"/>
    <row r="455" ht="14.4" customHeight="1"/>
    <row r="456" ht="14.4" customHeight="1"/>
    <row r="457" ht="14.4" customHeight="1"/>
    <row r="458" ht="14.4" customHeight="1"/>
    <row r="459" ht="14.4" customHeight="1"/>
    <row r="460" ht="14.4" customHeight="1"/>
    <row r="461" ht="14.4" customHeight="1"/>
    <row r="462" ht="14.4" customHeight="1"/>
    <row r="463" ht="14.4" customHeight="1"/>
    <row r="464" ht="14.4" customHeight="1"/>
    <row r="465" ht="14.4" customHeight="1"/>
    <row r="466" ht="14.4" customHeight="1"/>
    <row r="467" ht="14.4" customHeight="1"/>
    <row r="468" ht="14.4" customHeight="1"/>
    <row r="469" ht="14.4" customHeight="1"/>
    <row r="470" ht="14.4" customHeight="1"/>
    <row r="471" ht="14.4" customHeight="1"/>
    <row r="472" ht="14.4" customHeight="1"/>
    <row r="473" ht="14.4" customHeight="1"/>
    <row r="474" ht="14.4" customHeight="1"/>
    <row r="475" ht="14.4" customHeight="1"/>
    <row r="476" ht="14.4" customHeight="1"/>
    <row r="477" ht="14.4" customHeight="1"/>
    <row r="478" ht="14.4" customHeight="1"/>
    <row r="479" ht="14.4" customHeight="1"/>
    <row r="480" ht="14.4" customHeight="1"/>
    <row r="481" ht="14.4" customHeight="1"/>
    <row r="482" ht="14.4" customHeight="1"/>
    <row r="483" ht="14.4" customHeight="1"/>
    <row r="484" ht="14.4" customHeight="1"/>
    <row r="485" ht="14.4" customHeight="1"/>
    <row r="486" ht="14.4" customHeight="1"/>
    <row r="487" ht="14.4" customHeight="1"/>
    <row r="488" ht="14.4" customHeight="1"/>
    <row r="489" ht="14.4" customHeight="1"/>
    <row r="490" ht="14.4" customHeight="1"/>
    <row r="491" ht="14.4" customHeight="1"/>
    <row r="492" ht="14.4" customHeight="1"/>
    <row r="493" ht="14.4" customHeight="1"/>
    <row r="494" ht="14.4" customHeight="1"/>
    <row r="495" ht="14.4" customHeight="1"/>
    <row r="496" ht="14.4" customHeight="1"/>
    <row r="497" ht="14.4" customHeight="1"/>
    <row r="498" ht="14.4" customHeight="1"/>
    <row r="499" ht="14.4" customHeight="1"/>
    <row r="500" ht="14.4" customHeight="1"/>
    <row r="501" ht="14.4" customHeight="1"/>
    <row r="502" ht="14.4" customHeight="1"/>
    <row r="503" ht="14.4" customHeight="1"/>
    <row r="504" ht="14.4" customHeight="1"/>
    <row r="505" ht="14.4" customHeight="1"/>
    <row r="506" ht="14.4" customHeight="1"/>
    <row r="507" ht="14.4" customHeight="1"/>
    <row r="508" ht="14.4" customHeight="1"/>
    <row r="509" ht="14.4" customHeight="1"/>
    <row r="510" ht="14.4" customHeight="1"/>
    <row r="511" ht="14.4" customHeight="1"/>
    <row r="512" ht="14.4" customHeight="1"/>
    <row r="513" ht="14.4" customHeight="1"/>
    <row r="514" ht="14.4" customHeight="1"/>
    <row r="515" ht="14.4" customHeight="1"/>
    <row r="516" ht="14.4" customHeight="1"/>
  </sheetData>
  <mergeCells count="40">
    <mergeCell ref="Y4:Y6"/>
    <mergeCell ref="AB4:AB6"/>
    <mergeCell ref="AC4:AC6"/>
    <mergeCell ref="AD4:AD6"/>
    <mergeCell ref="O4:O6"/>
    <mergeCell ref="R4:R6"/>
    <mergeCell ref="S4:S6"/>
    <mergeCell ref="T4:T6"/>
    <mergeCell ref="W4:W6"/>
    <mergeCell ref="X4:X6"/>
    <mergeCell ref="Z3:Z6"/>
    <mergeCell ref="AA3:AA6"/>
    <mergeCell ref="AB3:AD3"/>
    <mergeCell ref="AA2:AE2"/>
    <mergeCell ref="D3:D6"/>
    <mergeCell ref="E3:E6"/>
    <mergeCell ref="F3:F6"/>
    <mergeCell ref="G3:J3"/>
    <mergeCell ref="K3:K6"/>
    <mergeCell ref="L3:L6"/>
    <mergeCell ref="M3:O3"/>
    <mergeCell ref="P3:P6"/>
    <mergeCell ref="Q3:Q6"/>
    <mergeCell ref="V2:Z2"/>
    <mergeCell ref="V3:V6"/>
    <mergeCell ref="W3:Y3"/>
    <mergeCell ref="AE3:AE6"/>
    <mergeCell ref="G4:G6"/>
    <mergeCell ref="H4:H6"/>
    <mergeCell ref="A2:C6"/>
    <mergeCell ref="D2:E2"/>
    <mergeCell ref="F2:K2"/>
    <mergeCell ref="L2:P2"/>
    <mergeCell ref="Q2:U2"/>
    <mergeCell ref="R3:T3"/>
    <mergeCell ref="U3:U6"/>
    <mergeCell ref="I4:I6"/>
    <mergeCell ref="J4:J6"/>
    <mergeCell ref="M4:M6"/>
    <mergeCell ref="N4:N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0"/>
  <sheetViews>
    <sheetView showGridLines="0" showRowColHeaders="0" workbookViewId="0">
      <pane xSplit="2" ySplit="4" topLeftCell="C287" activePane="bottomRight" state="frozen"/>
      <selection activeCell="C246" sqref="C246"/>
      <selection pane="topRight" activeCell="C246" sqref="C246"/>
      <selection pane="bottomLeft" activeCell="C246" sqref="C246"/>
      <selection pane="bottomRight" activeCell="C294" sqref="C294"/>
    </sheetView>
  </sheetViews>
  <sheetFormatPr baseColWidth="10" defaultColWidth="11.6328125" defaultRowHeight="12.6"/>
  <cols>
    <col min="1" max="1" width="17.26953125" style="291" customWidth="1"/>
    <col min="2" max="2" width="6" style="282" customWidth="1"/>
    <col min="3" max="14" width="12.90625" style="282" customWidth="1"/>
    <col min="15" max="16384" width="11.6328125" style="282"/>
  </cols>
  <sheetData>
    <row r="1" spans="1:14" ht="36" customHeight="1">
      <c r="A1" s="278" t="s">
        <v>596</v>
      </c>
      <c r="B1" s="279"/>
      <c r="C1" s="280"/>
      <c r="D1" s="280"/>
      <c r="E1" s="281"/>
      <c r="F1" s="281"/>
      <c r="G1" s="281"/>
      <c r="H1" s="281"/>
      <c r="I1" s="280"/>
      <c r="J1" s="280"/>
      <c r="K1" s="281"/>
      <c r="L1" s="281"/>
      <c r="M1" s="281"/>
      <c r="N1" s="281"/>
    </row>
    <row r="2" spans="1:14" s="283" customFormat="1" ht="16.5" customHeight="1">
      <c r="A2" s="426"/>
      <c r="B2" s="426"/>
      <c r="C2" s="427" t="s">
        <v>597</v>
      </c>
      <c r="D2" s="427"/>
      <c r="E2" s="427"/>
      <c r="F2" s="427"/>
      <c r="G2" s="427"/>
      <c r="H2" s="427"/>
      <c r="I2" s="428" t="s">
        <v>599</v>
      </c>
      <c r="J2" s="428"/>
      <c r="K2" s="428"/>
      <c r="L2" s="428"/>
      <c r="M2" s="428"/>
      <c r="N2" s="428"/>
    </row>
    <row r="3" spans="1:14" s="283" customFormat="1" ht="15" customHeight="1">
      <c r="A3" s="426"/>
      <c r="B3" s="426"/>
      <c r="C3" s="429" t="s">
        <v>5</v>
      </c>
      <c r="D3" s="431" t="s">
        <v>83</v>
      </c>
      <c r="E3" s="433" t="s">
        <v>54</v>
      </c>
      <c r="F3" s="435" t="s">
        <v>85</v>
      </c>
      <c r="G3" s="437" t="s">
        <v>61</v>
      </c>
      <c r="H3" s="439" t="s">
        <v>598</v>
      </c>
      <c r="I3" s="429" t="s">
        <v>5</v>
      </c>
      <c r="J3" s="431" t="s">
        <v>83</v>
      </c>
      <c r="K3" s="433" t="s">
        <v>84</v>
      </c>
      <c r="L3" s="435" t="s">
        <v>85</v>
      </c>
      <c r="M3" s="437" t="s">
        <v>61</v>
      </c>
      <c r="N3" s="439" t="s">
        <v>598</v>
      </c>
    </row>
    <row r="4" spans="1:14" s="283" customFormat="1" ht="15" customHeight="1">
      <c r="A4" s="426"/>
      <c r="B4" s="426"/>
      <c r="C4" s="430"/>
      <c r="D4" s="432"/>
      <c r="E4" s="434"/>
      <c r="F4" s="436"/>
      <c r="G4" s="438"/>
      <c r="H4" s="440"/>
      <c r="I4" s="430"/>
      <c r="J4" s="432"/>
      <c r="K4" s="434"/>
      <c r="L4" s="436"/>
      <c r="M4" s="438"/>
      <c r="N4" s="440"/>
    </row>
    <row r="5" spans="1:14" ht="15" customHeight="1">
      <c r="A5" s="284">
        <v>2000</v>
      </c>
      <c r="B5" s="285" t="s">
        <v>88</v>
      </c>
      <c r="C5" s="286">
        <v>3.5270015477710284</v>
      </c>
      <c r="D5" s="286">
        <v>0.94859459515913147</v>
      </c>
      <c r="E5" s="286">
        <v>-20.150298353250285</v>
      </c>
      <c r="F5" s="286">
        <v>43.401255137755122</v>
      </c>
      <c r="G5" s="286">
        <v>10.680242543198625</v>
      </c>
      <c r="H5" s="286">
        <v>-0.31023347816531133</v>
      </c>
      <c r="I5" s="286">
        <v>3.5270015477710284</v>
      </c>
      <c r="J5" s="286">
        <v>0.94859459515913147</v>
      </c>
      <c r="K5" s="286">
        <v>-20.150298353250285</v>
      </c>
      <c r="L5" s="286">
        <v>43.401255137755122</v>
      </c>
      <c r="M5" s="286">
        <v>10.680242543198625</v>
      </c>
      <c r="N5" s="286">
        <v>-0.31023347816531133</v>
      </c>
    </row>
    <row r="6" spans="1:14" ht="15" customHeight="1">
      <c r="A6" s="287"/>
      <c r="B6" s="287" t="s">
        <v>89</v>
      </c>
      <c r="C6" s="288">
        <v>11.626634560248009</v>
      </c>
      <c r="D6" s="288">
        <v>8.1614362296682685</v>
      </c>
      <c r="E6" s="288">
        <v>-15.27034624070872</v>
      </c>
      <c r="F6" s="288">
        <v>12.484689967889938</v>
      </c>
      <c r="G6" s="288">
        <v>15.470167869987081</v>
      </c>
      <c r="H6" s="288">
        <v>23.475740810072519</v>
      </c>
      <c r="I6" s="288">
        <v>8.1012447424346572</v>
      </c>
      <c r="J6" s="288">
        <v>2.9596540828861468</v>
      </c>
      <c r="K6" s="288">
        <v>-18.515216854677131</v>
      </c>
      <c r="L6" s="288">
        <v>13.990553896084556</v>
      </c>
      <c r="M6" s="288">
        <v>12.689769554351301</v>
      </c>
      <c r="N6" s="288">
        <v>8.6983693511540583</v>
      </c>
    </row>
    <row r="7" spans="1:14" ht="15" customHeight="1">
      <c r="A7" s="287"/>
      <c r="B7" s="287" t="s">
        <v>90</v>
      </c>
      <c r="C7" s="288">
        <v>12.923741402128956</v>
      </c>
      <c r="D7" s="288">
        <v>16.168961083639822</v>
      </c>
      <c r="E7" s="288">
        <v>-4.5877449804119514</v>
      </c>
      <c r="F7" s="288">
        <v>19.675449532909031</v>
      </c>
      <c r="G7" s="288">
        <v>1.896032089145159</v>
      </c>
      <c r="H7" s="288">
        <v>11.661263054045964</v>
      </c>
      <c r="I7" s="288">
        <v>8.9670888124123476</v>
      </c>
      <c r="J7" s="288">
        <v>5.279936090675367</v>
      </c>
      <c r="K7" s="288">
        <v>-17.580001401578642</v>
      </c>
      <c r="L7" s="288">
        <v>14.706924017613824</v>
      </c>
      <c r="M7" s="288">
        <v>9.287747461814007</v>
      </c>
      <c r="N7" s="288">
        <v>9.5676568963128616</v>
      </c>
    </row>
    <row r="8" spans="1:14" ht="15" customHeight="1">
      <c r="A8" s="287"/>
      <c r="B8" s="287" t="s">
        <v>91</v>
      </c>
      <c r="C8" s="288">
        <v>10.649361689654322</v>
      </c>
      <c r="D8" s="288">
        <v>11.430580262674187</v>
      </c>
      <c r="E8" s="288">
        <v>18.79262413689391</v>
      </c>
      <c r="F8" s="288">
        <v>8.3097671318404824</v>
      </c>
      <c r="G8" s="288">
        <v>2.6240080535434807</v>
      </c>
      <c r="H8" s="288">
        <v>1.9733392489815673</v>
      </c>
      <c r="I8" s="288">
        <v>9.5492082785295676</v>
      </c>
      <c r="J8" s="288">
        <v>7.1213711844196173</v>
      </c>
      <c r="K8" s="288">
        <v>11.963297795272759</v>
      </c>
      <c r="L8" s="288">
        <v>12.59161872768447</v>
      </c>
      <c r="M8" s="288">
        <v>7.5444196968216168</v>
      </c>
      <c r="N8" s="288">
        <v>7.5246756628702256</v>
      </c>
    </row>
    <row r="9" spans="1:14" ht="15" customHeight="1">
      <c r="A9" s="287"/>
      <c r="B9" s="287" t="s">
        <v>92</v>
      </c>
      <c r="C9" s="288">
        <v>6.8594668590197294</v>
      </c>
      <c r="D9" s="288">
        <v>18.7181103187914</v>
      </c>
      <c r="E9" s="288">
        <v>-7.070794232608181</v>
      </c>
      <c r="F9" s="288">
        <v>7.0950037741080259</v>
      </c>
      <c r="G9" s="288">
        <v>-9.5512218614701119E-2</v>
      </c>
      <c r="H9" s="288">
        <v>29.361440999169762</v>
      </c>
      <c r="I9" s="288">
        <v>9.3034122625129818</v>
      </c>
      <c r="J9" s="288">
        <v>7.5458344011338871</v>
      </c>
      <c r="K9" s="288">
        <v>10.307835701097689</v>
      </c>
      <c r="L9" s="288">
        <v>12.073288314913775</v>
      </c>
      <c r="M9" s="288">
        <v>5.9938865604202762</v>
      </c>
      <c r="N9" s="288">
        <v>11.541937983066166</v>
      </c>
    </row>
    <row r="10" spans="1:14" ht="15" customHeight="1">
      <c r="A10" s="287"/>
      <c r="B10" s="287" t="s">
        <v>93</v>
      </c>
      <c r="C10" s="288">
        <v>-0.48732704527934467</v>
      </c>
      <c r="D10" s="288">
        <v>-7.8800306380784804</v>
      </c>
      <c r="E10" s="288">
        <v>-30.361441173168373</v>
      </c>
      <c r="F10" s="288">
        <v>10.511796415177992</v>
      </c>
      <c r="G10" s="288">
        <v>7.5914593948982843</v>
      </c>
      <c r="H10" s="288">
        <v>3.3798370990175597</v>
      </c>
      <c r="I10" s="288">
        <v>8.0797637617305043</v>
      </c>
      <c r="J10" s="288">
        <v>5.255271686834619</v>
      </c>
      <c r="K10" s="288">
        <v>8.1884459205469931</v>
      </c>
      <c r="L10" s="288">
        <v>11.961455814201937</v>
      </c>
      <c r="M10" s="288">
        <v>6.2727330936988253</v>
      </c>
      <c r="N10" s="288">
        <v>9.2033195545007924</v>
      </c>
    </row>
    <row r="11" spans="1:14" ht="15" customHeight="1">
      <c r="A11" s="287"/>
      <c r="B11" s="287" t="s">
        <v>94</v>
      </c>
      <c r="C11" s="288">
        <v>9.943882261585772</v>
      </c>
      <c r="D11" s="288">
        <v>10.402407127729774</v>
      </c>
      <c r="E11" s="288">
        <v>35.158963451676478</v>
      </c>
      <c r="F11" s="288">
        <v>4.5218441400870093</v>
      </c>
      <c r="G11" s="288">
        <v>8.6811098441657162</v>
      </c>
      <c r="H11" s="288">
        <v>24.807625943707507</v>
      </c>
      <c r="I11" s="288">
        <v>8.439273153027596</v>
      </c>
      <c r="J11" s="288">
        <v>6.22985191469615</v>
      </c>
      <c r="K11" s="288">
        <v>13.097617344457973</v>
      </c>
      <c r="L11" s="288">
        <v>10.312181370188322</v>
      </c>
      <c r="M11" s="288">
        <v>6.6367881811641443</v>
      </c>
      <c r="N11" s="288">
        <v>11.515024588789162</v>
      </c>
    </row>
    <row r="12" spans="1:14" ht="15" customHeight="1">
      <c r="A12" s="287"/>
      <c r="B12" s="287" t="s">
        <v>95</v>
      </c>
      <c r="C12" s="288">
        <v>17.85639202584203</v>
      </c>
      <c r="D12" s="288">
        <v>6.991571231406879</v>
      </c>
      <c r="E12" s="288">
        <v>24.883237846583107</v>
      </c>
      <c r="F12" s="288" t="s">
        <v>262</v>
      </c>
      <c r="G12" s="288">
        <v>3.6718817626149383</v>
      </c>
      <c r="H12" s="288">
        <v>1.3893454852593832</v>
      </c>
      <c r="I12" s="288">
        <v>9.3506912269288147</v>
      </c>
      <c r="J12" s="288">
        <v>6.2772747872879942</v>
      </c>
      <c r="K12" s="288">
        <v>19.353393154668733</v>
      </c>
      <c r="L12" s="288">
        <v>9.6809739469198757</v>
      </c>
      <c r="M12" s="288">
        <v>6.2177241427827337</v>
      </c>
      <c r="N12" s="288">
        <v>10.690324629664644</v>
      </c>
    </row>
    <row r="13" spans="1:14" ht="15" customHeight="1">
      <c r="A13" s="287"/>
      <c r="B13" s="287" t="s">
        <v>96</v>
      </c>
      <c r="C13" s="288">
        <v>5.6288449532821572</v>
      </c>
      <c r="D13" s="288">
        <v>11.404962850100752</v>
      </c>
      <c r="E13" s="288">
        <v>-18.445499231202568</v>
      </c>
      <c r="F13" s="288">
        <v>2.2065172165608682</v>
      </c>
      <c r="G13" s="288">
        <v>2.9695188421857779</v>
      </c>
      <c r="H13" s="288">
        <v>8.8314601517916298</v>
      </c>
      <c r="I13" s="288">
        <v>8.9307937391746606</v>
      </c>
      <c r="J13" s="288">
        <v>6.9433967160547256</v>
      </c>
      <c r="K13" s="288">
        <v>18.205744389349238</v>
      </c>
      <c r="L13" s="288">
        <v>8.7527286697743989</v>
      </c>
      <c r="M13" s="288">
        <v>5.8413451452001048</v>
      </c>
      <c r="N13" s="288">
        <v>10.459517857471427</v>
      </c>
    </row>
    <row r="14" spans="1:14" ht="15" customHeight="1">
      <c r="A14" s="287"/>
      <c r="B14" s="287" t="s">
        <v>97</v>
      </c>
      <c r="C14" s="288">
        <v>11.775351247575077</v>
      </c>
      <c r="D14" s="288">
        <v>10.182996611952074</v>
      </c>
      <c r="E14" s="288">
        <v>16.655202331429251</v>
      </c>
      <c r="F14" s="288">
        <v>8.9754134795232261</v>
      </c>
      <c r="G14" s="288">
        <v>8.9221481496929353</v>
      </c>
      <c r="H14" s="288">
        <v>25.695883684596499</v>
      </c>
      <c r="I14" s="288">
        <v>9.432986892185987</v>
      </c>
      <c r="J14" s="288">
        <v>7.4344505773691631</v>
      </c>
      <c r="K14" s="288">
        <v>17.71840741775242</v>
      </c>
      <c r="L14" s="288">
        <v>8.7926810108205053</v>
      </c>
      <c r="M14" s="288">
        <v>6.1539822970005478</v>
      </c>
      <c r="N14" s="288">
        <v>12.008298483527005</v>
      </c>
    </row>
    <row r="15" spans="1:14" ht="15" customHeight="1">
      <c r="A15" s="287"/>
      <c r="B15" s="287" t="s">
        <v>98</v>
      </c>
      <c r="C15" s="288">
        <v>0.85901180311375946</v>
      </c>
      <c r="D15" s="288">
        <v>0.15466412697325588</v>
      </c>
      <c r="E15" s="288">
        <v>39.448309476721057</v>
      </c>
      <c r="F15" s="288">
        <v>2.6114246289451115</v>
      </c>
      <c r="G15" s="288">
        <v>-2.8308273128618562</v>
      </c>
      <c r="H15" s="288">
        <v>6.4009048520382255</v>
      </c>
      <c r="I15" s="288">
        <v>8.8407268694158194</v>
      </c>
      <c r="J15" s="288">
        <v>6.7130922156409545</v>
      </c>
      <c r="K15" s="288">
        <v>18.022410598469396</v>
      </c>
      <c r="L15" s="288">
        <v>8.4460745514714137</v>
      </c>
      <c r="M15" s="288">
        <v>5.3034969878267679</v>
      </c>
      <c r="N15" s="288">
        <v>11.572602281100584</v>
      </c>
    </row>
    <row r="16" spans="1:14" ht="15" customHeight="1">
      <c r="A16" s="287"/>
      <c r="B16" s="287" t="s">
        <v>99</v>
      </c>
      <c r="C16" s="288">
        <v>18.385129183157527</v>
      </c>
      <c r="D16" s="288">
        <v>5.2874582418421348</v>
      </c>
      <c r="E16" s="288" t="s">
        <v>262</v>
      </c>
      <c r="F16" s="288">
        <v>7.707831055517242</v>
      </c>
      <c r="G16" s="288">
        <v>-1.0482805210815758</v>
      </c>
      <c r="H16" s="288">
        <v>4.4158497633634237</v>
      </c>
      <c r="I16" s="288">
        <v>9.3281423165518298</v>
      </c>
      <c r="J16" s="288">
        <v>6.6377556470629555</v>
      </c>
      <c r="K16" s="288">
        <v>22.71709256541515</v>
      </c>
      <c r="L16" s="288">
        <v>8.4203536214310866</v>
      </c>
      <c r="M16" s="288">
        <v>4.7727522364624591</v>
      </c>
      <c r="N16" s="288">
        <v>10.952860202464567</v>
      </c>
    </row>
    <row r="17" spans="1:14" ht="15" customHeight="1">
      <c r="A17" s="284">
        <v>2001</v>
      </c>
      <c r="B17" s="285" t="s">
        <v>88</v>
      </c>
      <c r="C17" s="286">
        <v>2.9480773126896329</v>
      </c>
      <c r="D17" s="286">
        <v>6.8745358564811943</v>
      </c>
      <c r="E17" s="286">
        <v>-3.4079786585322194</v>
      </c>
      <c r="F17" s="286">
        <v>16.245222264274677</v>
      </c>
      <c r="G17" s="286">
        <v>-15.498929957331297</v>
      </c>
      <c r="H17" s="286">
        <v>1.3584214498308333</v>
      </c>
      <c r="I17" s="286">
        <v>2.9480773126896329</v>
      </c>
      <c r="J17" s="286">
        <v>6.8745358564811943</v>
      </c>
      <c r="K17" s="286">
        <v>-3.4079786585322194</v>
      </c>
      <c r="L17" s="286">
        <v>16.245222264274677</v>
      </c>
      <c r="M17" s="286">
        <v>-15.498929957331297</v>
      </c>
      <c r="N17" s="286">
        <v>1.3584214498308333</v>
      </c>
    </row>
    <row r="18" spans="1:14" ht="15" customHeight="1">
      <c r="A18" s="287"/>
      <c r="B18" s="287" t="s">
        <v>89</v>
      </c>
      <c r="C18" s="288">
        <v>9.6389362657076312</v>
      </c>
      <c r="D18" s="288">
        <v>9.6318580661675668</v>
      </c>
      <c r="E18" s="288">
        <v>33.078233915856643</v>
      </c>
      <c r="F18" s="288">
        <v>9.2105676683997793</v>
      </c>
      <c r="G18" s="288">
        <v>9.2290130772700429</v>
      </c>
      <c r="H18" s="288">
        <v>11.922168442882224</v>
      </c>
      <c r="I18" s="288">
        <v>6.8499484314886505</v>
      </c>
      <c r="J18" s="288">
        <v>7.6821639361161473</v>
      </c>
      <c r="K18" s="288">
        <v>9.303952896197643</v>
      </c>
      <c r="L18" s="288">
        <v>9.6416114253036991</v>
      </c>
      <c r="M18" s="288">
        <v>-4.8688041804720656</v>
      </c>
      <c r="N18" s="288">
        <v>5.9032038831824316</v>
      </c>
    </row>
    <row r="19" spans="1:14" ht="15" customHeight="1">
      <c r="A19" s="287"/>
      <c r="B19" s="287" t="s">
        <v>90</v>
      </c>
      <c r="C19" s="288">
        <v>6.0686451287957812</v>
      </c>
      <c r="D19" s="288">
        <v>10.841412347822709</v>
      </c>
      <c r="E19" s="288">
        <v>7.0253514627789562</v>
      </c>
      <c r="F19" s="288">
        <v>-0.4803412741556003</v>
      </c>
      <c r="G19" s="288">
        <v>7.6010914975120274</v>
      </c>
      <c r="H19" s="288">
        <v>-5.354432387123083</v>
      </c>
      <c r="I19" s="288">
        <v>6.7045775841097912</v>
      </c>
      <c r="J19" s="288">
        <v>8.2944988282337047</v>
      </c>
      <c r="K19" s="288">
        <v>9.1268281226755388</v>
      </c>
      <c r="L19" s="288">
        <v>8.3108668492814814</v>
      </c>
      <c r="M19" s="288">
        <v>-1.2043111754661469</v>
      </c>
      <c r="N19" s="288">
        <v>2.5371988529883267</v>
      </c>
    </row>
    <row r="20" spans="1:14" ht="15" customHeight="1">
      <c r="A20" s="287"/>
      <c r="B20" s="287" t="s">
        <v>91</v>
      </c>
      <c r="C20" s="288">
        <v>6.4088144108731715</v>
      </c>
      <c r="D20" s="288">
        <v>9.5370483461657347</v>
      </c>
      <c r="E20" s="288">
        <v>2.1669793736325418</v>
      </c>
      <c r="F20" s="288">
        <v>4.9802540080903439</v>
      </c>
      <c r="G20" s="288">
        <v>7.000170133976674</v>
      </c>
      <c r="H20" s="288">
        <v>15.859941263139159</v>
      </c>
      <c r="I20" s="288">
        <v>6.6012064106893646</v>
      </c>
      <c r="J20" s="288">
        <v>8.6814692642863491</v>
      </c>
      <c r="K20" s="288">
        <v>3.1289458494042446</v>
      </c>
      <c r="L20" s="288">
        <v>7.2514380730535635</v>
      </c>
      <c r="M20" s="288">
        <v>0.84389307741359176</v>
      </c>
      <c r="N20" s="288">
        <v>5.9361721272117371</v>
      </c>
    </row>
    <row r="21" spans="1:14" ht="15" customHeight="1">
      <c r="A21" s="287"/>
      <c r="B21" s="287" t="s">
        <v>92</v>
      </c>
      <c r="C21" s="288">
        <v>9.6544890584268384</v>
      </c>
      <c r="D21" s="288">
        <v>33.201666212592507</v>
      </c>
      <c r="E21" s="288">
        <v>27.224756024527192</v>
      </c>
      <c r="F21" s="288">
        <v>-3.4532605717874678</v>
      </c>
      <c r="G21" s="288">
        <v>13.23259643662505</v>
      </c>
      <c r="H21" s="288">
        <v>-6.4613543420363184</v>
      </c>
      <c r="I21" s="288">
        <v>6.8739852022982051</v>
      </c>
      <c r="J21" s="288">
        <v>9.6721905841919273</v>
      </c>
      <c r="K21" s="288">
        <v>4.8944732871614676</v>
      </c>
      <c r="L21" s="288">
        <v>6.2868255005951363</v>
      </c>
      <c r="M21" s="288">
        <v>3.2137471157876365</v>
      </c>
      <c r="N21" s="288">
        <v>3.2910630416087847</v>
      </c>
    </row>
    <row r="22" spans="1:14" ht="15" customHeight="1">
      <c r="A22" s="287"/>
      <c r="B22" s="287" t="s">
        <v>93</v>
      </c>
      <c r="C22" s="288">
        <v>7.5775239565261483</v>
      </c>
      <c r="D22" s="288">
        <v>13.821501125788767</v>
      </c>
      <c r="E22" s="288">
        <v>46.333994291883855</v>
      </c>
      <c r="F22" s="288">
        <v>-0.73576551579763361</v>
      </c>
      <c r="G22" s="288">
        <v>5.3054527944454213E-2</v>
      </c>
      <c r="H22" s="288">
        <v>8.8905753467507456</v>
      </c>
      <c r="I22" s="288">
        <v>6.9549438463723137</v>
      </c>
      <c r="J22" s="288">
        <v>10.21142614810177</v>
      </c>
      <c r="K22" s="288">
        <v>6.2845155497122693</v>
      </c>
      <c r="L22" s="288">
        <v>5.7903866298896594</v>
      </c>
      <c r="M22" s="288">
        <v>2.6552218947818949</v>
      </c>
      <c r="N22" s="288">
        <v>4.8098876179163419</v>
      </c>
    </row>
    <row r="23" spans="1:14" ht="15" customHeight="1">
      <c r="A23" s="287"/>
      <c r="B23" s="287" t="s">
        <v>94</v>
      </c>
      <c r="C23" s="288">
        <v>6.043928627086208</v>
      </c>
      <c r="D23" s="288">
        <v>13.878670201764432</v>
      </c>
      <c r="E23" s="288">
        <v>0.6613630186737417</v>
      </c>
      <c r="F23" s="288">
        <v>0.831307051595921</v>
      </c>
      <c r="G23" s="288">
        <v>4.8498286353780511</v>
      </c>
      <c r="H23" s="288">
        <v>-4.488754465834095</v>
      </c>
      <c r="I23" s="288">
        <v>6.7768098439449771</v>
      </c>
      <c r="J23" s="288">
        <v>10.933071434676373</v>
      </c>
      <c r="K23" s="288">
        <v>5.0613360932478955</v>
      </c>
      <c r="L23" s="288">
        <v>4.748723408049246</v>
      </c>
      <c r="M23" s="288">
        <v>2.9933228485946626</v>
      </c>
      <c r="N23" s="288">
        <v>3.2681331382113035</v>
      </c>
    </row>
    <row r="24" spans="1:14" ht="15" customHeight="1">
      <c r="A24" s="287"/>
      <c r="B24" s="287" t="s">
        <v>95</v>
      </c>
      <c r="C24" s="288">
        <v>-7.1438301337886232</v>
      </c>
      <c r="D24" s="288">
        <v>-60.22947945678191</v>
      </c>
      <c r="E24" s="288">
        <v>-3.2352446235501717</v>
      </c>
      <c r="F24" s="288" t="s">
        <v>262</v>
      </c>
      <c r="G24" s="288">
        <v>-0.9389889489518608</v>
      </c>
      <c r="H24" s="288">
        <v>10.536948909041932</v>
      </c>
      <c r="I24" s="288">
        <v>5.324730341864627</v>
      </c>
      <c r="J24" s="288">
        <v>10.778329926150482</v>
      </c>
      <c r="K24" s="288">
        <v>0.45349762227146928</v>
      </c>
      <c r="L24" s="288">
        <v>3.4970391295554939</v>
      </c>
      <c r="M24" s="288">
        <v>2.450845836279151</v>
      </c>
      <c r="N24" s="288">
        <v>3.8104063279762865</v>
      </c>
    </row>
    <row r="25" spans="1:14" ht="15" customHeight="1">
      <c r="A25" s="287"/>
      <c r="B25" s="287" t="s">
        <v>96</v>
      </c>
      <c r="C25" s="288">
        <v>12.818172296027333</v>
      </c>
      <c r="D25" s="288">
        <v>14.283332761442658</v>
      </c>
      <c r="E25" s="288">
        <v>23.309274484105867</v>
      </c>
      <c r="F25" s="288">
        <v>10.851027706610767</v>
      </c>
      <c r="G25" s="288">
        <v>10.778510535628117</v>
      </c>
      <c r="H25" s="288">
        <v>14.926178080363103</v>
      </c>
      <c r="I25" s="288">
        <v>6.144511732166313</v>
      </c>
      <c r="J25" s="288">
        <v>11.252649526264348</v>
      </c>
      <c r="K25" s="288">
        <v>0.93227680442676919</v>
      </c>
      <c r="L25" s="288">
        <v>4.3553497653956823</v>
      </c>
      <c r="M25" s="288">
        <v>3.3896142612014519</v>
      </c>
      <c r="N25" s="288">
        <v>5.1702586664445649</v>
      </c>
    </row>
    <row r="26" spans="1:14" ht="15" customHeight="1">
      <c r="A26" s="287"/>
      <c r="B26" s="287" t="s">
        <v>97</v>
      </c>
      <c r="C26" s="288">
        <v>3.9629083319767902</v>
      </c>
      <c r="D26" s="288">
        <v>12.951701478949101</v>
      </c>
      <c r="E26" s="288">
        <v>-2.9469670200776199</v>
      </c>
      <c r="F26" s="288">
        <v>3.4838628839862071</v>
      </c>
      <c r="G26" s="288">
        <v>2.1611272239910937</v>
      </c>
      <c r="H26" s="288">
        <v>-9.9365836335041333</v>
      </c>
      <c r="I26" s="288">
        <v>5.7511159848320474</v>
      </c>
      <c r="J26" s="288">
        <v>11.516778123659357</v>
      </c>
      <c r="K26" s="288">
        <v>-0.27596155602193029</v>
      </c>
      <c r="L26" s="288">
        <v>4.1987318859507461</v>
      </c>
      <c r="M26" s="288">
        <v>3.2616975922886136</v>
      </c>
      <c r="N26" s="288">
        <v>3.446989700178102</v>
      </c>
    </row>
    <row r="27" spans="1:14" ht="15" customHeight="1">
      <c r="A27" s="287"/>
      <c r="B27" s="287" t="s">
        <v>98</v>
      </c>
      <c r="C27" s="288">
        <v>8.3134341622522214</v>
      </c>
      <c r="D27" s="288">
        <v>10.161748120000672</v>
      </c>
      <c r="E27" s="288">
        <v>52.338104515039205</v>
      </c>
      <c r="F27" s="288">
        <v>5.3476341574113935</v>
      </c>
      <c r="G27" s="288">
        <v>4.9115078385384523</v>
      </c>
      <c r="H27" s="288">
        <v>11.240553928481036</v>
      </c>
      <c r="I27" s="288">
        <v>5.9151321050161592</v>
      </c>
      <c r="J27" s="288">
        <v>11.390759475464099</v>
      </c>
      <c r="K27" s="288">
        <v>-0.13391892486468907</v>
      </c>
      <c r="L27" s="288">
        <v>4.2596890654067732</v>
      </c>
      <c r="M27" s="288">
        <v>3.4058021262786862</v>
      </c>
      <c r="N27" s="288">
        <v>4.0244825456703426</v>
      </c>
    </row>
    <row r="28" spans="1:14" ht="15" customHeight="1">
      <c r="A28" s="287"/>
      <c r="B28" s="287" t="s">
        <v>99</v>
      </c>
      <c r="C28" s="288">
        <v>3.6650915063941567</v>
      </c>
      <c r="D28" s="288">
        <v>13.421383292972685</v>
      </c>
      <c r="E28" s="288">
        <v>-1.2242890833939863</v>
      </c>
      <c r="F28" s="288">
        <v>-5.0384841159123406</v>
      </c>
      <c r="G28" s="288">
        <v>5.8719660342127593</v>
      </c>
      <c r="H28" s="288">
        <v>-12.976283224321925</v>
      </c>
      <c r="I28" s="288">
        <v>5.7907075519562978</v>
      </c>
      <c r="J28" s="288">
        <v>11.496707513773401</v>
      </c>
      <c r="K28" s="288">
        <v>-0.21471290317772421</v>
      </c>
      <c r="L28" s="288">
        <v>3.9378630630961831</v>
      </c>
      <c r="M28" s="288">
        <v>3.600422078425896</v>
      </c>
      <c r="N28" s="288">
        <v>2.6390308329065788</v>
      </c>
    </row>
    <row r="29" spans="1:14" ht="15" customHeight="1">
      <c r="A29" s="284">
        <v>2002</v>
      </c>
      <c r="B29" s="285" t="s">
        <v>88</v>
      </c>
      <c r="C29" s="286">
        <v>9.820403425475595</v>
      </c>
      <c r="D29" s="286">
        <v>9.824618846768173</v>
      </c>
      <c r="E29" s="286">
        <v>16.747527131537037</v>
      </c>
      <c r="F29" s="286">
        <v>-4.7229898545516056</v>
      </c>
      <c r="G29" s="286">
        <v>16.74240480375629</v>
      </c>
      <c r="H29" s="286">
        <v>4.5908387180509331</v>
      </c>
      <c r="I29" s="286">
        <v>9.820403425475595</v>
      </c>
      <c r="J29" s="286">
        <v>9.824618846768173</v>
      </c>
      <c r="K29" s="286">
        <v>16.747527131537037</v>
      </c>
      <c r="L29" s="286">
        <v>-4.7229898545516056</v>
      </c>
      <c r="M29" s="286">
        <v>16.74240480375629</v>
      </c>
      <c r="N29" s="286">
        <v>4.5908387180509331</v>
      </c>
    </row>
    <row r="30" spans="1:14" ht="15" customHeight="1">
      <c r="A30" s="287"/>
      <c r="B30" s="287" t="s">
        <v>89</v>
      </c>
      <c r="C30" s="288">
        <v>6.3342141322614731</v>
      </c>
      <c r="D30" s="288">
        <v>7.154584890165637</v>
      </c>
      <c r="E30" s="288">
        <v>-14.344268208208193</v>
      </c>
      <c r="F30" s="288">
        <v>7.9661146114977601</v>
      </c>
      <c r="G30" s="288">
        <v>-1.7869927261190299</v>
      </c>
      <c r="H30" s="288">
        <v>6.4973319246251995</v>
      </c>
      <c r="I30" s="288">
        <v>7.7227859094502875</v>
      </c>
      <c r="J30" s="288">
        <v>9.0313636467664047</v>
      </c>
      <c r="K30" s="288">
        <v>0.25445794088658086</v>
      </c>
      <c r="L30" s="288">
        <v>7.1417691405172734</v>
      </c>
      <c r="M30" s="288">
        <v>7.6550219852508397</v>
      </c>
      <c r="N30" s="288">
        <v>5.5065658358131531</v>
      </c>
    </row>
    <row r="31" spans="1:14" ht="15" customHeight="1">
      <c r="A31" s="287"/>
      <c r="B31" s="287" t="s">
        <v>90</v>
      </c>
      <c r="C31" s="288">
        <v>3.76797226450359</v>
      </c>
      <c r="D31" s="288">
        <v>4.4228306858526985</v>
      </c>
      <c r="E31" s="288" t="s">
        <v>262</v>
      </c>
      <c r="F31" s="288">
        <v>-2.5356178545729886</v>
      </c>
      <c r="G31" s="288">
        <v>8.5057451154490469</v>
      </c>
      <c r="H31" s="288">
        <v>13.612985700270535</v>
      </c>
      <c r="I31" s="288">
        <v>7.0104757854814386</v>
      </c>
      <c r="J31" s="288">
        <v>8.1237021565231569</v>
      </c>
      <c r="K31" s="288">
        <v>-0.91861038367989856</v>
      </c>
      <c r="L31" s="288">
        <v>5.9727399480752519</v>
      </c>
      <c r="M31" s="288">
        <v>7.9252959813239956</v>
      </c>
      <c r="N31" s="288">
        <v>7.7307982734993343</v>
      </c>
    </row>
    <row r="32" spans="1:14" ht="15" customHeight="1">
      <c r="A32" s="287"/>
      <c r="B32" s="287" t="s">
        <v>91</v>
      </c>
      <c r="C32" s="288">
        <v>6.371747311332375</v>
      </c>
      <c r="D32" s="288">
        <v>7.4593515241530195</v>
      </c>
      <c r="E32" s="288">
        <v>6.5540722708554062</v>
      </c>
      <c r="F32" s="288">
        <v>1.5846521773980726</v>
      </c>
      <c r="G32" s="288">
        <v>17.783646601387847</v>
      </c>
      <c r="H32" s="288">
        <v>15.651622140509582</v>
      </c>
      <c r="I32" s="288">
        <v>6.7873797726849023</v>
      </c>
      <c r="J32" s="288">
        <v>7.9147062367955323</v>
      </c>
      <c r="K32" s="288">
        <v>5.1756066865874377</v>
      </c>
      <c r="L32" s="288">
        <v>4.606498634275126</v>
      </c>
      <c r="M32" s="288">
        <v>10.527005950588512</v>
      </c>
      <c r="N32" s="288">
        <v>9.8193677700345443</v>
      </c>
    </row>
    <row r="33" spans="1:14" ht="15" customHeight="1">
      <c r="A33" s="287"/>
      <c r="B33" s="287" t="s">
        <v>92</v>
      </c>
      <c r="C33" s="288">
        <v>-0.9274370854741486</v>
      </c>
      <c r="D33" s="288">
        <v>8.1042331218859243</v>
      </c>
      <c r="E33" s="288">
        <v>-24.935829334009192</v>
      </c>
      <c r="F33" s="288">
        <v>6.443205519545395</v>
      </c>
      <c r="G33" s="288">
        <v>-12.002698013253182</v>
      </c>
      <c r="H33" s="288">
        <v>14.532869621921233</v>
      </c>
      <c r="I33" s="288">
        <v>6.0946572293048984</v>
      </c>
      <c r="J33" s="288">
        <v>7.9236907963305736</v>
      </c>
      <c r="K33" s="288">
        <v>2.582126533393442</v>
      </c>
      <c r="L33" s="288">
        <v>4.7568393113397418</v>
      </c>
      <c r="M33" s="288">
        <v>5.7934494977112285</v>
      </c>
      <c r="N33" s="288">
        <v>10.769998999930133</v>
      </c>
    </row>
    <row r="34" spans="1:14" ht="15" customHeight="1">
      <c r="A34" s="287"/>
      <c r="B34" s="287" t="s">
        <v>93</v>
      </c>
      <c r="C34" s="288">
        <v>7.0578483767137694</v>
      </c>
      <c r="D34" s="288">
        <v>13.178409814010658</v>
      </c>
      <c r="E34" s="288">
        <v>-30.307676960295886</v>
      </c>
      <c r="F34" s="288">
        <v>-0.36847483353608484</v>
      </c>
      <c r="G34" s="288">
        <v>3.7415495393516336</v>
      </c>
      <c r="H34" s="288">
        <v>19.11486313635201</v>
      </c>
      <c r="I34" s="288">
        <v>6.2000794697763553</v>
      </c>
      <c r="J34" s="288">
        <v>8.6272984950764382</v>
      </c>
      <c r="K34" s="288">
        <v>1.0844732679782703</v>
      </c>
      <c r="L34" s="288">
        <v>4.4168733113157188</v>
      </c>
      <c r="M34" s="288">
        <v>5.4435760593797378</v>
      </c>
      <c r="N34" s="288">
        <v>12.242175133051791</v>
      </c>
    </row>
    <row r="35" spans="1:14" ht="15" customHeight="1">
      <c r="A35" s="287"/>
      <c r="B35" s="287" t="s">
        <v>94</v>
      </c>
      <c r="C35" s="288">
        <v>4.7148122122002443</v>
      </c>
      <c r="D35" s="288">
        <v>7.9840018479244685</v>
      </c>
      <c r="E35" s="288">
        <v>16.37725467134306</v>
      </c>
      <c r="F35" s="288">
        <v>3.9437621760563717</v>
      </c>
      <c r="G35" s="288">
        <v>-3.6430522071918348</v>
      </c>
      <c r="H35" s="288">
        <v>-37.60271089665774</v>
      </c>
      <c r="I35" s="288">
        <v>5.9121438796175152</v>
      </c>
      <c r="J35" s="288">
        <v>8.4970975230770094</v>
      </c>
      <c r="K35" s="288">
        <v>4.0696318958762401</v>
      </c>
      <c r="L35" s="288">
        <v>4.3212120547831674</v>
      </c>
      <c r="M35" s="288">
        <v>4.0352338683690858</v>
      </c>
      <c r="N35" s="288">
        <v>4.4619325106642291</v>
      </c>
    </row>
    <row r="36" spans="1:14" ht="15" customHeight="1">
      <c r="A36" s="287"/>
      <c r="B36" s="287" t="s">
        <v>95</v>
      </c>
      <c r="C36" s="288">
        <v>26.318429837839762</v>
      </c>
      <c r="D36" s="288">
        <v>-3.699233868402124</v>
      </c>
      <c r="E36" s="288">
        <v>29.176379025811588</v>
      </c>
      <c r="F36" s="288">
        <v>-23.20634525351802</v>
      </c>
      <c r="G36" s="288">
        <v>11.79306415334338</v>
      </c>
      <c r="H36" s="288">
        <v>18.41307976572978</v>
      </c>
      <c r="I36" s="288">
        <v>7.7926538148987188</v>
      </c>
      <c r="J36" s="288">
        <v>8.5248113819833051</v>
      </c>
      <c r="K36" s="288">
        <v>17.23166143983406</v>
      </c>
      <c r="L36" s="288">
        <v>3.8547162398596542</v>
      </c>
      <c r="M36" s="288">
        <v>5.0800981806934047</v>
      </c>
      <c r="N36" s="288">
        <v>5.715017406474324</v>
      </c>
    </row>
    <row r="37" spans="1:14" ht="15" customHeight="1">
      <c r="A37" s="287"/>
      <c r="B37" s="287" t="s">
        <v>96</v>
      </c>
      <c r="C37" s="288">
        <v>4.2349601758317679</v>
      </c>
      <c r="D37" s="288">
        <v>8.0962794452831677</v>
      </c>
      <c r="E37" s="288">
        <v>-3.5558502282249536</v>
      </c>
      <c r="F37" s="288">
        <v>3.9135415263272417</v>
      </c>
      <c r="G37" s="288">
        <v>-2.3707430302971439</v>
      </c>
      <c r="H37" s="288">
        <v>-3.1475051155539413</v>
      </c>
      <c r="I37" s="288">
        <v>7.3778913660576704</v>
      </c>
      <c r="J37" s="288">
        <v>8.4654875387660518</v>
      </c>
      <c r="K37" s="288">
        <v>16.758809872823896</v>
      </c>
      <c r="L37" s="288">
        <v>3.8620093135171474</v>
      </c>
      <c r="M37" s="288">
        <v>4.1577652767345059</v>
      </c>
      <c r="N37" s="288">
        <v>4.2646646318702466</v>
      </c>
    </row>
    <row r="38" spans="1:14" ht="15" customHeight="1">
      <c r="A38" s="287"/>
      <c r="B38" s="287" t="s">
        <v>97</v>
      </c>
      <c r="C38" s="288">
        <v>7.136396930089103</v>
      </c>
      <c r="D38" s="288">
        <v>7.1043439323615027</v>
      </c>
      <c r="E38" s="288">
        <v>8.7856357855419187</v>
      </c>
      <c r="F38" s="288">
        <v>7.3374656303350969</v>
      </c>
      <c r="G38" s="288">
        <v>1.2712708101778931</v>
      </c>
      <c r="H38" s="288">
        <v>3.9693236091595856</v>
      </c>
      <c r="I38" s="288">
        <v>7.3347605632496498</v>
      </c>
      <c r="J38" s="288">
        <v>8.2502339328130976</v>
      </c>
      <c r="K38" s="288">
        <v>14.374457534988858</v>
      </c>
      <c r="L38" s="288">
        <v>4.4823103658640653</v>
      </c>
      <c r="M38" s="288">
        <v>3.8586932968087231</v>
      </c>
      <c r="N38" s="288">
        <v>4.2345021432176351</v>
      </c>
    </row>
    <row r="39" spans="1:14" ht="15" customHeight="1">
      <c r="A39" s="287"/>
      <c r="B39" s="287" t="s">
        <v>98</v>
      </c>
      <c r="C39" s="288">
        <v>12.903752478738115</v>
      </c>
      <c r="D39" s="288">
        <v>9.621826155523836</v>
      </c>
      <c r="E39" s="288" t="s">
        <v>262</v>
      </c>
      <c r="F39" s="288">
        <v>11.864854945705259</v>
      </c>
      <c r="G39" s="288">
        <v>16.822344112179561</v>
      </c>
      <c r="H39" s="288">
        <v>-3.6285244153371567</v>
      </c>
      <c r="I39" s="288">
        <v>7.6965983761803383</v>
      </c>
      <c r="J39" s="288">
        <v>8.3760708247490001</v>
      </c>
      <c r="K39" s="288">
        <v>15.231955340944189</v>
      </c>
      <c r="L39" s="288">
        <v>4.87809252661408</v>
      </c>
      <c r="M39" s="288">
        <v>5.0078958574634616</v>
      </c>
      <c r="N39" s="288">
        <v>3.5231284286590316</v>
      </c>
    </row>
    <row r="40" spans="1:14" ht="15" customHeight="1">
      <c r="A40" s="287"/>
      <c r="B40" s="287" t="s">
        <v>99</v>
      </c>
      <c r="C40" s="288">
        <v>21.983985395705279</v>
      </c>
      <c r="D40" s="288">
        <v>10.705716283164522</v>
      </c>
      <c r="E40" s="288">
        <v>61.766428264494046</v>
      </c>
      <c r="F40" s="288">
        <v>9.6496507066230599</v>
      </c>
      <c r="G40" s="288">
        <v>12.166494165398275</v>
      </c>
      <c r="H40" s="288">
        <v>29.098818957606561</v>
      </c>
      <c r="I40" s="288">
        <v>8.4722864630034227</v>
      </c>
      <c r="J40" s="288">
        <v>8.5039930560466619</v>
      </c>
      <c r="K40" s="288">
        <v>18.565566516258379</v>
      </c>
      <c r="L40" s="288">
        <v>5.0289815259589723</v>
      </c>
      <c r="M40" s="288">
        <v>5.5773387700069446</v>
      </c>
      <c r="N40" s="288">
        <v>5.4102187996242366</v>
      </c>
    </row>
    <row r="41" spans="1:14" ht="15" customHeight="1">
      <c r="A41" s="284">
        <v>2003</v>
      </c>
      <c r="B41" s="285" t="s">
        <v>88</v>
      </c>
      <c r="C41" s="286">
        <v>5.8708145711824224</v>
      </c>
      <c r="D41" s="286">
        <v>8.6207608856510731</v>
      </c>
      <c r="E41" s="286">
        <v>1.4945299745446952</v>
      </c>
      <c r="F41" s="286">
        <v>11.986573728977094</v>
      </c>
      <c r="G41" s="286">
        <v>-7.5158578870392585</v>
      </c>
      <c r="H41" s="286">
        <v>-1.0021952567091241</v>
      </c>
      <c r="I41" s="286">
        <v>5.8708145711824224</v>
      </c>
      <c r="J41" s="286">
        <v>8.6207608856510731</v>
      </c>
      <c r="K41" s="286">
        <v>1.4945299745446952</v>
      </c>
      <c r="L41" s="286">
        <v>11.986573728977094</v>
      </c>
      <c r="M41" s="286">
        <v>-7.5158578870392585</v>
      </c>
      <c r="N41" s="286">
        <v>-1.0021952567091241</v>
      </c>
    </row>
    <row r="42" spans="1:14" ht="15" customHeight="1">
      <c r="A42" s="287"/>
      <c r="B42" s="287" t="s">
        <v>89</v>
      </c>
      <c r="C42" s="288">
        <v>12.375139556279816</v>
      </c>
      <c r="D42" s="288">
        <v>7.142706481020249</v>
      </c>
      <c r="E42" s="288">
        <v>-28.827883373710566</v>
      </c>
      <c r="F42" s="288">
        <v>14.628805411980006</v>
      </c>
      <c r="G42" s="288">
        <v>21.921019384060116</v>
      </c>
      <c r="H42" s="288">
        <v>-4.1632524919551059</v>
      </c>
      <c r="I42" s="288">
        <v>9.733977436798547</v>
      </c>
      <c r="J42" s="288">
        <v>8.1891962221326189</v>
      </c>
      <c r="K42" s="288">
        <v>-12.248173658308232</v>
      </c>
      <c r="L42" s="288">
        <v>14.476161851954394</v>
      </c>
      <c r="M42" s="288">
        <v>5.6546941153769028</v>
      </c>
      <c r="N42" s="288">
        <v>-2.5347726421728449</v>
      </c>
    </row>
    <row r="43" spans="1:14" ht="15" customHeight="1">
      <c r="A43" s="287"/>
      <c r="B43" s="287" t="s">
        <v>90</v>
      </c>
      <c r="C43" s="288">
        <v>4.5803508457591242</v>
      </c>
      <c r="D43" s="288">
        <v>3.4706437006054345</v>
      </c>
      <c r="E43" s="288" t="s">
        <v>262</v>
      </c>
      <c r="F43" s="288">
        <v>1.7785119970069956</v>
      </c>
      <c r="G43" s="288">
        <v>2.4626363898746995</v>
      </c>
      <c r="H43" s="288">
        <v>12.399817578276863</v>
      </c>
      <c r="I43" s="288">
        <v>8.833872639017784</v>
      </c>
      <c r="J43" s="288">
        <v>7.2916753445455216</v>
      </c>
      <c r="K43" s="288">
        <v>-2.1264579288598227</v>
      </c>
      <c r="L43" s="288">
        <v>13.065436843339198</v>
      </c>
      <c r="M43" s="288">
        <v>4.6351260040253717</v>
      </c>
      <c r="N43" s="288">
        <v>1.7867071068065343</v>
      </c>
    </row>
    <row r="44" spans="1:14" ht="15" customHeight="1">
      <c r="A44" s="287"/>
      <c r="B44" s="287" t="s">
        <v>91</v>
      </c>
      <c r="C44" s="288">
        <v>8.8472222711621704</v>
      </c>
      <c r="D44" s="288">
        <v>4.5511699050997709</v>
      </c>
      <c r="E44" s="288">
        <v>20.747827709544929</v>
      </c>
      <c r="F44" s="288">
        <v>13.811751824566693</v>
      </c>
      <c r="G44" s="288">
        <v>-13.496306290001481</v>
      </c>
      <c r="H44" s="288">
        <v>-4.22358465880155</v>
      </c>
      <c r="I44" s="288">
        <v>8.8385172697650809</v>
      </c>
      <c r="J44" s="288">
        <v>6.4331864022185563</v>
      </c>
      <c r="K44" s="288">
        <v>16.772764935034981</v>
      </c>
      <c r="L44" s="288">
        <v>13.291091188083165</v>
      </c>
      <c r="M44" s="288">
        <v>-0.46408899906956397</v>
      </c>
      <c r="N44" s="288">
        <v>0.11774329773428142</v>
      </c>
    </row>
    <row r="45" spans="1:14" ht="15" customHeight="1">
      <c r="A45" s="287"/>
      <c r="B45" s="287" t="s">
        <v>92</v>
      </c>
      <c r="C45" s="288">
        <v>3.5624060880420223</v>
      </c>
      <c r="D45" s="288">
        <v>-22.097566162435644</v>
      </c>
      <c r="E45" s="288">
        <v>6.6428562758166319</v>
      </c>
      <c r="F45" s="288">
        <v>6.7293172314078928</v>
      </c>
      <c r="G45" s="288">
        <v>23.218619854827359</v>
      </c>
      <c r="H45" s="288">
        <v>-10.40192630461471</v>
      </c>
      <c r="I45" s="288">
        <v>8.3961250067636222</v>
      </c>
      <c r="J45" s="288">
        <v>5.0784178577026218</v>
      </c>
      <c r="K45" s="288">
        <v>16.134328029985859</v>
      </c>
      <c r="L45" s="288">
        <v>12.745341531033594</v>
      </c>
      <c r="M45" s="288">
        <v>3.6747070947631264</v>
      </c>
      <c r="N45" s="288">
        <v>-2.0759630184110236</v>
      </c>
    </row>
    <row r="46" spans="1:14" ht="15" customHeight="1">
      <c r="A46" s="287"/>
      <c r="B46" s="287" t="s">
        <v>93</v>
      </c>
      <c r="C46" s="288">
        <v>7.7420814406694252</v>
      </c>
      <c r="D46" s="288">
        <v>33.601860817631227</v>
      </c>
      <c r="E46" s="288">
        <v>-3.5838973090106108</v>
      </c>
      <c r="F46" s="288">
        <v>-2.8291716939509044</v>
      </c>
      <c r="G46" s="288">
        <v>7.6035998626978367</v>
      </c>
      <c r="H46" s="288">
        <v>-6.21402645934453</v>
      </c>
      <c r="I46" s="288">
        <v>8.3493616146006566</v>
      </c>
      <c r="J46" s="288">
        <v>6.1811209806999958</v>
      </c>
      <c r="K46" s="288">
        <v>15.515288599196717</v>
      </c>
      <c r="L46" s="288">
        <v>11.759616983865861</v>
      </c>
      <c r="M46" s="288">
        <v>4.3338165930760164</v>
      </c>
      <c r="N46" s="288">
        <v>-2.8506879437079848</v>
      </c>
    </row>
    <row r="47" spans="1:14" ht="15" customHeight="1">
      <c r="A47" s="287"/>
      <c r="B47" s="287" t="s">
        <v>94</v>
      </c>
      <c r="C47" s="288">
        <v>7.4065665038794428</v>
      </c>
      <c r="D47" s="288">
        <v>1.9628048396075504</v>
      </c>
      <c r="E47" s="288">
        <v>0.67288642685799149</v>
      </c>
      <c r="F47" s="288">
        <v>11.916776500798857</v>
      </c>
      <c r="G47" s="288">
        <v>17.172356834458171</v>
      </c>
      <c r="H47" s="288">
        <v>87.043509289900626</v>
      </c>
      <c r="I47" s="288">
        <v>8.1367807986327829</v>
      </c>
      <c r="J47" s="288">
        <v>4.9780011844791376</v>
      </c>
      <c r="K47" s="288">
        <v>12.275406412950751</v>
      </c>
      <c r="L47" s="288">
        <v>11.791279061107266</v>
      </c>
      <c r="M47" s="288">
        <v>6.1768094938029083</v>
      </c>
      <c r="N47" s="288">
        <v>5.5306211552081344</v>
      </c>
    </row>
    <row r="48" spans="1:14" ht="15" customHeight="1">
      <c r="A48" s="287"/>
      <c r="B48" s="287" t="s">
        <v>95</v>
      </c>
      <c r="C48" s="288">
        <v>-0.44009770960556688</v>
      </c>
      <c r="D48" s="288">
        <v>47.016464257709842</v>
      </c>
      <c r="E48" s="288">
        <v>-2.8789379060103331</v>
      </c>
      <c r="F48" s="288">
        <v>9.7470196510936642</v>
      </c>
      <c r="G48" s="288">
        <v>2.2014781101956276</v>
      </c>
      <c r="H48" s="288">
        <v>1.547775709006759</v>
      </c>
      <c r="I48" s="288">
        <v>7.2105515804867988</v>
      </c>
      <c r="J48" s="288">
        <v>5.2649819073750974</v>
      </c>
      <c r="K48" s="288">
        <v>3.5213820697937068</v>
      </c>
      <c r="L48" s="288">
        <v>12.422448477867579</v>
      </c>
      <c r="M48" s="288">
        <v>5.6071867140254374</v>
      </c>
      <c r="N48" s="288">
        <v>5.1299140737753071</v>
      </c>
    </row>
    <row r="49" spans="1:14" ht="15" customHeight="1">
      <c r="A49" s="287"/>
      <c r="B49" s="287" t="s">
        <v>96</v>
      </c>
      <c r="C49" s="288">
        <v>3.84034211743539</v>
      </c>
      <c r="D49" s="288">
        <v>-4.0780770301593163</v>
      </c>
      <c r="E49" s="288">
        <v>35.599595841174519</v>
      </c>
      <c r="F49" s="288">
        <v>12.746094732884231</v>
      </c>
      <c r="G49" s="288">
        <v>0.88828727044051969</v>
      </c>
      <c r="H49" s="288">
        <v>7.3709674837830486</v>
      </c>
      <c r="I49" s="288">
        <v>6.8291466438597475</v>
      </c>
      <c r="J49" s="288">
        <v>3.9759776644928948</v>
      </c>
      <c r="K49" s="288">
        <v>4.1241064139890131</v>
      </c>
      <c r="L49" s="288">
        <v>12.462593579466468</v>
      </c>
      <c r="M49" s="288">
        <v>5.0596522662403123</v>
      </c>
      <c r="N49" s="288">
        <v>5.4705905661518486</v>
      </c>
    </row>
    <row r="50" spans="1:14" ht="15" customHeight="1">
      <c r="A50" s="287"/>
      <c r="B50" s="287" t="s">
        <v>97</v>
      </c>
      <c r="C50" s="288">
        <v>11.330901060033192</v>
      </c>
      <c r="D50" s="288">
        <v>2.3125275521822037</v>
      </c>
      <c r="E50" s="288">
        <v>23.195277570854927</v>
      </c>
      <c r="F50" s="288">
        <v>10.716968611067095</v>
      </c>
      <c r="G50" s="288">
        <v>7.3202957698224687</v>
      </c>
      <c r="H50" s="288">
        <v>14.811455189004489</v>
      </c>
      <c r="I50" s="288">
        <v>7.631672173571789</v>
      </c>
      <c r="J50" s="288">
        <v>3.7157014327456181</v>
      </c>
      <c r="K50" s="288">
        <v>9.5485982017936486</v>
      </c>
      <c r="L50" s="288">
        <v>12.142519726068626</v>
      </c>
      <c r="M50" s="288">
        <v>5.2880440534825022</v>
      </c>
      <c r="N50" s="288">
        <v>6.4221243167629058</v>
      </c>
    </row>
    <row r="51" spans="1:14" ht="15" customHeight="1">
      <c r="A51" s="287"/>
      <c r="B51" s="287" t="s">
        <v>98</v>
      </c>
      <c r="C51" s="288">
        <v>3.5656995463505323</v>
      </c>
      <c r="D51" s="288">
        <v>1.6053184739353064</v>
      </c>
      <c r="E51" s="288">
        <v>-54.504813829104648</v>
      </c>
      <c r="F51" s="288">
        <v>8.9825417045820171</v>
      </c>
      <c r="G51" s="288">
        <v>2.9990780300869742</v>
      </c>
      <c r="H51" s="288">
        <v>13.163406280444132</v>
      </c>
      <c r="I51" s="288">
        <v>7.3547178157529451</v>
      </c>
      <c r="J51" s="288">
        <v>3.5198585147150312</v>
      </c>
      <c r="K51" s="288">
        <v>9.235210821164916</v>
      </c>
      <c r="L51" s="288">
        <v>11.961825996128765</v>
      </c>
      <c r="M51" s="288">
        <v>5.0623019503210518</v>
      </c>
      <c r="N51" s="288">
        <v>6.9898802543458762</v>
      </c>
    </row>
    <row r="52" spans="1:14" ht="15" customHeight="1">
      <c r="A52" s="287"/>
      <c r="B52" s="287" t="s">
        <v>99</v>
      </c>
      <c r="C52" s="288">
        <v>1.7555944535154293</v>
      </c>
      <c r="D52" s="288">
        <v>-2.3374866349477612</v>
      </c>
      <c r="E52" s="288">
        <v>1.6362077798219625</v>
      </c>
      <c r="F52" s="288">
        <v>10.902200132465305</v>
      </c>
      <c r="G52" s="288">
        <v>-0.95147389073718769</v>
      </c>
      <c r="H52" s="288">
        <v>10.977455725854259</v>
      </c>
      <c r="I52" s="288">
        <v>7.0128656212559575</v>
      </c>
      <c r="J52" s="288">
        <v>3.1917017697636387</v>
      </c>
      <c r="K52" s="288">
        <v>8.492488325142137</v>
      </c>
      <c r="L52" s="288">
        <v>11.926843724841115</v>
      </c>
      <c r="M52" s="288">
        <v>4.5540701100226784</v>
      </c>
      <c r="N52" s="288">
        <v>7.3502213549251474</v>
      </c>
    </row>
    <row r="53" spans="1:14" ht="15" customHeight="1">
      <c r="A53" s="284">
        <v>2004</v>
      </c>
      <c r="B53" s="285" t="s">
        <v>88</v>
      </c>
      <c r="C53" s="286">
        <v>-1.3944489830032465</v>
      </c>
      <c r="D53" s="286">
        <v>-1.9230034842836814</v>
      </c>
      <c r="E53" s="286">
        <v>-29.833026146558119</v>
      </c>
      <c r="F53" s="286">
        <v>-4.3387604533580779</v>
      </c>
      <c r="G53" s="286">
        <v>8.4565467663183309</v>
      </c>
      <c r="H53" s="286">
        <v>8.4691030098637583</v>
      </c>
      <c r="I53" s="286">
        <v>-1.3944489830032465</v>
      </c>
      <c r="J53" s="286">
        <v>-1.9230034842836814</v>
      </c>
      <c r="K53" s="286">
        <v>-29.833026146558119</v>
      </c>
      <c r="L53" s="286">
        <v>-4.3387604533580779</v>
      </c>
      <c r="M53" s="286">
        <v>8.4565467663183309</v>
      </c>
      <c r="N53" s="286">
        <v>8.4691030098637583</v>
      </c>
    </row>
    <row r="54" spans="1:14" ht="15" customHeight="1">
      <c r="A54" s="287"/>
      <c r="B54" s="287" t="s">
        <v>89</v>
      </c>
      <c r="C54" s="288">
        <v>4.0293793497022259</v>
      </c>
      <c r="D54" s="288">
        <v>1.922584867473202</v>
      </c>
      <c r="E54" s="288">
        <v>-1.8099237627191203</v>
      </c>
      <c r="F54" s="288">
        <v>5.3526503005127788</v>
      </c>
      <c r="G54" s="288">
        <v>-3.7514444372001012</v>
      </c>
      <c r="H54" s="288">
        <v>18.579655642329264</v>
      </c>
      <c r="I54" s="288">
        <v>1.9427300498766713</v>
      </c>
      <c r="J54" s="288">
        <v>-0.76772634905332493</v>
      </c>
      <c r="K54" s="288">
        <v>-19.532050784106179</v>
      </c>
      <c r="L54" s="288">
        <v>4.8049468352774181</v>
      </c>
      <c r="M54" s="288">
        <v>2.1535623108511079</v>
      </c>
      <c r="N54" s="288">
        <v>13.289106068911449</v>
      </c>
    </row>
    <row r="55" spans="1:14" ht="15" customHeight="1">
      <c r="A55" s="287"/>
      <c r="B55" s="287" t="s">
        <v>90</v>
      </c>
      <c r="C55" s="288">
        <v>8.9380230009969956</v>
      </c>
      <c r="D55" s="288">
        <v>6.3588682284934057</v>
      </c>
      <c r="E55" s="288" t="s">
        <v>262</v>
      </c>
      <c r="F55" s="288">
        <v>9.6621438236526505</v>
      </c>
      <c r="G55" s="288">
        <v>5.5025320160764926</v>
      </c>
      <c r="H55" s="288">
        <v>5.1971677813511237</v>
      </c>
      <c r="I55" s="288">
        <v>3.1558648926578265</v>
      </c>
      <c r="J55" s="288">
        <v>0.63573592169132065</v>
      </c>
      <c r="K55" s="288">
        <v>0.61653160365434689</v>
      </c>
      <c r="L55" s="288">
        <v>5.2907171454571778</v>
      </c>
      <c r="M55" s="288">
        <v>3.2010399257561524</v>
      </c>
      <c r="N55" s="288">
        <v>10.703476682550276</v>
      </c>
    </row>
    <row r="56" spans="1:14" ht="15" customHeight="1">
      <c r="A56" s="287"/>
      <c r="B56" s="287" t="s">
        <v>91</v>
      </c>
      <c r="C56" s="288">
        <v>8.8997641602535786</v>
      </c>
      <c r="D56" s="288">
        <v>6.2805484354889547</v>
      </c>
      <c r="E56" s="288">
        <v>5.3895637767076039</v>
      </c>
      <c r="F56" s="288">
        <v>11.824041570201361</v>
      </c>
      <c r="G56" s="288">
        <v>18.281469443899205</v>
      </c>
      <c r="H56" s="288">
        <v>7.2227216376124419</v>
      </c>
      <c r="I56" s="288">
        <v>5.139038601928549</v>
      </c>
      <c r="J56" s="288">
        <v>2.3307781898837119</v>
      </c>
      <c r="K56" s="288">
        <v>4.694356105603287</v>
      </c>
      <c r="L56" s="288">
        <v>7.2751989126024634</v>
      </c>
      <c r="M56" s="288">
        <v>6.8869079352422906</v>
      </c>
      <c r="N56" s="288">
        <v>9.7788373744547012</v>
      </c>
    </row>
    <row r="57" spans="1:14" ht="15" customHeight="1">
      <c r="A57" s="287"/>
      <c r="B57" s="287" t="s">
        <v>92</v>
      </c>
      <c r="C57" s="288">
        <v>7.6916532112199354</v>
      </c>
      <c r="D57" s="288">
        <v>4.8889995903497896</v>
      </c>
      <c r="E57" s="288">
        <v>-12.382559838350716</v>
      </c>
      <c r="F57" s="288">
        <v>9.1090219755743878</v>
      </c>
      <c r="G57" s="288">
        <v>8.9173591939918229</v>
      </c>
      <c r="H57" s="288">
        <v>20.056065239551479</v>
      </c>
      <c r="I57" s="288">
        <v>5.3477484782020266</v>
      </c>
      <c r="J57" s="288">
        <v>2.4311765350780221</v>
      </c>
      <c r="K57" s="288">
        <v>3.7060464187425035</v>
      </c>
      <c r="L57" s="288">
        <v>7.4195814802598532</v>
      </c>
      <c r="M57" s="288">
        <v>7.3086420626140596</v>
      </c>
      <c r="N57" s="288">
        <v>11.739765767973134</v>
      </c>
    </row>
    <row r="58" spans="1:14" ht="15" customHeight="1">
      <c r="A58" s="287"/>
      <c r="B58" s="287" t="s">
        <v>93</v>
      </c>
      <c r="C58" s="288">
        <v>7.9073693766021513</v>
      </c>
      <c r="D58" s="288">
        <v>-31.029737927613233</v>
      </c>
      <c r="E58" s="288">
        <v>90.783983977453317</v>
      </c>
      <c r="F58" s="288">
        <v>25.171046281861649</v>
      </c>
      <c r="G58" s="288">
        <v>17.132408914252395</v>
      </c>
      <c r="H58" s="288">
        <v>14.43456257209839</v>
      </c>
      <c r="I58" s="288">
        <v>5.5372785406968275</v>
      </c>
      <c r="J58" s="288">
        <v>0.53359131494910916</v>
      </c>
      <c r="K58" s="288">
        <v>5.9877999269866367</v>
      </c>
      <c r="L58" s="288">
        <v>8.3964278921862743</v>
      </c>
      <c r="M58" s="288">
        <v>9.0083219983712741</v>
      </c>
      <c r="N58" s="288">
        <v>12.226816913591808</v>
      </c>
    </row>
    <row r="59" spans="1:14" ht="15" customHeight="1">
      <c r="A59" s="287"/>
      <c r="B59" s="287" t="s">
        <v>94</v>
      </c>
      <c r="C59" s="288">
        <v>7.7460373696487244</v>
      </c>
      <c r="D59" s="288">
        <v>10.225292734022117</v>
      </c>
      <c r="E59" s="288">
        <v>3.1513709994300552</v>
      </c>
      <c r="F59" s="288">
        <v>10.917115963739922</v>
      </c>
      <c r="G59" s="288">
        <v>-15.141078674346547</v>
      </c>
      <c r="H59" s="288">
        <v>17.744768037465242</v>
      </c>
      <c r="I59" s="288">
        <v>6.0262625575459046</v>
      </c>
      <c r="J59" s="288">
        <v>3.159044856484595</v>
      </c>
      <c r="K59" s="288">
        <v>5.4326314307036183</v>
      </c>
      <c r="L59" s="288">
        <v>8.9048273663527571</v>
      </c>
      <c r="M59" s="288">
        <v>5.1826311930326918</v>
      </c>
      <c r="N59" s="288">
        <v>13.138664380677634</v>
      </c>
    </row>
    <row r="60" spans="1:14" ht="15" customHeight="1">
      <c r="A60" s="287"/>
      <c r="B60" s="287" t="s">
        <v>95</v>
      </c>
      <c r="C60" s="288">
        <v>19.855068351530228</v>
      </c>
      <c r="D60" s="288">
        <v>-93.426845321589852</v>
      </c>
      <c r="E60" s="288">
        <v>22.427482123218525</v>
      </c>
      <c r="F60" s="288">
        <v>6.0291225507048045</v>
      </c>
      <c r="G60" s="288">
        <v>3.1423336116583136</v>
      </c>
      <c r="H60" s="288">
        <v>10.730677879060213</v>
      </c>
      <c r="I60" s="288">
        <v>7.4166295245276865</v>
      </c>
      <c r="J60" s="288">
        <v>2.888624606999437</v>
      </c>
      <c r="K60" s="288">
        <v>14.642879221605442</v>
      </c>
      <c r="L60" s="288">
        <v>9.2561594037403001</v>
      </c>
      <c r="M60" s="288">
        <v>4.8997062548464418</v>
      </c>
      <c r="N60" s="288">
        <v>12.904655835165507</v>
      </c>
    </row>
    <row r="61" spans="1:14" ht="15" customHeight="1">
      <c r="A61" s="287"/>
      <c r="B61" s="287" t="s">
        <v>96</v>
      </c>
      <c r="C61" s="288">
        <v>7.6718421682935229</v>
      </c>
      <c r="D61" s="288">
        <v>6.7998922576618712</v>
      </c>
      <c r="E61" s="288">
        <v>-37.604495418183127</v>
      </c>
      <c r="F61" s="288">
        <v>14.187368013271765</v>
      </c>
      <c r="G61" s="288">
        <v>4.3020363201992371</v>
      </c>
      <c r="H61" s="288">
        <v>5.8672708842645038</v>
      </c>
      <c r="I61" s="288">
        <v>7.4453881632724137</v>
      </c>
      <c r="J61" s="288">
        <v>3.4157467027144879</v>
      </c>
      <c r="K61" s="288">
        <v>13.36443985216807</v>
      </c>
      <c r="L61" s="288">
        <v>9.8693687471912703</v>
      </c>
      <c r="M61" s="288">
        <v>4.8331119753368164</v>
      </c>
      <c r="N61" s="288">
        <v>11.815583423494203</v>
      </c>
    </row>
    <row r="62" spans="1:14" ht="15" customHeight="1">
      <c r="A62" s="287"/>
      <c r="B62" s="287" t="s">
        <v>97</v>
      </c>
      <c r="C62" s="288">
        <v>12.756484557739059</v>
      </c>
      <c r="D62" s="288">
        <v>7.242807040092643</v>
      </c>
      <c r="E62" s="288">
        <v>24.447555839095241</v>
      </c>
      <c r="F62" s="288">
        <v>8.8017713664596808</v>
      </c>
      <c r="G62" s="288">
        <v>1.0083609673866902</v>
      </c>
      <c r="H62" s="288">
        <v>15.538360109649885</v>
      </c>
      <c r="I62" s="288">
        <v>8.4160392732622942</v>
      </c>
      <c r="J62" s="288">
        <v>3.9875179597757953</v>
      </c>
      <c r="K62" s="288">
        <v>16.909558757333759</v>
      </c>
      <c r="L62" s="288">
        <v>9.6761048961215792</v>
      </c>
      <c r="M62" s="288">
        <v>4.4392406422194339</v>
      </c>
      <c r="N62" s="288">
        <v>12.22470972749497</v>
      </c>
    </row>
    <row r="63" spans="1:14" ht="15" customHeight="1">
      <c r="A63" s="287"/>
      <c r="B63" s="287" t="s">
        <v>98</v>
      </c>
      <c r="C63" s="288">
        <v>6.6528697475601666</v>
      </c>
      <c r="D63" s="288">
        <v>4.5867395849056338</v>
      </c>
      <c r="E63" s="288" t="s">
        <v>262</v>
      </c>
      <c r="F63" s="288">
        <v>9.7334764702838878</v>
      </c>
      <c r="G63" s="288">
        <v>-1.3714937397193874</v>
      </c>
      <c r="H63" s="288">
        <v>17.800021597235556</v>
      </c>
      <c r="I63" s="288">
        <v>8.2988515142821768</v>
      </c>
      <c r="J63" s="288">
        <v>4.043430405349449</v>
      </c>
      <c r="K63" s="288">
        <v>17.388870914541108</v>
      </c>
      <c r="L63" s="288">
        <v>9.6792982183686505</v>
      </c>
      <c r="M63" s="288">
        <v>3.8774290844317556</v>
      </c>
      <c r="N63" s="288">
        <v>12.721361132146255</v>
      </c>
    </row>
    <row r="64" spans="1:14" ht="15" customHeight="1">
      <c r="A64" s="287"/>
      <c r="B64" s="287" t="s">
        <v>99</v>
      </c>
      <c r="C64" s="288">
        <v>20.764690748049563</v>
      </c>
      <c r="D64" s="288">
        <v>8.8943759593301746</v>
      </c>
      <c r="E64" s="288">
        <v>37.590580091468404</v>
      </c>
      <c r="F64" s="288">
        <v>33.105653905713375</v>
      </c>
      <c r="G64" s="288">
        <v>11.306703765296609</v>
      </c>
      <c r="H64" s="288">
        <v>3.357016906959859</v>
      </c>
      <c r="I64" s="288">
        <v>9.0389982891362539</v>
      </c>
      <c r="J64" s="288">
        <v>4.3187394829915569</v>
      </c>
      <c r="K64" s="288">
        <v>19.238594597302068</v>
      </c>
      <c r="L64" s="288">
        <v>10.445611038445888</v>
      </c>
      <c r="M64" s="288">
        <v>4.4722251991402135</v>
      </c>
      <c r="N64" s="288">
        <v>11.846550456946542</v>
      </c>
    </row>
    <row r="65" spans="1:14" ht="15" customHeight="1">
      <c r="A65" s="284" t="s">
        <v>23</v>
      </c>
      <c r="B65" s="285" t="s">
        <v>88</v>
      </c>
      <c r="C65" s="286">
        <v>13.790764773120515</v>
      </c>
      <c r="D65" s="286">
        <v>11.958798489425659</v>
      </c>
      <c r="E65" s="286">
        <v>54.170944643261642</v>
      </c>
      <c r="F65" s="286">
        <v>25.8491047453902</v>
      </c>
      <c r="G65" s="286">
        <v>8.1132315035278175</v>
      </c>
      <c r="H65" s="286">
        <v>23.492056504201493</v>
      </c>
      <c r="I65" s="286">
        <v>13.790764773120515</v>
      </c>
      <c r="J65" s="286">
        <v>11.958798489425659</v>
      </c>
      <c r="K65" s="286">
        <v>54.170944643261642</v>
      </c>
      <c r="L65" s="286">
        <v>25.8491047453902</v>
      </c>
      <c r="M65" s="286">
        <v>8.1132315035278175</v>
      </c>
      <c r="N65" s="286">
        <v>23.492056504201493</v>
      </c>
    </row>
    <row r="66" spans="1:14" ht="15" customHeight="1">
      <c r="A66" s="287"/>
      <c r="B66" s="287" t="s">
        <v>89</v>
      </c>
      <c r="C66" s="288">
        <v>9.0569315060588167</v>
      </c>
      <c r="D66" s="288">
        <v>8.5687901797262107</v>
      </c>
      <c r="E66" s="288">
        <v>57.98049558383552</v>
      </c>
      <c r="F66" s="288">
        <v>9.3374067738434743</v>
      </c>
      <c r="G66" s="288">
        <v>0.1245268986748839</v>
      </c>
      <c r="H66" s="288">
        <v>9.7336600539807332</v>
      </c>
      <c r="I66" s="288">
        <v>10.818508339631416</v>
      </c>
      <c r="J66" s="288">
        <v>10.912774525170867</v>
      </c>
      <c r="K66" s="288">
        <v>55.879702735304328</v>
      </c>
      <c r="L66" s="288">
        <v>10.189141679654693</v>
      </c>
      <c r="M66" s="288">
        <v>4.2270856557923002</v>
      </c>
      <c r="N66" s="288">
        <v>16.626712966090128</v>
      </c>
    </row>
    <row r="67" spans="1:14" ht="15" customHeight="1">
      <c r="A67" s="287"/>
      <c r="B67" s="287" t="s">
        <v>90</v>
      </c>
      <c r="C67" s="288">
        <v>9.1857747080029757</v>
      </c>
      <c r="D67" s="288">
        <v>9.3898620054141944</v>
      </c>
      <c r="E67" s="288">
        <v>-16.174154866038212</v>
      </c>
      <c r="F67" s="288">
        <v>14.915461518145138</v>
      </c>
      <c r="G67" s="288">
        <v>4.4222463692996348</v>
      </c>
      <c r="H67" s="288">
        <v>16.155353924947047</v>
      </c>
      <c r="I67" s="288">
        <v>10.519485698532957</v>
      </c>
      <c r="J67" s="288">
        <v>10.595806739103436</v>
      </c>
      <c r="K67" s="288">
        <v>35.638393271417087</v>
      </c>
      <c r="L67" s="288">
        <v>10.681447540925213</v>
      </c>
      <c r="M67" s="288">
        <v>4.2894885507997378</v>
      </c>
      <c r="N67" s="288">
        <v>16.483590324968105</v>
      </c>
    </row>
    <row r="68" spans="1:14" ht="15" customHeight="1">
      <c r="A68" s="287"/>
      <c r="B68" s="287" t="s">
        <v>91</v>
      </c>
      <c r="C68" s="288">
        <v>8.6406897081194103</v>
      </c>
      <c r="D68" s="288">
        <v>10.813995544957606</v>
      </c>
      <c r="E68" s="288">
        <v>12.414371906694029</v>
      </c>
      <c r="F68" s="288">
        <v>6.1122679117378329</v>
      </c>
      <c r="G68" s="288">
        <v>-2.7371302648624103</v>
      </c>
      <c r="H68" s="288">
        <v>23.308145014575981</v>
      </c>
      <c r="I68" s="288">
        <v>9.8475982875817945</v>
      </c>
      <c r="J68" s="288">
        <v>10.663854052909635</v>
      </c>
      <c r="K68" s="288">
        <v>15.665272489989004</v>
      </c>
      <c r="L68" s="288">
        <v>9.234719241952531</v>
      </c>
      <c r="M68" s="288">
        <v>2.3890026166766205</v>
      </c>
      <c r="N68" s="288">
        <v>18.254275735631261</v>
      </c>
    </row>
    <row r="69" spans="1:14" ht="15" customHeight="1">
      <c r="A69" s="287"/>
      <c r="B69" s="287" t="s">
        <v>92</v>
      </c>
      <c r="C69" s="288">
        <v>18.011945426766786</v>
      </c>
      <c r="D69" s="288">
        <v>34.626173584436934</v>
      </c>
      <c r="E69" s="288">
        <v>44.045370502112512</v>
      </c>
      <c r="F69" s="288">
        <v>19.061782464818844</v>
      </c>
      <c r="G69" s="288">
        <v>5.0621609476858156</v>
      </c>
      <c r="H69" s="288">
        <v>12.54372882477319</v>
      </c>
      <c r="I69" s="288">
        <v>10.529993542278421</v>
      </c>
      <c r="J69" s="288">
        <v>11.626829167646811</v>
      </c>
      <c r="K69" s="288">
        <v>17.052935414513328</v>
      </c>
      <c r="L69" s="288">
        <v>10.020602953639699</v>
      </c>
      <c r="M69" s="288">
        <v>2.9525536677228663</v>
      </c>
      <c r="N69" s="288">
        <v>17.083591415253434</v>
      </c>
    </row>
    <row r="70" spans="1:14" ht="15" customHeight="1">
      <c r="A70" s="287"/>
      <c r="B70" s="287" t="s">
        <v>93</v>
      </c>
      <c r="C70" s="288">
        <v>4.480342331179668</v>
      </c>
      <c r="D70" s="288">
        <v>32.290987424685035</v>
      </c>
      <c r="E70" s="288">
        <v>22.595546122782466</v>
      </c>
      <c r="F70" s="288">
        <v>7.2665672504601337</v>
      </c>
      <c r="G70" s="288">
        <v>-16.047516042886841</v>
      </c>
      <c r="H70" s="288">
        <v>10.556161450412231</v>
      </c>
      <c r="I70" s="288">
        <v>10.071980327019959</v>
      </c>
      <c r="J70" s="288">
        <v>12.430784429235402</v>
      </c>
      <c r="K70" s="288">
        <v>17.314368775055648</v>
      </c>
      <c r="L70" s="288">
        <v>9.8455979089217571</v>
      </c>
      <c r="M70" s="288">
        <v>-0.57977996013195465</v>
      </c>
      <c r="N70" s="288">
        <v>15.880631004407073</v>
      </c>
    </row>
    <row r="71" spans="1:14" ht="15" customHeight="1">
      <c r="A71" s="287"/>
      <c r="B71" s="287" t="s">
        <v>94</v>
      </c>
      <c r="C71" s="288">
        <v>18.589611949292106</v>
      </c>
      <c r="D71" s="288">
        <v>16.696101210264814</v>
      </c>
      <c r="E71" s="288">
        <v>36.760980882849964</v>
      </c>
      <c r="F71" s="288">
        <v>16.262084901763686</v>
      </c>
      <c r="G71" s="288">
        <v>25.458159460162417</v>
      </c>
      <c r="H71" s="288">
        <v>16.902305636691317</v>
      </c>
      <c r="I71" s="288">
        <v>11.988234320134124</v>
      </c>
      <c r="J71" s="288">
        <v>13.665393750501337</v>
      </c>
      <c r="K71" s="288">
        <v>21.038258552757835</v>
      </c>
      <c r="L71" s="288">
        <v>11.163656579640813</v>
      </c>
      <c r="M71" s="288">
        <v>2.748068936124084</v>
      </c>
      <c r="N71" s="288">
        <v>16.056337383024886</v>
      </c>
    </row>
    <row r="72" spans="1:14" ht="15" customHeight="1">
      <c r="A72" s="287"/>
      <c r="B72" s="287" t="s">
        <v>95</v>
      </c>
      <c r="C72" s="288">
        <v>17.621429321853842</v>
      </c>
      <c r="D72" s="288">
        <v>18.904102300512942</v>
      </c>
      <c r="E72" s="288">
        <v>21.313191287451065</v>
      </c>
      <c r="F72" s="288">
        <v>-30.006915349657802</v>
      </c>
      <c r="G72" s="288">
        <v>-2.1215292893553039</v>
      </c>
      <c r="H72" s="288">
        <v>19.198605766792031</v>
      </c>
      <c r="I72" s="288">
        <v>12.620186813183592</v>
      </c>
      <c r="J72" s="288">
        <v>13.848822233663642</v>
      </c>
      <c r="K72" s="288">
        <v>21.197373964168921</v>
      </c>
      <c r="L72" s="288">
        <v>10.782374470026031</v>
      </c>
      <c r="M72" s="288">
        <v>2.0841217624452106</v>
      </c>
      <c r="N72" s="288">
        <v>16.355823746400798</v>
      </c>
    </row>
    <row r="73" spans="1:14" ht="15" customHeight="1">
      <c r="A73" s="287"/>
      <c r="B73" s="287" t="s">
        <v>96</v>
      </c>
      <c r="C73" s="288">
        <v>13.751566145989402</v>
      </c>
      <c r="D73" s="288">
        <v>11.991904325486573</v>
      </c>
      <c r="E73" s="288">
        <v>92.928768242718974</v>
      </c>
      <c r="F73" s="288">
        <v>12.810508020251223</v>
      </c>
      <c r="G73" s="288">
        <v>8.0269593361320872</v>
      </c>
      <c r="H73" s="288">
        <v>22.788148207748321</v>
      </c>
      <c r="I73" s="288">
        <v>12.747945001431487</v>
      </c>
      <c r="J73" s="288">
        <v>13.590375806791069</v>
      </c>
      <c r="K73" s="288">
        <v>22.163427936885256</v>
      </c>
      <c r="L73" s="288">
        <v>11.04449037301308</v>
      </c>
      <c r="M73" s="288">
        <v>2.7429370753333218</v>
      </c>
      <c r="N73" s="288">
        <v>17.298305118714783</v>
      </c>
    </row>
    <row r="74" spans="1:14" ht="15" customHeight="1">
      <c r="A74" s="287"/>
      <c r="B74" s="287" t="s">
        <v>97</v>
      </c>
      <c r="C74" s="288">
        <v>17.528309335849055</v>
      </c>
      <c r="D74" s="288">
        <v>12.481066554799767</v>
      </c>
      <c r="E74" s="288">
        <v>24.192375860685541</v>
      </c>
      <c r="F74" s="288">
        <v>13.710453099556116</v>
      </c>
      <c r="G74" s="288">
        <v>24.055237476482453</v>
      </c>
      <c r="H74" s="288">
        <v>10.240007762307069</v>
      </c>
      <c r="I74" s="288">
        <v>13.656576858365913</v>
      </c>
      <c r="J74" s="288">
        <v>13.419454342008223</v>
      </c>
      <c r="K74" s="288">
        <v>22.854265873507547</v>
      </c>
      <c r="L74" s="288">
        <v>11.523254002360657</v>
      </c>
      <c r="M74" s="288">
        <v>4.8655712529180635</v>
      </c>
      <c r="N74" s="288">
        <v>16.499707380162441</v>
      </c>
    </row>
    <row r="75" spans="1:14" ht="15" customHeight="1">
      <c r="A75" s="287"/>
      <c r="B75" s="287" t="s">
        <v>98</v>
      </c>
      <c r="C75" s="288">
        <v>7.799537449123461</v>
      </c>
      <c r="D75" s="288">
        <v>14.209715073507834</v>
      </c>
      <c r="E75" s="288">
        <v>-63.438663809381737</v>
      </c>
      <c r="F75" s="288">
        <v>12.015617638833875</v>
      </c>
      <c r="G75" s="288">
        <v>-9.385198512142523</v>
      </c>
      <c r="H75" s="288">
        <v>4.5714853189446858</v>
      </c>
      <c r="I75" s="288">
        <v>13.27320960000905</v>
      </c>
      <c r="J75" s="288">
        <v>13.493577407838691</v>
      </c>
      <c r="K75" s="288">
        <v>22.326800141602821</v>
      </c>
      <c r="L75" s="288">
        <v>11.550672674997465</v>
      </c>
      <c r="M75" s="288">
        <v>3.5573559267084907</v>
      </c>
      <c r="N75" s="288">
        <v>15.389261585871756</v>
      </c>
    </row>
    <row r="76" spans="1:14" ht="15" customHeight="1">
      <c r="A76" s="287"/>
      <c r="B76" s="287" t="s">
        <v>99</v>
      </c>
      <c r="C76" s="288">
        <v>15.638575997040622</v>
      </c>
      <c r="D76" s="288">
        <v>10.623331800937306</v>
      </c>
      <c r="E76" s="288">
        <v>31.029828960041321</v>
      </c>
      <c r="F76" s="288">
        <v>14.020164465425683</v>
      </c>
      <c r="G76" s="288">
        <v>-2.8514167478475043</v>
      </c>
      <c r="H76" s="288">
        <v>21.306819607311848</v>
      </c>
      <c r="I76" s="288">
        <v>13.428753460149206</v>
      </c>
      <c r="J76" s="288">
        <v>13.323535365775102</v>
      </c>
      <c r="K76" s="288">
        <v>23.246319796947418</v>
      </c>
      <c r="L76" s="288">
        <v>11.648027389152233</v>
      </c>
      <c r="M76" s="288">
        <v>3.0106962363833301</v>
      </c>
      <c r="N76" s="288">
        <v>15.900115354143285</v>
      </c>
    </row>
    <row r="77" spans="1:14" ht="15" customHeight="1">
      <c r="A77" s="284" t="s">
        <v>24</v>
      </c>
      <c r="B77" s="285" t="s">
        <v>88</v>
      </c>
      <c r="C77" s="286">
        <v>8.3967062537911605</v>
      </c>
      <c r="D77" s="286">
        <v>11.156269814288692</v>
      </c>
      <c r="E77" s="286">
        <v>-0.65012124511022973</v>
      </c>
      <c r="F77" s="286">
        <v>16.856715852592767</v>
      </c>
      <c r="G77" s="286">
        <v>-9.0662155942014717</v>
      </c>
      <c r="H77" s="286">
        <v>11.884221361697957</v>
      </c>
      <c r="I77" s="286">
        <v>8.3967062537911605</v>
      </c>
      <c r="J77" s="286">
        <v>11.156269814288692</v>
      </c>
      <c r="K77" s="286">
        <v>-0.65012124511022973</v>
      </c>
      <c r="L77" s="286">
        <v>16.856715852592767</v>
      </c>
      <c r="M77" s="286">
        <v>-9.0662155942014717</v>
      </c>
      <c r="N77" s="286">
        <v>11.884221361697957</v>
      </c>
    </row>
    <row r="78" spans="1:14" ht="15" customHeight="1">
      <c r="A78" s="287"/>
      <c r="B78" s="287" t="s">
        <v>89</v>
      </c>
      <c r="C78" s="288">
        <v>13.941063469952667</v>
      </c>
      <c r="D78" s="288">
        <v>11.572153696204976</v>
      </c>
      <c r="E78" s="288">
        <v>8.8832164758388252</v>
      </c>
      <c r="F78" s="288">
        <v>15.335179617240613</v>
      </c>
      <c r="G78" s="288">
        <v>10.18058414544617</v>
      </c>
      <c r="H78" s="288">
        <v>8.1187769847563658</v>
      </c>
      <c r="I78" s="288">
        <v>11.8067555219114</v>
      </c>
      <c r="J78" s="288">
        <v>11.281883335357557</v>
      </c>
      <c r="K78" s="288">
        <v>3.6836469719569451</v>
      </c>
      <c r="L78" s="288">
        <v>15.426299044993122</v>
      </c>
      <c r="M78" s="288">
        <v>-7.2044534419764009E-2</v>
      </c>
      <c r="N78" s="288">
        <v>10.116342429468213</v>
      </c>
    </row>
    <row r="79" spans="1:14" ht="15" customHeight="1">
      <c r="A79" s="287"/>
      <c r="B79" s="287" t="s">
        <v>90</v>
      </c>
      <c r="C79" s="288">
        <v>8.729798203477193</v>
      </c>
      <c r="D79" s="288">
        <v>13.337847020010804</v>
      </c>
      <c r="E79" s="288">
        <v>-21.316038005595274</v>
      </c>
      <c r="F79" s="288">
        <v>5.1467457263600167</v>
      </c>
      <c r="G79" s="288">
        <v>4.4852955355593283</v>
      </c>
      <c r="H79" s="288">
        <v>14.669402930233444</v>
      </c>
      <c r="I79" s="288">
        <v>11.250966618206805</v>
      </c>
      <c r="J79" s="288">
        <v>11.705130465721453</v>
      </c>
      <c r="K79" s="288">
        <v>-0.65656767275332106</v>
      </c>
      <c r="L79" s="288">
        <v>14.336252597356516</v>
      </c>
      <c r="M79" s="288">
        <v>1.3870259487427612</v>
      </c>
      <c r="N79" s="288">
        <v>11.494930149458403</v>
      </c>
    </row>
    <row r="80" spans="1:14" ht="15" customHeight="1">
      <c r="A80" s="287"/>
      <c r="B80" s="287" t="s">
        <v>91</v>
      </c>
      <c r="C80" s="288">
        <v>16.326239866302476</v>
      </c>
      <c r="D80" s="288">
        <v>12.953601828502723</v>
      </c>
      <c r="E80" s="288">
        <v>25.263032100485155</v>
      </c>
      <c r="F80" s="288">
        <v>19.261218662870057</v>
      </c>
      <c r="G80" s="288">
        <v>-5.6613805600010583</v>
      </c>
      <c r="H80" s="288">
        <v>6.1696903711768565</v>
      </c>
      <c r="I80" s="288">
        <v>13.050731464345947</v>
      </c>
      <c r="J80" s="288">
        <v>12.095023906092534</v>
      </c>
      <c r="K80" s="288">
        <v>21.008280516378306</v>
      </c>
      <c r="L80" s="288">
        <v>15.859129317913478</v>
      </c>
      <c r="M80" s="288">
        <v>-0.42390952337746585</v>
      </c>
      <c r="N80" s="288">
        <v>10.054204891725474</v>
      </c>
    </row>
    <row r="81" spans="1:14" ht="15" customHeight="1">
      <c r="A81" s="287"/>
      <c r="B81" s="287" t="s">
        <v>92</v>
      </c>
      <c r="C81" s="288">
        <v>-1.2740859406842702</v>
      </c>
      <c r="D81" s="288">
        <v>25.132634344749622</v>
      </c>
      <c r="E81" s="288">
        <v>-27.43215548697215</v>
      </c>
      <c r="F81" s="288">
        <v>-12.650353540367243</v>
      </c>
      <c r="G81" s="288">
        <v>-8.1975576177692258</v>
      </c>
      <c r="H81" s="288">
        <v>32.730759903882188</v>
      </c>
      <c r="I81" s="288">
        <v>11.786982390212556</v>
      </c>
      <c r="J81" s="288">
        <v>12.726919203169377</v>
      </c>
      <c r="K81" s="288">
        <v>18.093571977794376</v>
      </c>
      <c r="L81" s="288">
        <v>13.468832778008572</v>
      </c>
      <c r="M81" s="288">
        <v>-2.0963191693510153</v>
      </c>
      <c r="N81" s="288">
        <v>14.522732450602197</v>
      </c>
    </row>
    <row r="82" spans="1:14" ht="15" customHeight="1">
      <c r="A82" s="287"/>
      <c r="B82" s="287" t="s">
        <v>93</v>
      </c>
      <c r="C82" s="288">
        <v>24.733291709913352</v>
      </c>
      <c r="D82" s="288">
        <v>48.444865334920912</v>
      </c>
      <c r="E82" s="288">
        <v>44.613764158389856</v>
      </c>
      <c r="F82" s="288">
        <v>11.163520600384539</v>
      </c>
      <c r="G82" s="288">
        <v>21.370612284064975</v>
      </c>
      <c r="H82" s="288">
        <v>9.2912074610217275</v>
      </c>
      <c r="I82" s="288">
        <v>12.705139892014675</v>
      </c>
      <c r="J82" s="288">
        <v>14.362024245740679</v>
      </c>
      <c r="K82" s="288">
        <v>19.400786248460104</v>
      </c>
      <c r="L82" s="288">
        <v>13.332005413258486</v>
      </c>
      <c r="M82" s="288">
        <v>1.5876980940832648</v>
      </c>
      <c r="N82" s="288">
        <v>13.602898323566304</v>
      </c>
    </row>
    <row r="83" spans="1:14" ht="15" customHeight="1">
      <c r="A83" s="287"/>
      <c r="B83" s="287" t="s">
        <v>94</v>
      </c>
      <c r="C83" s="288">
        <v>11.044449823213672</v>
      </c>
      <c r="D83" s="288">
        <v>16.163805905427424</v>
      </c>
      <c r="E83" s="288">
        <v>21.988419743066178</v>
      </c>
      <c r="F83" s="288">
        <v>4.8203851753673375</v>
      </c>
      <c r="G83" s="288">
        <v>-0.73338752323184186</v>
      </c>
      <c r="H83" s="288">
        <v>-2.5764143223574667</v>
      </c>
      <c r="I83" s="288">
        <v>12.308043040804717</v>
      </c>
      <c r="J83" s="288">
        <v>14.897461405196157</v>
      </c>
      <c r="K83" s="288">
        <v>19.960666528002566</v>
      </c>
      <c r="L83" s="288">
        <v>11.487086910684971</v>
      </c>
      <c r="M83" s="288">
        <v>1.2254772900315229</v>
      </c>
      <c r="N83" s="288">
        <v>10.800117088701269</v>
      </c>
    </row>
    <row r="84" spans="1:14" ht="15" customHeight="1">
      <c r="A84" s="287"/>
      <c r="B84" s="287" t="s">
        <v>95</v>
      </c>
      <c r="C84" s="288">
        <v>12.575005844695189</v>
      </c>
      <c r="D84" s="288">
        <v>20.444924093473947</v>
      </c>
      <c r="E84" s="288">
        <v>14.660948052501602</v>
      </c>
      <c r="F84" s="288">
        <v>-26.984838874312938</v>
      </c>
      <c r="G84" s="288">
        <v>7.1253457221302536</v>
      </c>
      <c r="H84" s="288">
        <v>-9.3598110529179497</v>
      </c>
      <c r="I84" s="288">
        <v>12.339524930180708</v>
      </c>
      <c r="J84" s="288">
        <v>15.039243679681519</v>
      </c>
      <c r="K84" s="288">
        <v>16.890560234141166</v>
      </c>
      <c r="L84" s="288">
        <v>11.111568332268968</v>
      </c>
      <c r="M84" s="288">
        <v>1.9967566354088224</v>
      </c>
      <c r="N84" s="288">
        <v>8.8317513060888082</v>
      </c>
    </row>
    <row r="85" spans="1:14" ht="15" customHeight="1">
      <c r="A85" s="287"/>
      <c r="B85" s="287" t="s">
        <v>96</v>
      </c>
      <c r="C85" s="288">
        <v>13.437850750818622</v>
      </c>
      <c r="D85" s="288">
        <v>15.930467805417592</v>
      </c>
      <c r="E85" s="288">
        <v>20.431182971840776</v>
      </c>
      <c r="F85" s="288">
        <v>13.540421925494242</v>
      </c>
      <c r="G85" s="288">
        <v>5.9666151591980841</v>
      </c>
      <c r="H85" s="288">
        <v>5.5429869812869317</v>
      </c>
      <c r="I85" s="288">
        <v>12.463967537584571</v>
      </c>
      <c r="J85" s="288">
        <v>15.161539004610258</v>
      </c>
      <c r="K85" s="288">
        <v>16.965865882714361</v>
      </c>
      <c r="L85" s="288">
        <v>11.426713572722855</v>
      </c>
      <c r="M85" s="288">
        <v>2.4594838362672737</v>
      </c>
      <c r="N85" s="288">
        <v>8.3273196912438685</v>
      </c>
    </row>
    <row r="86" spans="1:14" ht="15" customHeight="1">
      <c r="A86" s="287"/>
      <c r="B86" s="287" t="s">
        <v>97</v>
      </c>
      <c r="C86" s="288">
        <v>10.288029774048628</v>
      </c>
      <c r="D86" s="288">
        <v>11.966658118624734</v>
      </c>
      <c r="E86" s="288">
        <v>14.063328472191891</v>
      </c>
      <c r="F86" s="288">
        <v>9.0440876198127089</v>
      </c>
      <c r="G86" s="288">
        <v>-10.386756607103404</v>
      </c>
      <c r="H86" s="288">
        <v>7.4159761602394028</v>
      </c>
      <c r="I86" s="288">
        <v>12.035408686434991</v>
      </c>
      <c r="J86" s="288">
        <v>14.673347166769721</v>
      </c>
      <c r="K86" s="288">
        <v>15.966814561684862</v>
      </c>
      <c r="L86" s="288">
        <v>10.988104229900934</v>
      </c>
      <c r="M86" s="288">
        <v>0.94591196650241138</v>
      </c>
      <c r="N86" s="288">
        <v>8.229747818388315</v>
      </c>
    </row>
    <row r="87" spans="1:14" ht="15" customHeight="1">
      <c r="A87" s="287"/>
      <c r="B87" s="287" t="s">
        <v>98</v>
      </c>
      <c r="C87" s="288">
        <v>15.701370821186792</v>
      </c>
      <c r="D87" s="288">
        <v>18.543276900254078</v>
      </c>
      <c r="E87" s="288">
        <v>17.95674269822133</v>
      </c>
      <c r="F87" s="288">
        <v>8.0625703561863986</v>
      </c>
      <c r="G87" s="288">
        <v>21.982831259911766</v>
      </c>
      <c r="H87" s="288">
        <v>9.84074804587625</v>
      </c>
      <c r="I87" s="288">
        <v>12.263323741986701</v>
      </c>
      <c r="J87" s="288">
        <v>15.038620370723585</v>
      </c>
      <c r="K87" s="288">
        <v>15.97045000077568</v>
      </c>
      <c r="L87" s="288">
        <v>10.826024603841192</v>
      </c>
      <c r="M87" s="288">
        <v>2.6357350559010677</v>
      </c>
      <c r="N87" s="288">
        <v>8.3656621120135686</v>
      </c>
    </row>
    <row r="88" spans="1:14" ht="15" customHeight="1">
      <c r="A88" s="287"/>
      <c r="B88" s="287" t="s">
        <v>99</v>
      </c>
      <c r="C88" s="288">
        <v>8.288739872286639</v>
      </c>
      <c r="D88" s="288">
        <v>20.259026462981264</v>
      </c>
      <c r="E88" s="288">
        <v>0.42368851948753045</v>
      </c>
      <c r="F88" s="288">
        <v>4.5292441484858665</v>
      </c>
      <c r="G88" s="288">
        <v>10.179733781288199</v>
      </c>
      <c r="H88" s="288">
        <v>-0.95985208226476282</v>
      </c>
      <c r="I88" s="288">
        <v>11.997781844334336</v>
      </c>
      <c r="J88" s="288">
        <v>15.340523878160933</v>
      </c>
      <c r="K88" s="288">
        <v>14.224118269547223</v>
      </c>
      <c r="L88" s="288">
        <v>10.581104761801239</v>
      </c>
      <c r="M88" s="288">
        <v>3.2426082282708526</v>
      </c>
      <c r="N88" s="288">
        <v>7.523049001272236</v>
      </c>
    </row>
    <row r="89" spans="1:14" ht="15" customHeight="1">
      <c r="A89" s="284" t="s">
        <v>25</v>
      </c>
      <c r="B89" s="285" t="s">
        <v>88</v>
      </c>
      <c r="C89" s="286">
        <v>14.196182727109397</v>
      </c>
      <c r="D89" s="286">
        <v>13.76617606624756</v>
      </c>
      <c r="E89" s="286">
        <v>26.988463659675798</v>
      </c>
      <c r="F89" s="286">
        <v>14.035316625124478</v>
      </c>
      <c r="G89" s="286">
        <v>17.877199706705774</v>
      </c>
      <c r="H89" s="286">
        <v>1.6004827137113395</v>
      </c>
      <c r="I89" s="286">
        <v>14.196182727109397</v>
      </c>
      <c r="J89" s="286">
        <v>13.76617606624756</v>
      </c>
      <c r="K89" s="286">
        <v>26.988463659675798</v>
      </c>
      <c r="L89" s="286">
        <v>14.035316625124478</v>
      </c>
      <c r="M89" s="286">
        <v>17.877199706705774</v>
      </c>
      <c r="N89" s="286">
        <v>1.6004827137113395</v>
      </c>
    </row>
    <row r="90" spans="1:14" ht="15" customHeight="1">
      <c r="A90" s="287"/>
      <c r="B90" s="287" t="s">
        <v>89</v>
      </c>
      <c r="C90" s="288">
        <v>12.723136760631412</v>
      </c>
      <c r="D90" s="288">
        <v>12.289103340554234</v>
      </c>
      <c r="E90" s="288">
        <v>7.445124323391056</v>
      </c>
      <c r="F90" s="288">
        <v>13.852220082104971</v>
      </c>
      <c r="G90" s="288">
        <v>-1.0153335419351763</v>
      </c>
      <c r="H90" s="288">
        <v>31.654341225341355</v>
      </c>
      <c r="I90" s="288">
        <v>13.272893064825574</v>
      </c>
      <c r="J90" s="288">
        <v>13.318877476743108</v>
      </c>
      <c r="K90" s="288">
        <v>17.658710538633674</v>
      </c>
      <c r="L90" s="288">
        <v>13.86332097045077</v>
      </c>
      <c r="M90" s="288">
        <v>8.1427617931760103</v>
      </c>
      <c r="N90" s="288">
        <v>15.454823560982156</v>
      </c>
    </row>
    <row r="91" spans="1:14" ht="15" customHeight="1">
      <c r="A91" s="287"/>
      <c r="B91" s="287" t="s">
        <v>90</v>
      </c>
      <c r="C91" s="288">
        <v>-8.0198647634524989E-3</v>
      </c>
      <c r="D91" s="288">
        <v>11.126251900744739</v>
      </c>
      <c r="E91" s="288" t="s">
        <v>262</v>
      </c>
      <c r="F91" s="288">
        <v>-34.027400493282997</v>
      </c>
      <c r="G91" s="288">
        <v>1.3415322696407406</v>
      </c>
      <c r="H91" s="288">
        <v>9.1861535978429085</v>
      </c>
      <c r="I91" s="288">
        <v>10.928334323371812</v>
      </c>
      <c r="J91" s="288">
        <v>12.860899180647239</v>
      </c>
      <c r="K91" s="288">
        <v>29.501435205798703</v>
      </c>
      <c r="L91" s="288">
        <v>9.193136644055814</v>
      </c>
      <c r="M91" s="288">
        <v>5.89875039834478</v>
      </c>
      <c r="N91" s="288">
        <v>13.502738125243452</v>
      </c>
    </row>
    <row r="92" spans="1:14" ht="15" customHeight="1">
      <c r="A92" s="287"/>
      <c r="B92" s="287" t="s">
        <v>91</v>
      </c>
      <c r="C92" s="288">
        <v>11.829247347961177</v>
      </c>
      <c r="D92" s="288">
        <v>13.118285415510305</v>
      </c>
      <c r="E92" s="288">
        <v>18.351254483786448</v>
      </c>
      <c r="F92" s="288">
        <v>4.58030963734622</v>
      </c>
      <c r="G92" s="288">
        <v>17.846497660059502</v>
      </c>
      <c r="H92" s="288">
        <v>17.690060315347555</v>
      </c>
      <c r="I92" s="288">
        <v>11.257067483444297</v>
      </c>
      <c r="J92" s="288">
        <v>12.941895710118754</v>
      </c>
      <c r="K92" s="288">
        <v>19.853883928848028</v>
      </c>
      <c r="L92" s="288">
        <v>7.7248946021867129</v>
      </c>
      <c r="M92" s="288">
        <v>8.8070055396249991</v>
      </c>
      <c r="N92" s="288">
        <v>14.595617655011184</v>
      </c>
    </row>
    <row r="93" spans="1:14" ht="15" customHeight="1">
      <c r="A93" s="287"/>
      <c r="B93" s="287" t="s">
        <v>92</v>
      </c>
      <c r="C93" s="288">
        <v>9.5851018736554661</v>
      </c>
      <c r="D93" s="288">
        <v>21.802414283802005</v>
      </c>
      <c r="E93" s="288">
        <v>30.257376811656357</v>
      </c>
      <c r="F93" s="288">
        <v>6.7653460712079241</v>
      </c>
      <c r="G93" s="288">
        <v>6.2134498481782403</v>
      </c>
      <c r="H93" s="288">
        <v>-13.043486284583814</v>
      </c>
      <c r="I93" s="288">
        <v>11.126799099222749</v>
      </c>
      <c r="J93" s="288">
        <v>13.418600167466124</v>
      </c>
      <c r="K93" s="288">
        <v>20.238550307225744</v>
      </c>
      <c r="L93" s="288">
        <v>7.662962766590244</v>
      </c>
      <c r="M93" s="288">
        <v>8.2838045210813345</v>
      </c>
      <c r="N93" s="288">
        <v>8.2832657640665808</v>
      </c>
    </row>
    <row r="94" spans="1:14" ht="15" customHeight="1">
      <c r="A94" s="287"/>
      <c r="B94" s="287" t="s">
        <v>93</v>
      </c>
      <c r="C94" s="288">
        <v>14.449032935371653</v>
      </c>
      <c r="D94" s="288">
        <v>28.604981487854886</v>
      </c>
      <c r="E94" s="288">
        <v>22.706240664568703</v>
      </c>
      <c r="F94" s="288">
        <v>5.4101788082793947</v>
      </c>
      <c r="G94" s="288">
        <v>2.9428528272675134</v>
      </c>
      <c r="H94" s="288">
        <v>31.045333532073816</v>
      </c>
      <c r="I94" s="288">
        <v>11.387558555025201</v>
      </c>
      <c r="J94" s="288">
        <v>14.320995471502423</v>
      </c>
      <c r="K94" s="288">
        <v>20.385870819868352</v>
      </c>
      <c r="L94" s="288">
        <v>7.5318115021112266</v>
      </c>
      <c r="M94" s="288">
        <v>7.2820612701781808</v>
      </c>
      <c r="N94" s="288">
        <v>12.133514073234677</v>
      </c>
    </row>
    <row r="95" spans="1:14" ht="15" customHeight="1">
      <c r="A95" s="287"/>
      <c r="B95" s="287" t="s">
        <v>94</v>
      </c>
      <c r="C95" s="288">
        <v>10.555829301191611</v>
      </c>
      <c r="D95" s="288">
        <v>22.998169808246146</v>
      </c>
      <c r="E95" s="288">
        <v>-12.594929059767177</v>
      </c>
      <c r="F95" s="288">
        <v>-3.3017130998978921</v>
      </c>
      <c r="G95" s="288">
        <v>6.924000318477189</v>
      </c>
      <c r="H95" s="288">
        <v>28.966092479308404</v>
      </c>
      <c r="I95" s="288">
        <v>11.190916760605425</v>
      </c>
      <c r="J95" s="288">
        <v>16.928019706619459</v>
      </c>
      <c r="K95" s="288">
        <v>13.129268449248549</v>
      </c>
      <c r="L95" s="288">
        <v>5.3240309405447297</v>
      </c>
      <c r="M95" s="288">
        <v>7.2272648029738109</v>
      </c>
      <c r="N95" s="288">
        <v>14.697429351697933</v>
      </c>
    </row>
    <row r="96" spans="1:14" ht="15" customHeight="1">
      <c r="A96" s="287"/>
      <c r="B96" s="287" t="s">
        <v>95</v>
      </c>
      <c r="C96" s="288">
        <v>43.406184682130281</v>
      </c>
      <c r="D96" s="288">
        <v>97.297894916726264</v>
      </c>
      <c r="E96" s="288">
        <v>45.722979760015797</v>
      </c>
      <c r="F96" s="288">
        <v>-33.117492243128765</v>
      </c>
      <c r="G96" s="288">
        <v>9.8645431090480677</v>
      </c>
      <c r="H96" s="288">
        <v>53.795411634902699</v>
      </c>
      <c r="I96" s="288">
        <v>14.99790185362157</v>
      </c>
      <c r="J96" s="288">
        <v>17.244912673276911</v>
      </c>
      <c r="K96" s="288">
        <v>31.650527860305424</v>
      </c>
      <c r="L96" s="288">
        <v>4.5543726487166918</v>
      </c>
      <c r="M96" s="288">
        <v>7.5893670427941844</v>
      </c>
      <c r="N96" s="288">
        <v>17.876764833491457</v>
      </c>
    </row>
    <row r="97" spans="1:14" ht="15" customHeight="1">
      <c r="A97" s="287"/>
      <c r="B97" s="287" t="s">
        <v>96</v>
      </c>
      <c r="C97" s="288">
        <v>10.688551394091482</v>
      </c>
      <c r="D97" s="288">
        <v>10.774832225932347</v>
      </c>
      <c r="E97" s="288">
        <v>21.760296296647027</v>
      </c>
      <c r="F97" s="288">
        <v>8.7621187286434914</v>
      </c>
      <c r="G97" s="288">
        <v>6.4139167777633581</v>
      </c>
      <c r="H97" s="288">
        <v>28.803675506196985</v>
      </c>
      <c r="I97" s="288">
        <v>14.505415373978542</v>
      </c>
      <c r="J97" s="288">
        <v>16.351148936818344</v>
      </c>
      <c r="K97" s="288">
        <v>31.433939969821079</v>
      </c>
      <c r="L97" s="288">
        <v>5.1106868180734271</v>
      </c>
      <c r="M97" s="288">
        <v>7.447666616580352</v>
      </c>
      <c r="N97" s="288">
        <v>19.50966006642151</v>
      </c>
    </row>
    <row r="98" spans="1:14" ht="15" customHeight="1">
      <c r="A98" s="287"/>
      <c r="B98" s="287" t="s">
        <v>97</v>
      </c>
      <c r="C98" s="288">
        <v>1.1708315570884098</v>
      </c>
      <c r="D98" s="288">
        <v>9.5581557069556222</v>
      </c>
      <c r="E98" s="288">
        <v>-4.533030068039074</v>
      </c>
      <c r="F98" s="288">
        <v>1.419036025439177</v>
      </c>
      <c r="G98" s="288">
        <v>0.1916393381746414</v>
      </c>
      <c r="H98" s="288">
        <v>-3.7867703004834428</v>
      </c>
      <c r="I98" s="288">
        <v>11.920082069105314</v>
      </c>
      <c r="J98" s="288">
        <v>15.337650107120368</v>
      </c>
      <c r="K98" s="288">
        <v>19.257337210544378</v>
      </c>
      <c r="L98" s="288">
        <v>4.4430069020556369</v>
      </c>
      <c r="M98" s="288">
        <v>6.6887232522511857</v>
      </c>
      <c r="N98" s="288">
        <v>17.034210174989656</v>
      </c>
    </row>
    <row r="99" spans="1:14" ht="15" customHeight="1">
      <c r="A99" s="287"/>
      <c r="B99" s="287" t="s">
        <v>98</v>
      </c>
      <c r="C99" s="288">
        <v>20.958776965008404</v>
      </c>
      <c r="D99" s="288">
        <v>27.31912824141541</v>
      </c>
      <c r="E99" s="288">
        <v>88.950258777341617</v>
      </c>
      <c r="F99" s="288">
        <v>14.9153935715643</v>
      </c>
      <c r="G99" s="288">
        <v>9.0971065081546492</v>
      </c>
      <c r="H99" s="288">
        <v>12.111074901958176</v>
      </c>
      <c r="I99" s="288">
        <v>12.499232488311552</v>
      </c>
      <c r="J99" s="288">
        <v>16.503005519540149</v>
      </c>
      <c r="K99" s="288">
        <v>19.386841328916564</v>
      </c>
      <c r="L99" s="288">
        <v>5.0087281653073159</v>
      </c>
      <c r="M99" s="288">
        <v>6.9186475191966759</v>
      </c>
      <c r="N99" s="288">
        <v>16.613209208648261</v>
      </c>
    </row>
    <row r="100" spans="1:14" ht="15" customHeight="1">
      <c r="A100" s="287"/>
      <c r="B100" s="287" t="s">
        <v>99</v>
      </c>
      <c r="C100" s="288">
        <v>18.834701389134242</v>
      </c>
      <c r="D100" s="288">
        <v>11.48817920079061</v>
      </c>
      <c r="E100" s="288">
        <v>24.961995773734159</v>
      </c>
      <c r="F100" s="288">
        <v>24.86178380106141</v>
      </c>
      <c r="G100" s="288">
        <v>3.758090768704287</v>
      </c>
      <c r="H100" s="288">
        <v>55.994620680726129</v>
      </c>
      <c r="I100" s="288">
        <v>12.908487523010631</v>
      </c>
      <c r="J100" s="288">
        <v>16.200623800743436</v>
      </c>
      <c r="K100" s="288">
        <v>19.937423402389733</v>
      </c>
      <c r="L100" s="288">
        <v>5.7386723693583388</v>
      </c>
      <c r="M100" s="288">
        <v>6.6473144815377125</v>
      </c>
      <c r="N100" s="288">
        <v>19.890812686333962</v>
      </c>
    </row>
    <row r="101" spans="1:14" ht="15" customHeight="1">
      <c r="A101" s="284" t="s">
        <v>26</v>
      </c>
      <c r="B101" s="285" t="s">
        <v>88</v>
      </c>
      <c r="C101" s="286">
        <v>6.8012207860153033</v>
      </c>
      <c r="D101" s="286">
        <v>10.003067926721428</v>
      </c>
      <c r="E101" s="286">
        <v>43.820045415488181</v>
      </c>
      <c r="F101" s="286">
        <v>-22.806791230072729</v>
      </c>
      <c r="G101" s="286">
        <v>-6.8524402441481138</v>
      </c>
      <c r="H101" s="286">
        <v>12.078251972763516</v>
      </c>
      <c r="I101" s="286">
        <v>6.8012207860153033</v>
      </c>
      <c r="J101" s="286">
        <v>10.003067926721428</v>
      </c>
      <c r="K101" s="286">
        <v>43.820045415488181</v>
      </c>
      <c r="L101" s="286">
        <v>-22.806791230072729</v>
      </c>
      <c r="M101" s="286">
        <v>-6.8524402441481138</v>
      </c>
      <c r="N101" s="286">
        <v>12.078251972763516</v>
      </c>
    </row>
    <row r="102" spans="1:14" ht="15" customHeight="1">
      <c r="A102" s="287"/>
      <c r="B102" s="287" t="s">
        <v>89</v>
      </c>
      <c r="C102" s="288">
        <v>-1.3536415161245641</v>
      </c>
      <c r="D102" s="288">
        <v>12.161314727326088</v>
      </c>
      <c r="E102" s="288">
        <v>26.672589686708985</v>
      </c>
      <c r="F102" s="288">
        <v>-8.3139146417984353</v>
      </c>
      <c r="G102" s="288">
        <v>21.15623209906526</v>
      </c>
      <c r="H102" s="288">
        <v>17.037961967287341</v>
      </c>
      <c r="I102" s="288">
        <v>1.7146466511623049</v>
      </c>
      <c r="J102" s="288">
        <v>10.650705602651838</v>
      </c>
      <c r="K102" s="288">
        <v>36.344658131253091</v>
      </c>
      <c r="L102" s="288">
        <v>-9.1939248504236133</v>
      </c>
      <c r="M102" s="288">
        <v>6.3569774991269687</v>
      </c>
      <c r="N102" s="288">
        <v>14.68539595353689</v>
      </c>
    </row>
    <row r="103" spans="1:14" ht="15" customHeight="1">
      <c r="A103" s="287"/>
      <c r="B103" s="287" t="s">
        <v>90</v>
      </c>
      <c r="C103" s="288">
        <v>15.115523123230403</v>
      </c>
      <c r="D103" s="288">
        <v>18.154183053395897</v>
      </c>
      <c r="E103" s="288">
        <v>2.1433203859075092</v>
      </c>
      <c r="F103" s="288">
        <v>24.764239240290028</v>
      </c>
      <c r="G103" s="288">
        <v>1.5040672341458809</v>
      </c>
      <c r="H103" s="288">
        <v>17.027455924871198</v>
      </c>
      <c r="I103" s="288">
        <v>3.8471467976689988</v>
      </c>
      <c r="J103" s="288">
        <v>12.19388410140437</v>
      </c>
      <c r="K103" s="288">
        <v>28.94415673494769</v>
      </c>
      <c r="L103" s="288">
        <v>-7.193164371487061</v>
      </c>
      <c r="M103" s="288">
        <v>4.8247031959385982</v>
      </c>
      <c r="N103" s="288">
        <v>15.386984767025089</v>
      </c>
    </row>
    <row r="104" spans="1:14" ht="15" customHeight="1">
      <c r="A104" s="287"/>
      <c r="B104" s="287" t="s">
        <v>91</v>
      </c>
      <c r="C104" s="288">
        <v>-14.207041967597636</v>
      </c>
      <c r="D104" s="288">
        <v>6.0611621243550511</v>
      </c>
      <c r="E104" s="288">
        <v>-31.208257933612199</v>
      </c>
      <c r="F104" s="288">
        <v>-22.842234200514646</v>
      </c>
      <c r="G104" s="288">
        <v>-6.1550706137225344</v>
      </c>
      <c r="H104" s="288">
        <v>-16.577961372741839</v>
      </c>
      <c r="I104" s="288">
        <v>-2.7745062465506223</v>
      </c>
      <c r="J104" s="288">
        <v>10.260971973000835</v>
      </c>
      <c r="K104" s="288">
        <v>-22.449439504317251</v>
      </c>
      <c r="L104" s="288">
        <v>-12.028792128355741</v>
      </c>
      <c r="M104" s="288">
        <v>1.9300289807798465</v>
      </c>
      <c r="N104" s="288">
        <v>6.8189412120793245</v>
      </c>
    </row>
    <row r="105" spans="1:14" ht="15" customHeight="1">
      <c r="A105" s="287"/>
      <c r="B105" s="287" t="s">
        <v>92</v>
      </c>
      <c r="C105" s="288">
        <v>6.7961811241475614</v>
      </c>
      <c r="D105" s="288">
        <v>7.9165767970527128</v>
      </c>
      <c r="E105" s="288">
        <v>75.676282171566427</v>
      </c>
      <c r="F105" s="288">
        <v>-3.9250035730316037</v>
      </c>
      <c r="G105" s="288">
        <v>6.0060964949921649</v>
      </c>
      <c r="H105" s="288">
        <v>-0.37309552561264703</v>
      </c>
      <c r="I105" s="288">
        <v>-2.0391673707042366</v>
      </c>
      <c r="J105" s="288">
        <v>10.1255177637423</v>
      </c>
      <c r="K105" s="288">
        <v>-18.518951143771652</v>
      </c>
      <c r="L105" s="288">
        <v>-11.510112616570384</v>
      </c>
      <c r="M105" s="288">
        <v>2.7365772814611922</v>
      </c>
      <c r="N105" s="288">
        <v>5.4998952964356418</v>
      </c>
    </row>
    <row r="106" spans="1:14" ht="15" customHeight="1">
      <c r="A106" s="287"/>
      <c r="B106" s="287" t="s">
        <v>93</v>
      </c>
      <c r="C106" s="288">
        <v>-7.5504174728847335</v>
      </c>
      <c r="D106" s="288">
        <v>-2.2500894550750798</v>
      </c>
      <c r="E106" s="288">
        <v>13.705463287035096</v>
      </c>
      <c r="F106" s="288">
        <v>-27.58034737667834</v>
      </c>
      <c r="G106" s="288">
        <v>-3.9527055491139307</v>
      </c>
      <c r="H106" s="288">
        <v>3.0151468237167536</v>
      </c>
      <c r="I106" s="288">
        <v>-2.4836301842989483</v>
      </c>
      <c r="J106" s="288">
        <v>9.2982600280591985</v>
      </c>
      <c r="K106" s="288">
        <v>-16.558081496988049</v>
      </c>
      <c r="L106" s="288">
        <v>-12.427221175050287</v>
      </c>
      <c r="M106" s="288">
        <v>1.532688342676868</v>
      </c>
      <c r="N106" s="288">
        <v>5.0087097404815868</v>
      </c>
    </row>
    <row r="107" spans="1:14" ht="15" customHeight="1">
      <c r="A107" s="287"/>
      <c r="B107" s="287" t="s">
        <v>94</v>
      </c>
      <c r="C107" s="288">
        <v>-19.974303476205392</v>
      </c>
      <c r="D107" s="288">
        <v>-19.686476573712199</v>
      </c>
      <c r="E107" s="288">
        <v>-26.092224504768737</v>
      </c>
      <c r="F107" s="288">
        <v>-22.571516032809356</v>
      </c>
      <c r="G107" s="288">
        <v>-7.2586969011176965</v>
      </c>
      <c r="H107" s="288">
        <v>-15.152962154239042</v>
      </c>
      <c r="I107" s="288">
        <v>-6.5952477720216631</v>
      </c>
      <c r="J107" s="288">
        <v>0.13782374816324916</v>
      </c>
      <c r="K107" s="288">
        <v>-18.178829349091465</v>
      </c>
      <c r="L107" s="288">
        <v>-14.325234703782977</v>
      </c>
      <c r="M107" s="288">
        <v>0.19108886563177463</v>
      </c>
      <c r="N107" s="288">
        <v>1.5556712122149305</v>
      </c>
    </row>
    <row r="108" spans="1:14" ht="15" customHeight="1">
      <c r="A108" s="287"/>
      <c r="B108" s="287" t="s">
        <v>95</v>
      </c>
      <c r="C108" s="288">
        <v>-36.446131555895512</v>
      </c>
      <c r="D108" s="288" t="s">
        <v>262</v>
      </c>
      <c r="E108" s="288">
        <v>-36.149512964050842</v>
      </c>
      <c r="F108" s="288">
        <v>-14.018879155301534</v>
      </c>
      <c r="G108" s="288">
        <v>0.1931350487313552</v>
      </c>
      <c r="H108" s="288">
        <v>-8.7856328267927903</v>
      </c>
      <c r="I108" s="288">
        <v>-10.994254105257255</v>
      </c>
      <c r="J108" s="288">
        <v>-0.31403781316824142</v>
      </c>
      <c r="K108" s="288">
        <v>-29.48216792769685</v>
      </c>
      <c r="L108" s="288">
        <v>-15.324569772039517</v>
      </c>
      <c r="M108" s="288">
        <v>0.19137575069926477</v>
      </c>
      <c r="N108" s="288">
        <v>0.45850483790966762</v>
      </c>
    </row>
    <row r="109" spans="1:14" ht="15" customHeight="1">
      <c r="A109" s="287"/>
      <c r="B109" s="287" t="s">
        <v>96</v>
      </c>
      <c r="C109" s="288">
        <v>-1.6835736608559513</v>
      </c>
      <c r="D109" s="288">
        <v>1.6878024171009804</v>
      </c>
      <c r="E109" s="288">
        <v>19.29875215330355</v>
      </c>
      <c r="F109" s="288">
        <v>-8.1085104391916261</v>
      </c>
      <c r="G109" s="288">
        <v>-5.0426009590066245</v>
      </c>
      <c r="H109" s="288">
        <v>7.6897029175609184</v>
      </c>
      <c r="I109" s="288">
        <v>-9.9656681355592003</v>
      </c>
      <c r="J109" s="288">
        <v>-5.0760833753471082E-2</v>
      </c>
      <c r="K109" s="288">
        <v>-28.492531054870856</v>
      </c>
      <c r="L109" s="288">
        <v>-14.337378110581241</v>
      </c>
      <c r="M109" s="288">
        <v>-0.43350928419478046</v>
      </c>
      <c r="N109" s="288">
        <v>1.6231575208666311</v>
      </c>
    </row>
    <row r="110" spans="1:14" ht="15" customHeight="1">
      <c r="A110" s="287"/>
      <c r="B110" s="287" t="s">
        <v>97</v>
      </c>
      <c r="C110" s="288">
        <v>-23.416413190698389</v>
      </c>
      <c r="D110" s="288">
        <v>-6.2001681117724416</v>
      </c>
      <c r="E110" s="288">
        <v>-49.166724326175803</v>
      </c>
      <c r="F110" s="288">
        <v>-15.107143202690684</v>
      </c>
      <c r="G110" s="288">
        <v>2.9635129543564078</v>
      </c>
      <c r="H110" s="288">
        <v>-2.8045437217639568</v>
      </c>
      <c r="I110" s="288">
        <v>-12.323054223342385</v>
      </c>
      <c r="J110" s="288">
        <v>-0.92226394371910558</v>
      </c>
      <c r="K110" s="288">
        <v>-34.095508669230853</v>
      </c>
      <c r="L110" s="288">
        <v>-14.472568563866936</v>
      </c>
      <c r="M110" s="288">
        <v>-9.9835707952623157E-2</v>
      </c>
      <c r="N110" s="288">
        <v>1.2363766088173491</v>
      </c>
    </row>
    <row r="111" spans="1:14" ht="15" customHeight="1">
      <c r="A111" s="287"/>
      <c r="B111" s="287" t="s">
        <v>98</v>
      </c>
      <c r="C111" s="288">
        <v>-11.139988341299709</v>
      </c>
      <c r="D111" s="288">
        <v>-6.4434261619648661</v>
      </c>
      <c r="E111" s="288" t="s">
        <v>262</v>
      </c>
      <c r="F111" s="288">
        <v>-22.159458836209481</v>
      </c>
      <c r="G111" s="288">
        <v>-4.2120711755422269</v>
      </c>
      <c r="H111" s="288">
        <v>-0.18449162965628793</v>
      </c>
      <c r="I111" s="288">
        <v>-12.241549569802736</v>
      </c>
      <c r="J111" s="288">
        <v>-1.5091246506494946</v>
      </c>
      <c r="K111" s="288">
        <v>-34.440595488094196</v>
      </c>
      <c r="L111" s="288">
        <v>-14.926991585690352</v>
      </c>
      <c r="M111" s="288">
        <v>-0.50042280981660003</v>
      </c>
      <c r="N111" s="288">
        <v>1.1195623388638687</v>
      </c>
    </row>
    <row r="112" spans="1:14" ht="15" customHeight="1">
      <c r="A112" s="287"/>
      <c r="B112" s="287" t="s">
        <v>99</v>
      </c>
      <c r="C112" s="288">
        <v>-35.971311658002925</v>
      </c>
      <c r="D112" s="288">
        <v>-3.7267261866494379E-2</v>
      </c>
      <c r="E112" s="288">
        <v>-81.690603335908349</v>
      </c>
      <c r="F112" s="288">
        <v>-40.339179027324761</v>
      </c>
      <c r="G112" s="288">
        <v>-6.6934816531114052</v>
      </c>
      <c r="H112" s="288">
        <v>-9.2394643734446387</v>
      </c>
      <c r="I112" s="288">
        <v>-13.854887487120132</v>
      </c>
      <c r="J112" s="288">
        <v>-1.4239744392566958</v>
      </c>
      <c r="K112" s="288">
        <v>-39.302319340367525</v>
      </c>
      <c r="L112" s="288">
        <v>-16.030307891881705</v>
      </c>
      <c r="M112" s="288">
        <v>-1.0176916747853522</v>
      </c>
      <c r="N112" s="288">
        <v>-2.2179518997265395E-3</v>
      </c>
    </row>
    <row r="113" spans="1:14" ht="15" customHeight="1">
      <c r="A113" s="284" t="s">
        <v>27</v>
      </c>
      <c r="B113" s="285" t="s">
        <v>88</v>
      </c>
      <c r="C113" s="286">
        <v>-8.4529971202809353</v>
      </c>
      <c r="D113" s="286">
        <v>-8.4820541695502829</v>
      </c>
      <c r="E113" s="286">
        <v>-12.90052710510372</v>
      </c>
      <c r="F113" s="286">
        <v>-48.42085643209046</v>
      </c>
      <c r="G113" s="286">
        <v>14.068310981852584</v>
      </c>
      <c r="H113" s="286">
        <v>-6.1358362144797063</v>
      </c>
      <c r="I113" s="286">
        <v>-8.4529971202809353</v>
      </c>
      <c r="J113" s="286">
        <v>-8.4820541695502829</v>
      </c>
      <c r="K113" s="286">
        <v>-12.90052710510372</v>
      </c>
      <c r="L113" s="286">
        <v>-48.42085643209046</v>
      </c>
      <c r="M113" s="286">
        <v>14.068310981852584</v>
      </c>
      <c r="N113" s="286">
        <v>-6.1358362144797063</v>
      </c>
    </row>
    <row r="114" spans="1:14" ht="15" customHeight="1">
      <c r="A114" s="287"/>
      <c r="B114" s="287" t="s">
        <v>89</v>
      </c>
      <c r="C114" s="288">
        <v>-15.582923260303904</v>
      </c>
      <c r="D114" s="288">
        <v>-10.549936277364203</v>
      </c>
      <c r="E114" s="288">
        <v>-26.48302834024306</v>
      </c>
      <c r="F114" s="288">
        <v>-16.562120915540106</v>
      </c>
      <c r="G114" s="288">
        <v>-18.528418001144967</v>
      </c>
      <c r="H114" s="288">
        <v>-14.868634603818407</v>
      </c>
      <c r="I114" s="288">
        <v>-12.76611512641956</v>
      </c>
      <c r="J114" s="288">
        <v>-9.1110469765987148</v>
      </c>
      <c r="K114" s="288">
        <v>-18.40173784784588</v>
      </c>
      <c r="L114" s="288">
        <v>-18.206590479500782</v>
      </c>
      <c r="M114" s="288">
        <v>-3.4440598527210091</v>
      </c>
      <c r="N114" s="288">
        <v>-10.820525583208966</v>
      </c>
    </row>
    <row r="115" spans="1:14" ht="15" customHeight="1">
      <c r="A115" s="287"/>
      <c r="B115" s="287" t="s">
        <v>90</v>
      </c>
      <c r="C115" s="288">
        <v>-23.201316712674608</v>
      </c>
      <c r="D115" s="288">
        <v>-7.5705179589141789</v>
      </c>
      <c r="E115" s="288">
        <v>-56.102379403143807</v>
      </c>
      <c r="F115" s="288">
        <v>-90.41416724460511</v>
      </c>
      <c r="G115" s="288">
        <v>-10.102074651849085</v>
      </c>
      <c r="H115" s="288">
        <v>-3.7911126467015146</v>
      </c>
      <c r="I115" s="288">
        <v>-14.606870307437442</v>
      </c>
      <c r="J115" s="288">
        <v>-8.7773875620709436</v>
      </c>
      <c r="K115" s="288">
        <v>-24.863859021581096</v>
      </c>
      <c r="L115" s="288">
        <v>-23.925902968287474</v>
      </c>
      <c r="M115" s="288">
        <v>-5.4796897319764239</v>
      </c>
      <c r="N115" s="288">
        <v>-8.6848531605321071</v>
      </c>
    </row>
    <row r="116" spans="1:14" ht="15" customHeight="1">
      <c r="A116" s="287"/>
      <c r="B116" s="287" t="s">
        <v>91</v>
      </c>
      <c r="C116" s="288">
        <v>-17.276331645664207</v>
      </c>
      <c r="D116" s="288">
        <v>-14.742730857024574</v>
      </c>
      <c r="E116" s="288">
        <v>-13.588190355968145</v>
      </c>
      <c r="F116" s="288">
        <v>-29.557779473338847</v>
      </c>
      <c r="G116" s="288">
        <v>1.680607285293767</v>
      </c>
      <c r="H116" s="288">
        <v>3.406142951848449</v>
      </c>
      <c r="I116" s="288">
        <v>-15.470810268093308</v>
      </c>
      <c r="J116" s="288">
        <v>-10.585930569999714</v>
      </c>
      <c r="K116" s="288">
        <v>-16.318120215470536</v>
      </c>
      <c r="L116" s="288">
        <v>-25.452261452489488</v>
      </c>
      <c r="M116" s="288">
        <v>-3.7417048234913826</v>
      </c>
      <c r="N116" s="288">
        <v>-6.1537939798949051</v>
      </c>
    </row>
    <row r="117" spans="1:14" ht="15" customHeight="1">
      <c r="A117" s="287"/>
      <c r="B117" s="287" t="s">
        <v>92</v>
      </c>
      <c r="C117" s="288">
        <v>-36.583088744511059</v>
      </c>
      <c r="D117" s="288">
        <v>-34.513144036330623</v>
      </c>
      <c r="E117" s="288">
        <v>-50.48264429373512</v>
      </c>
      <c r="F117" s="288">
        <v>-69.848386556874971</v>
      </c>
      <c r="G117" s="288">
        <v>-6.921985016008871</v>
      </c>
      <c r="H117" s="288">
        <v>-5.3673032475209563</v>
      </c>
      <c r="I117" s="288">
        <v>-17.239219436493809</v>
      </c>
      <c r="J117" s="288">
        <v>-11.940664499306685</v>
      </c>
      <c r="K117" s="288">
        <v>-19.268619727102624</v>
      </c>
      <c r="L117" s="288">
        <v>-28.537386655754609</v>
      </c>
      <c r="M117" s="288">
        <v>-4.3910268654318774</v>
      </c>
      <c r="N117" s="288">
        <v>-6.0175785724853244</v>
      </c>
    </row>
    <row r="118" spans="1:14" ht="15" customHeight="1">
      <c r="A118" s="287"/>
      <c r="B118" s="287" t="s">
        <v>93</v>
      </c>
      <c r="C118" s="288">
        <v>-40.246449974706735</v>
      </c>
      <c r="D118" s="288">
        <v>-40.433542716774532</v>
      </c>
      <c r="E118" s="288">
        <v>-67.337965817213828</v>
      </c>
      <c r="F118" s="288" t="s">
        <v>262</v>
      </c>
      <c r="G118" s="288">
        <v>-7.2606839264455338</v>
      </c>
      <c r="H118" s="288">
        <v>23.381281724915272</v>
      </c>
      <c r="I118" s="288">
        <v>-18.998264981091186</v>
      </c>
      <c r="J118" s="288">
        <v>-13.644053199900657</v>
      </c>
      <c r="K118" s="288">
        <v>-23.254543189108862</v>
      </c>
      <c r="L118" s="288">
        <v>-32.032303723785944</v>
      </c>
      <c r="M118" s="288">
        <v>-4.8795848496833631</v>
      </c>
      <c r="N118" s="288">
        <v>-0.31633739761115748</v>
      </c>
    </row>
    <row r="119" spans="1:14" ht="15" customHeight="1">
      <c r="A119" s="287"/>
      <c r="B119" s="287" t="s">
        <v>94</v>
      </c>
      <c r="C119" s="288">
        <v>-16.183948694252862</v>
      </c>
      <c r="D119" s="288">
        <v>-8.1869525077743486</v>
      </c>
      <c r="E119" s="288">
        <v>-48.411745548028897</v>
      </c>
      <c r="F119" s="288">
        <v>-33.748161467684703</v>
      </c>
      <c r="G119" s="288">
        <v>8.4985538253065442</v>
      </c>
      <c r="H119" s="288">
        <v>-3.7044424814065482</v>
      </c>
      <c r="I119" s="288">
        <v>-18.43145226927868</v>
      </c>
      <c r="J119" s="288">
        <v>-12.260807599107697</v>
      </c>
      <c r="K119" s="288">
        <v>-27.117506452838235</v>
      </c>
      <c r="L119" s="288">
        <v>-32.322443018677973</v>
      </c>
      <c r="M119" s="288">
        <v>-2.9898304741684063</v>
      </c>
      <c r="N119" s="288">
        <v>-0.80113923492566452</v>
      </c>
    </row>
    <row r="120" spans="1:14" ht="15" customHeight="1">
      <c r="A120" s="287"/>
      <c r="B120" s="287" t="s">
        <v>95</v>
      </c>
      <c r="C120" s="288">
        <v>-37.905161627739645</v>
      </c>
      <c r="D120" s="288">
        <v>7.958833312831878</v>
      </c>
      <c r="E120" s="288">
        <v>-33.509226587776737</v>
      </c>
      <c r="F120" s="288">
        <v>-47.166464457108603</v>
      </c>
      <c r="G120" s="288">
        <v>-0.77929012159087319</v>
      </c>
      <c r="H120" s="288">
        <v>-8.0865865028328283</v>
      </c>
      <c r="I120" s="288">
        <v>-20.480584687573774</v>
      </c>
      <c r="J120" s="288">
        <v>-12.280584109920671</v>
      </c>
      <c r="K120" s="288">
        <v>-30.757705664118479</v>
      </c>
      <c r="L120" s="288">
        <v>-36.096201718909349</v>
      </c>
      <c r="M120" s="288">
        <v>-2.6798962585958908</v>
      </c>
      <c r="N120" s="288">
        <v>-1.5029660227522121</v>
      </c>
    </row>
    <row r="121" spans="1:14" ht="15" customHeight="1">
      <c r="A121" s="287"/>
      <c r="B121" s="287" t="s">
        <v>96</v>
      </c>
      <c r="C121" s="288">
        <v>-11.750450382194959</v>
      </c>
      <c r="D121" s="288">
        <v>-3.0479619644475289</v>
      </c>
      <c r="E121" s="288">
        <v>-40.727277313811747</v>
      </c>
      <c r="F121" s="288">
        <v>-23.558049343906031</v>
      </c>
      <c r="G121" s="288">
        <v>-0.54542249081135608</v>
      </c>
      <c r="H121" s="288">
        <v>-8.1482774556900974</v>
      </c>
      <c r="I121" s="288">
        <v>-19.427415758594314</v>
      </c>
      <c r="J121" s="288">
        <v>-11.045211679358328</v>
      </c>
      <c r="K121" s="288">
        <v>-31.095138136912375</v>
      </c>
      <c r="L121" s="288">
        <v>-34.256197346353346</v>
      </c>
      <c r="M121" s="288">
        <v>-2.436857929851945</v>
      </c>
      <c r="N121" s="288">
        <v>-2.6371486914810478</v>
      </c>
    </row>
    <row r="122" spans="1:14" ht="15" customHeight="1">
      <c r="A122" s="287"/>
      <c r="B122" s="287" t="s">
        <v>97</v>
      </c>
      <c r="C122" s="288">
        <v>-3.7679531233088017</v>
      </c>
      <c r="D122" s="288">
        <v>-6.4920789266744992</v>
      </c>
      <c r="E122" s="288">
        <v>13.165760193803605</v>
      </c>
      <c r="F122" s="288">
        <v>-15.811249506747197</v>
      </c>
      <c r="G122" s="288">
        <v>9.4995193530474307</v>
      </c>
      <c r="H122" s="288">
        <v>-4.9220479291014811</v>
      </c>
      <c r="I122" s="288">
        <v>-17.030175735189601</v>
      </c>
      <c r="J122" s="288">
        <v>-10.434309066907451</v>
      </c>
      <c r="K122" s="288">
        <v>-21.842967717621221</v>
      </c>
      <c r="L122" s="288">
        <v>-31.040827295312841</v>
      </c>
      <c r="M122" s="288">
        <v>-1.2284512629340216</v>
      </c>
      <c r="N122" s="288">
        <v>-2.8287785357588335</v>
      </c>
    </row>
    <row r="123" spans="1:14" ht="15" customHeight="1">
      <c r="A123" s="287"/>
      <c r="B123" s="287" t="s">
        <v>98</v>
      </c>
      <c r="C123" s="288">
        <v>-17.584343561402747</v>
      </c>
      <c r="D123" s="288">
        <v>-17.807465552724842</v>
      </c>
      <c r="E123" s="288" t="s">
        <v>262</v>
      </c>
      <c r="F123" s="288">
        <v>-20.52572176684869</v>
      </c>
      <c r="G123" s="288">
        <v>-3.3492590941944482</v>
      </c>
      <c r="H123" s="288">
        <v>-11.718547251184177</v>
      </c>
      <c r="I123" s="288">
        <v>-17.068833096211932</v>
      </c>
      <c r="J123" s="288">
        <v>-11.178760359073411</v>
      </c>
      <c r="K123" s="288">
        <v>-22.561788798270403</v>
      </c>
      <c r="L123" s="288">
        <v>-30.472056439367059</v>
      </c>
      <c r="M123" s="288">
        <v>-1.4273398457387589</v>
      </c>
      <c r="N123" s="288">
        <v>-3.5502105268234807</v>
      </c>
    </row>
    <row r="124" spans="1:14" ht="15" customHeight="1">
      <c r="A124" s="287"/>
      <c r="B124" s="287" t="s">
        <v>99</v>
      </c>
      <c r="C124" s="288">
        <v>-21.613133125156118</v>
      </c>
      <c r="D124" s="288">
        <v>-3.2770058366381867</v>
      </c>
      <c r="E124" s="288" t="s">
        <v>262</v>
      </c>
      <c r="F124" s="288">
        <v>-52.364689453726584</v>
      </c>
      <c r="G124" s="288">
        <v>3.4979161876020286</v>
      </c>
      <c r="H124" s="288">
        <v>10.229751634603897</v>
      </c>
      <c r="I124" s="288">
        <v>-17.298470652480493</v>
      </c>
      <c r="J124" s="288">
        <v>-10.715195669287828</v>
      </c>
      <c r="K124" s="288">
        <v>-25.951948846721134</v>
      </c>
      <c r="L124" s="288">
        <v>-31.147396711140523</v>
      </c>
      <c r="M124" s="288">
        <v>-1.0395518594110675</v>
      </c>
      <c r="N124" s="288">
        <v>-2.1958210829846987</v>
      </c>
    </row>
    <row r="125" spans="1:14" ht="15" customHeight="1">
      <c r="A125" s="284" t="s">
        <v>28</v>
      </c>
      <c r="B125" s="285" t="s">
        <v>88</v>
      </c>
      <c r="C125" s="286">
        <v>-1.4957207121340392</v>
      </c>
      <c r="D125" s="286">
        <v>-1.0059315829566591</v>
      </c>
      <c r="E125" s="286">
        <v>-15.429813213475796</v>
      </c>
      <c r="F125" s="286">
        <v>-2.469131889843434</v>
      </c>
      <c r="G125" s="286">
        <v>-4.305760139883013</v>
      </c>
      <c r="H125" s="286">
        <v>15.688188770994998</v>
      </c>
      <c r="I125" s="286">
        <v>-1.4957207121340392</v>
      </c>
      <c r="J125" s="286">
        <v>-1.0059315829566591</v>
      </c>
      <c r="K125" s="286">
        <v>-15.429813213475796</v>
      </c>
      <c r="L125" s="286">
        <v>-2.469131889843434</v>
      </c>
      <c r="M125" s="286">
        <v>-4.305760139883013</v>
      </c>
      <c r="N125" s="286">
        <v>15.688188770994998</v>
      </c>
    </row>
    <row r="126" spans="1:14" ht="15" customHeight="1">
      <c r="A126" s="287"/>
      <c r="B126" s="287" t="s">
        <v>89</v>
      </c>
      <c r="C126" s="288">
        <v>-3.6302783515603863</v>
      </c>
      <c r="D126" s="288">
        <v>-1.1738222291044595</v>
      </c>
      <c r="E126" s="288">
        <v>-63.644388495852326</v>
      </c>
      <c r="F126" s="288">
        <v>-3.7871992315061185</v>
      </c>
      <c r="G126" s="288">
        <v>9.1234184548423638</v>
      </c>
      <c r="H126" s="288">
        <v>-14.472352888967782</v>
      </c>
      <c r="I126" s="288">
        <v>-2.7452869755566023</v>
      </c>
      <c r="J126" s="288">
        <v>-1.0561908276511005</v>
      </c>
      <c r="K126" s="288">
        <v>-33.023772164138514</v>
      </c>
      <c r="L126" s="288">
        <v>-3.7442959293830049</v>
      </c>
      <c r="M126" s="288">
        <v>1.7818597253279129</v>
      </c>
      <c r="N126" s="288">
        <v>0.24307212624479019</v>
      </c>
    </row>
    <row r="127" spans="1:14" ht="15" customHeight="1">
      <c r="A127" s="287"/>
      <c r="B127" s="287" t="s">
        <v>90</v>
      </c>
      <c r="C127" s="288">
        <v>20.252619283940053</v>
      </c>
      <c r="D127" s="288">
        <v>6.1730725881870052</v>
      </c>
      <c r="E127" s="288">
        <v>-94.163878249974758</v>
      </c>
      <c r="F127" s="288" t="s">
        <v>262</v>
      </c>
      <c r="G127" s="288">
        <v>3.9046998384897234</v>
      </c>
      <c r="H127" s="288">
        <v>23.113399713088086</v>
      </c>
      <c r="I127" s="288">
        <v>0.90321286006444879</v>
      </c>
      <c r="J127" s="288">
        <v>0.53029268732044288</v>
      </c>
      <c r="K127" s="288">
        <v>-39.146495553946032</v>
      </c>
      <c r="L127" s="288">
        <v>3.4698295914417927</v>
      </c>
      <c r="M127" s="288">
        <v>2.3991591566676069</v>
      </c>
      <c r="N127" s="288">
        <v>7.5639024136997577</v>
      </c>
    </row>
    <row r="128" spans="1:14" ht="15" customHeight="1">
      <c r="A128" s="287"/>
      <c r="B128" s="287" t="s">
        <v>91</v>
      </c>
      <c r="C128" s="288">
        <v>6.5922375916518661</v>
      </c>
      <c r="D128" s="288">
        <v>4.8397269529738098</v>
      </c>
      <c r="E128" s="288">
        <v>-15.184694491538181</v>
      </c>
      <c r="F128" s="288">
        <v>27.00292369423466</v>
      </c>
      <c r="G128" s="288">
        <v>12.207034219821235</v>
      </c>
      <c r="H128" s="288">
        <v>3.8024992681951426</v>
      </c>
      <c r="I128" s="288">
        <v>2.7050719604907334</v>
      </c>
      <c r="J128" s="288">
        <v>1.7760665551632768</v>
      </c>
      <c r="K128" s="288">
        <v>-20.393595447752926</v>
      </c>
      <c r="L128" s="288">
        <v>9.4965496318365226</v>
      </c>
      <c r="M128" s="288">
        <v>4.9138804199337383</v>
      </c>
      <c r="N128" s="288">
        <v>6.696302058469433</v>
      </c>
    </row>
    <row r="129" spans="1:14" ht="15" customHeight="1">
      <c r="A129" s="287"/>
      <c r="B129" s="287" t="s">
        <v>92</v>
      </c>
      <c r="C129" s="288">
        <v>49.532027601839509</v>
      </c>
      <c r="D129" s="288">
        <v>31.450844806102641</v>
      </c>
      <c r="E129" s="288">
        <v>-19.65959200727022</v>
      </c>
      <c r="F129" s="288" t="s">
        <v>262</v>
      </c>
      <c r="G129" s="288">
        <v>4.2057177170366593</v>
      </c>
      <c r="H129" s="288">
        <v>6.2632952082099962</v>
      </c>
      <c r="I129" s="288">
        <v>5.7106228358553963</v>
      </c>
      <c r="J129" s="288">
        <v>3.0255430840769089</v>
      </c>
      <c r="K129" s="288">
        <v>-20.35471481407901</v>
      </c>
      <c r="L129" s="288">
        <v>17.759679016803155</v>
      </c>
      <c r="M129" s="288">
        <v>4.7731213883566053</v>
      </c>
      <c r="N129" s="288">
        <v>6.6207890144875767</v>
      </c>
    </row>
    <row r="130" spans="1:14" ht="15" customHeight="1">
      <c r="A130" s="287"/>
      <c r="B130" s="287" t="s">
        <v>93</v>
      </c>
      <c r="C130" s="288">
        <v>72.612875027007007</v>
      </c>
      <c r="D130" s="288">
        <v>24.373061480336929</v>
      </c>
      <c r="E130" s="288" t="s">
        <v>262</v>
      </c>
      <c r="F130" s="288" t="s">
        <v>262</v>
      </c>
      <c r="G130" s="288">
        <v>19.342512320691228</v>
      </c>
      <c r="H130" s="288">
        <v>12.062165887562969</v>
      </c>
      <c r="I130" s="288">
        <v>9.4839361583456494</v>
      </c>
      <c r="J130" s="288">
        <v>3.9058504944607222</v>
      </c>
      <c r="K130" s="288">
        <v>-15.81292300596791</v>
      </c>
      <c r="L130" s="288">
        <v>27.589176711610918</v>
      </c>
      <c r="M130" s="288">
        <v>7.1914630856168378</v>
      </c>
      <c r="N130" s="288">
        <v>7.9268787486067653</v>
      </c>
    </row>
    <row r="131" spans="1:14" ht="15" customHeight="1">
      <c r="A131" s="287"/>
      <c r="B131" s="287" t="s">
        <v>94</v>
      </c>
      <c r="C131" s="288">
        <v>23.527027743739659</v>
      </c>
      <c r="D131" s="288">
        <v>6.404228768571711</v>
      </c>
      <c r="E131" s="288">
        <v>8.4156019194503724</v>
      </c>
      <c r="F131" s="288">
        <v>90.169378909004706</v>
      </c>
      <c r="G131" s="288">
        <v>-2.7423455014205649</v>
      </c>
      <c r="H131" s="288">
        <v>14.957054715473619</v>
      </c>
      <c r="I131" s="288">
        <v>12.390192195563595</v>
      </c>
      <c r="J131" s="288">
        <v>4.5685342049951307</v>
      </c>
      <c r="K131" s="288">
        <v>-13.179547330283906</v>
      </c>
      <c r="L131" s="288">
        <v>37.948120961160029</v>
      </c>
      <c r="M131" s="288">
        <v>5.6220685377463555</v>
      </c>
      <c r="N131" s="288">
        <v>8.9033807737758828</v>
      </c>
    </row>
    <row r="132" spans="1:14" ht="15" customHeight="1">
      <c r="A132" s="287"/>
      <c r="B132" s="287" t="s">
        <v>95</v>
      </c>
      <c r="C132" s="288">
        <v>-1.2095451490242601</v>
      </c>
      <c r="D132" s="288" t="s">
        <v>262</v>
      </c>
      <c r="E132" s="288">
        <v>-28.325762465882864</v>
      </c>
      <c r="F132" s="288">
        <v>80.12448588499177</v>
      </c>
      <c r="G132" s="288">
        <v>-2.9053701907341338</v>
      </c>
      <c r="H132" s="288">
        <v>28.557829604950026</v>
      </c>
      <c r="I132" s="288">
        <v>11.272726541219704</v>
      </c>
      <c r="J132" s="288">
        <v>5.2580675049183467</v>
      </c>
      <c r="K132" s="288">
        <v>-21.462810438706551</v>
      </c>
      <c r="L132" s="288">
        <v>50.857309251523262</v>
      </c>
      <c r="M132" s="288">
        <v>4.4031085492619679</v>
      </c>
      <c r="N132" s="288">
        <v>10.670192745850384</v>
      </c>
    </row>
    <row r="133" spans="1:14" ht="15" customHeight="1">
      <c r="A133" s="287"/>
      <c r="B133" s="287" t="s">
        <v>96</v>
      </c>
      <c r="C133" s="288">
        <v>16.790171133750917</v>
      </c>
      <c r="D133" s="288">
        <v>3.7648635174988025</v>
      </c>
      <c r="E133" s="288">
        <v>48.407609503576872</v>
      </c>
      <c r="F133" s="288">
        <v>43.517594726595235</v>
      </c>
      <c r="G133" s="288">
        <v>2.177993603112395</v>
      </c>
      <c r="H133" s="288">
        <v>5.9791772250594519</v>
      </c>
      <c r="I133" s="288">
        <v>12.001747976379633</v>
      </c>
      <c r="J133" s="288">
        <v>5.0403067585529309</v>
      </c>
      <c r="K133" s="288">
        <v>-19.428539758356621</v>
      </c>
      <c r="L133" s="288">
        <v>49.604913975630815</v>
      </c>
      <c r="M133" s="288">
        <v>4.1448376959098754</v>
      </c>
      <c r="N133" s="288">
        <v>9.9148769644060373</v>
      </c>
    </row>
    <row r="134" spans="1:14" ht="15" customHeight="1">
      <c r="A134" s="287"/>
      <c r="B134" s="287" t="s">
        <v>97</v>
      </c>
      <c r="C134" s="288">
        <v>-0.93208581028198234</v>
      </c>
      <c r="D134" s="288">
        <v>4.528252527637787</v>
      </c>
      <c r="E134" s="288">
        <v>-16.858041955101736</v>
      </c>
      <c r="F134" s="288">
        <v>8.9205526552094767</v>
      </c>
      <c r="G134" s="288">
        <v>-10.500640881584038</v>
      </c>
      <c r="H134" s="288">
        <v>23.871725106420328</v>
      </c>
      <c r="I134" s="288">
        <v>9.7052741831228992</v>
      </c>
      <c r="J134" s="288">
        <v>4.9685794806473993</v>
      </c>
      <c r="K134" s="288">
        <v>-18.650525383472761</v>
      </c>
      <c r="L134" s="288">
        <v>40.946406131321666</v>
      </c>
      <c r="M134" s="288">
        <v>2.5011303638527358</v>
      </c>
      <c r="N134" s="288">
        <v>11.060193692262123</v>
      </c>
    </row>
    <row r="135" spans="1:14" ht="15" customHeight="1">
      <c r="A135" s="287"/>
      <c r="B135" s="287" t="s">
        <v>98</v>
      </c>
      <c r="C135" s="288">
        <v>9.7591977558506535</v>
      </c>
      <c r="D135" s="288">
        <v>-1.7044291684234616</v>
      </c>
      <c r="E135" s="288">
        <v>37.713678757087919</v>
      </c>
      <c r="F135" s="288">
        <v>42.883533847858168</v>
      </c>
      <c r="G135" s="288">
        <v>1.5851165460509815</v>
      </c>
      <c r="H135" s="288">
        <v>10.277630669527049</v>
      </c>
      <c r="I135" s="288">
        <v>9.7090123742293777</v>
      </c>
      <c r="J135" s="288">
        <v>4.3451030123445982</v>
      </c>
      <c r="K135" s="288">
        <v>-18.429178583034762</v>
      </c>
      <c r="L135" s="288">
        <v>41.066176438232326</v>
      </c>
      <c r="M135" s="288">
        <v>2.4169018243171929</v>
      </c>
      <c r="N135" s="288">
        <v>11.002064746737235</v>
      </c>
    </row>
    <row r="136" spans="1:14" ht="15" customHeight="1">
      <c r="A136" s="287"/>
      <c r="B136" s="287" t="s">
        <v>99</v>
      </c>
      <c r="C136" s="288">
        <v>23.834706835217322</v>
      </c>
      <c r="D136" s="288">
        <v>9.8036079770545381</v>
      </c>
      <c r="E136" s="288">
        <v>29.926747373344416</v>
      </c>
      <c r="F136" s="288" t="s">
        <v>262</v>
      </c>
      <c r="G136" s="288">
        <v>1.3153017936547282</v>
      </c>
      <c r="H136" s="288">
        <v>-0.34026895029102827</v>
      </c>
      <c r="I136" s="288">
        <v>10.385586668104356</v>
      </c>
      <c r="J136" s="288">
        <v>4.6920097259864413</v>
      </c>
      <c r="K136" s="288">
        <v>-18.27597948386218</v>
      </c>
      <c r="L136" s="288">
        <v>43.637355538016266</v>
      </c>
      <c r="M136" s="288">
        <v>2.3261909337526636</v>
      </c>
      <c r="N136" s="288">
        <v>9.7456316358100405</v>
      </c>
    </row>
    <row r="137" spans="1:14" ht="15" customHeight="1">
      <c r="A137" s="284" t="s">
        <v>29</v>
      </c>
      <c r="B137" s="285" t="s">
        <v>88</v>
      </c>
      <c r="C137" s="286">
        <v>5.9944814873012788</v>
      </c>
      <c r="D137" s="286">
        <v>2.7734361202874056</v>
      </c>
      <c r="E137" s="286">
        <v>-20.556941595858365</v>
      </c>
      <c r="F137" s="286" t="s">
        <v>262</v>
      </c>
      <c r="G137" s="286">
        <v>3.0605408875134201</v>
      </c>
      <c r="H137" s="286">
        <v>20.082326927443759</v>
      </c>
      <c r="I137" s="286">
        <v>5.9944814873012788</v>
      </c>
      <c r="J137" s="286">
        <v>2.7734361202874056</v>
      </c>
      <c r="K137" s="286">
        <v>-20.556941595858365</v>
      </c>
      <c r="L137" s="286" t="s">
        <v>262</v>
      </c>
      <c r="M137" s="286">
        <v>3.0605408875134201</v>
      </c>
      <c r="N137" s="286">
        <v>20.082326927443759</v>
      </c>
    </row>
    <row r="138" spans="1:14" ht="15" customHeight="1">
      <c r="A138" s="287"/>
      <c r="B138" s="287" t="s">
        <v>89</v>
      </c>
      <c r="C138" s="288">
        <v>3.9453498573637567</v>
      </c>
      <c r="D138" s="288">
        <v>3.3125053244983946</v>
      </c>
      <c r="E138" s="288">
        <v>5.5993249291378833</v>
      </c>
      <c r="F138" s="288">
        <v>6.1485590448459408</v>
      </c>
      <c r="G138" s="288">
        <v>-13.052041363386513</v>
      </c>
      <c r="H138" s="288">
        <v>10.663525798015856</v>
      </c>
      <c r="I138" s="288">
        <v>4.8058391096588835</v>
      </c>
      <c r="J138" s="288">
        <v>2.934618421602134</v>
      </c>
      <c r="K138" s="288">
        <v>-15.375963539768939</v>
      </c>
      <c r="L138" s="288">
        <v>9.6290481891072872</v>
      </c>
      <c r="M138" s="288">
        <v>-4.7703433496909886</v>
      </c>
      <c r="N138" s="288">
        <v>15.967042662993455</v>
      </c>
    </row>
    <row r="139" spans="1:14" ht="15" customHeight="1">
      <c r="A139" s="287"/>
      <c r="B139" s="287" t="s">
        <v>90</v>
      </c>
      <c r="C139" s="288">
        <v>9.1160284498697077</v>
      </c>
      <c r="D139" s="288">
        <v>-0.89213477166891786</v>
      </c>
      <c r="E139" s="288" t="s">
        <v>262</v>
      </c>
      <c r="F139" s="288">
        <v>80.681076480206443</v>
      </c>
      <c r="G139" s="288">
        <v>1.3275259638818067</v>
      </c>
      <c r="H139" s="288">
        <v>-18.991280346276895</v>
      </c>
      <c r="I139" s="288">
        <v>5.6207533930991973</v>
      </c>
      <c r="J139" s="288">
        <v>2.0476882965390697</v>
      </c>
      <c r="K139" s="288">
        <v>-21.320088462039884</v>
      </c>
      <c r="L139" s="288">
        <v>15.242634312285752</v>
      </c>
      <c r="M139" s="288">
        <v>-2.9710768017451672</v>
      </c>
      <c r="N139" s="288">
        <v>3.1591606292580039</v>
      </c>
    </row>
    <row r="140" spans="1:14" ht="15" customHeight="1">
      <c r="A140" s="287"/>
      <c r="B140" s="287" t="s">
        <v>91</v>
      </c>
      <c r="C140" s="288">
        <v>2.1371503734572821</v>
      </c>
      <c r="D140" s="288">
        <v>2.4967173567809806</v>
      </c>
      <c r="E140" s="288">
        <v>-13.621276494728438</v>
      </c>
      <c r="F140" s="288">
        <v>11.456984023209495</v>
      </c>
      <c r="G140" s="288">
        <v>-9.2575556068593823</v>
      </c>
      <c r="H140" s="288">
        <v>35.849213977614845</v>
      </c>
      <c r="I140" s="288">
        <v>4.4756482850758683</v>
      </c>
      <c r="J140" s="288">
        <v>2.1814012936965077</v>
      </c>
      <c r="K140" s="288">
        <v>-14.900622267377914</v>
      </c>
      <c r="L140" s="288">
        <v>14.11814388420815</v>
      </c>
      <c r="M140" s="288">
        <v>-4.6949666722010477</v>
      </c>
      <c r="N140" s="288">
        <v>10.494900280621602</v>
      </c>
    </row>
    <row r="141" spans="1:14" ht="15" customHeight="1">
      <c r="A141" s="287"/>
      <c r="B141" s="287" t="s">
        <v>92</v>
      </c>
      <c r="C141" s="288">
        <v>9.721404466702408</v>
      </c>
      <c r="D141" s="288">
        <v>12.334696093885</v>
      </c>
      <c r="E141" s="288">
        <v>10.337122306573992</v>
      </c>
      <c r="F141" s="288">
        <v>19.202353842209696</v>
      </c>
      <c r="G141" s="288">
        <v>-1.0118067762142642</v>
      </c>
      <c r="H141" s="288">
        <v>-5.1012258956961247</v>
      </c>
      <c r="I141" s="288">
        <v>4.9519167772523467</v>
      </c>
      <c r="J141" s="288">
        <v>2.7268652840406737</v>
      </c>
      <c r="K141" s="288">
        <v>-13.552094974234446</v>
      </c>
      <c r="L141" s="288">
        <v>14.613507478032373</v>
      </c>
      <c r="M141" s="288">
        <v>-3.9668424812719758</v>
      </c>
      <c r="N141" s="288">
        <v>7.7841760523709409</v>
      </c>
    </row>
    <row r="142" spans="1:14" ht="15" customHeight="1">
      <c r="A142" s="287"/>
      <c r="B142" s="287" t="s">
        <v>93</v>
      </c>
      <c r="C142" s="288">
        <v>3.1994833157857663</v>
      </c>
      <c r="D142" s="288">
        <v>23.065197572399537</v>
      </c>
      <c r="E142" s="288">
        <v>-4.8219028565883653</v>
      </c>
      <c r="F142" s="288">
        <v>5.3856903018971956</v>
      </c>
      <c r="G142" s="288">
        <v>-5.3964047959769958</v>
      </c>
      <c r="H142" s="288">
        <v>-13.160877724588621</v>
      </c>
      <c r="I142" s="288">
        <v>4.7960884346627788</v>
      </c>
      <c r="J142" s="288">
        <v>3.7307610511969793</v>
      </c>
      <c r="K142" s="288">
        <v>-12.789644351092008</v>
      </c>
      <c r="L142" s="288">
        <v>13.917921881026526</v>
      </c>
      <c r="M142" s="288">
        <v>-4.2310312408615758</v>
      </c>
      <c r="N142" s="288">
        <v>2.5641209924552482</v>
      </c>
    </row>
    <row r="143" spans="1:14" ht="15" customHeight="1">
      <c r="A143" s="287"/>
      <c r="B143" s="287" t="s">
        <v>94</v>
      </c>
      <c r="C143" s="288">
        <v>-0.99847414819559754</v>
      </c>
      <c r="D143" s="288">
        <v>2.8052817606359226</v>
      </c>
      <c r="E143" s="288">
        <v>2.0433332265196644</v>
      </c>
      <c r="F143" s="288">
        <v>-7.0641766058647928</v>
      </c>
      <c r="G143" s="288">
        <v>2.2433391351981316</v>
      </c>
      <c r="H143" s="288">
        <v>-15.135650839260634</v>
      </c>
      <c r="I143" s="288">
        <v>3.478058178814198</v>
      </c>
      <c r="J143" s="288">
        <v>3.480972416852826</v>
      </c>
      <c r="K143" s="288">
        <v>-10.776458242295956</v>
      </c>
      <c r="L143" s="288">
        <v>9.1299426943536055</v>
      </c>
      <c r="M143" s="288">
        <v>-3.289178479221667</v>
      </c>
      <c r="N143" s="288">
        <v>-3.1067380359329516E-2</v>
      </c>
    </row>
    <row r="144" spans="1:14" ht="15" customHeight="1">
      <c r="A144" s="287"/>
      <c r="B144" s="287" t="s">
        <v>95</v>
      </c>
      <c r="C144" s="288">
        <v>-20.249231712430031</v>
      </c>
      <c r="D144" s="288" t="s">
        <v>262</v>
      </c>
      <c r="E144" s="288">
        <v>-18.179045514145738</v>
      </c>
      <c r="F144" s="288">
        <v>-17.32038545031244</v>
      </c>
      <c r="G144" s="288">
        <v>-9.4884501164459074</v>
      </c>
      <c r="H144" s="288">
        <v>-23.975536281846637</v>
      </c>
      <c r="I144" s="288">
        <v>1.7471339598328375</v>
      </c>
      <c r="J144" s="288">
        <v>3.1410035808026602</v>
      </c>
      <c r="K144" s="288">
        <v>-14.471068204717911</v>
      </c>
      <c r="L144" s="288">
        <v>9.0119624810819445</v>
      </c>
      <c r="M144" s="288">
        <v>-4.1133038608396451</v>
      </c>
      <c r="N144" s="288">
        <v>-2.5314273545586987</v>
      </c>
    </row>
    <row r="145" spans="1:14" ht="15" customHeight="1">
      <c r="A145" s="287"/>
      <c r="B145" s="287" t="s">
        <v>96</v>
      </c>
      <c r="C145" s="288">
        <v>-0.48030180722492499</v>
      </c>
      <c r="D145" s="288">
        <v>5.1541064715816836</v>
      </c>
      <c r="E145" s="288">
        <v>1.1287297325806744</v>
      </c>
      <c r="F145" s="288">
        <v>-6.7750242103325657</v>
      </c>
      <c r="G145" s="288">
        <v>4.1421337775357934</v>
      </c>
      <c r="H145" s="288">
        <v>-14.248354141975444</v>
      </c>
      <c r="I145" s="288">
        <v>1.4402395338221501</v>
      </c>
      <c r="J145" s="288">
        <v>3.4310187843732103</v>
      </c>
      <c r="K145" s="288">
        <v>-13.634484705626351</v>
      </c>
      <c r="L145" s="288">
        <v>6.4277942473409775</v>
      </c>
      <c r="M145" s="288">
        <v>-3.1731852056210834</v>
      </c>
      <c r="N145" s="288">
        <v>-4.3504557170715392</v>
      </c>
    </row>
    <row r="146" spans="1:14" ht="15" customHeight="1">
      <c r="A146" s="287"/>
      <c r="B146" s="287" t="s">
        <v>97</v>
      </c>
      <c r="C146" s="288">
        <v>-0.34696501983357048</v>
      </c>
      <c r="D146" s="288">
        <v>1.3281516568537071</v>
      </c>
      <c r="E146" s="288">
        <v>-4.0775895048375803</v>
      </c>
      <c r="F146" s="288">
        <v>2.3720403817449855</v>
      </c>
      <c r="G146" s="288">
        <v>-6.1851121107592268</v>
      </c>
      <c r="H146" s="288">
        <v>-6.7062510074698904</v>
      </c>
      <c r="I146" s="288">
        <v>1.1536805736095355</v>
      </c>
      <c r="J146" s="288">
        <v>3.1376900606622868</v>
      </c>
      <c r="K146" s="288">
        <v>-10.67815611421454</v>
      </c>
      <c r="L146" s="288">
        <v>5.7607679250117094</v>
      </c>
      <c r="M146" s="288">
        <v>-3.4683446085958551</v>
      </c>
      <c r="N146" s="288">
        <v>-4.5660759739943897</v>
      </c>
    </row>
    <row r="147" spans="1:14" ht="15" customHeight="1">
      <c r="A147" s="287"/>
      <c r="B147" s="287" t="s">
        <v>98</v>
      </c>
      <c r="C147" s="288">
        <v>1.7191102145364874</v>
      </c>
      <c r="D147" s="288">
        <v>4.1824844404754753</v>
      </c>
      <c r="E147" s="288" t="s">
        <v>262</v>
      </c>
      <c r="F147" s="288">
        <v>-7.4528491393060881</v>
      </c>
      <c r="G147" s="288">
        <v>-11.528616042993473</v>
      </c>
      <c r="H147" s="288">
        <v>7.261694490342431</v>
      </c>
      <c r="I147" s="288">
        <v>1.192896278976864</v>
      </c>
      <c r="J147" s="288">
        <v>3.229648392342229</v>
      </c>
      <c r="K147" s="288">
        <v>-8.8272039069952708</v>
      </c>
      <c r="L147" s="288">
        <v>4.933260476273948</v>
      </c>
      <c r="M147" s="288">
        <v>-4.2034766661341925</v>
      </c>
      <c r="N147" s="288">
        <v>-3.6932405191634952</v>
      </c>
    </row>
    <row r="148" spans="1:14" ht="15" customHeight="1">
      <c r="A148" s="287"/>
      <c r="B148" s="287" t="s">
        <v>99</v>
      </c>
      <c r="C148" s="288">
        <v>0.24393907430180889</v>
      </c>
      <c r="D148" s="288">
        <v>6.7274768036864261</v>
      </c>
      <c r="E148" s="288" t="s">
        <v>262</v>
      </c>
      <c r="F148" s="288">
        <v>-47.969012533669606</v>
      </c>
      <c r="G148" s="288">
        <v>-6.6865409021234372</v>
      </c>
      <c r="H148" s="288">
        <v>-18.884086749990267</v>
      </c>
      <c r="I148" s="288">
        <v>1.1419065947629492</v>
      </c>
      <c r="J148" s="288">
        <v>3.4628011571772874</v>
      </c>
      <c r="K148" s="288">
        <v>-3.6845085041059975</v>
      </c>
      <c r="L148" s="288">
        <v>2.8774585818225145</v>
      </c>
      <c r="M148" s="288">
        <v>-4.4059238223553487</v>
      </c>
      <c r="N148" s="288">
        <v>-5.2213391571061312</v>
      </c>
    </row>
    <row r="149" spans="1:14" ht="15" customHeight="1">
      <c r="A149" s="284" t="s">
        <v>30</v>
      </c>
      <c r="B149" s="285" t="s">
        <v>88</v>
      </c>
      <c r="C149" s="286">
        <v>-4.602063180019301</v>
      </c>
      <c r="D149" s="286">
        <v>-3.6144754841344198</v>
      </c>
      <c r="E149" s="286">
        <v>14.997978393480052</v>
      </c>
      <c r="F149" s="286">
        <v>-6.6914181328424078</v>
      </c>
      <c r="G149" s="286">
        <v>-7.2058763143656046</v>
      </c>
      <c r="H149" s="286">
        <v>-21.422325578900217</v>
      </c>
      <c r="I149" s="286">
        <v>-4.602063180019301</v>
      </c>
      <c r="J149" s="286">
        <v>-3.6144754841344198</v>
      </c>
      <c r="K149" s="286">
        <v>14.997978393480052</v>
      </c>
      <c r="L149" s="286">
        <v>-6.6914181328424078</v>
      </c>
      <c r="M149" s="286">
        <v>-7.2058763143656046</v>
      </c>
      <c r="N149" s="286">
        <v>-21.422325578900217</v>
      </c>
    </row>
    <row r="150" spans="1:14" ht="15" customHeight="1">
      <c r="A150" s="287"/>
      <c r="B150" s="287" t="s">
        <v>89</v>
      </c>
      <c r="C150" s="288">
        <v>-2.6958795224515129</v>
      </c>
      <c r="D150" s="288">
        <v>2.9047953557294179</v>
      </c>
      <c r="E150" s="288">
        <v>47.679438619077153</v>
      </c>
      <c r="F150" s="288">
        <v>-6.0487246625032602</v>
      </c>
      <c r="G150" s="288">
        <v>3.0889885529809096</v>
      </c>
      <c r="H150" s="288">
        <v>2.3148955643202633</v>
      </c>
      <c r="I150" s="288">
        <v>-3.5054191456914845</v>
      </c>
      <c r="J150" s="288">
        <v>-1.6580501035815192</v>
      </c>
      <c r="K150" s="288">
        <v>23.075997139758382</v>
      </c>
      <c r="L150" s="288">
        <v>-6.0896527697803391</v>
      </c>
      <c r="M150" s="288">
        <v>-2.6375882821817065</v>
      </c>
      <c r="N150" s="288">
        <v>-11.525315579702495</v>
      </c>
    </row>
    <row r="151" spans="1:14" ht="15" customHeight="1">
      <c r="A151" s="287"/>
      <c r="B151" s="287" t="s">
        <v>90</v>
      </c>
      <c r="C151" s="288">
        <v>0.89109227415352632</v>
      </c>
      <c r="D151" s="288">
        <v>2.9004902667398467</v>
      </c>
      <c r="E151" s="288" t="s">
        <v>262</v>
      </c>
      <c r="F151" s="288">
        <v>-5.9949295475080913</v>
      </c>
      <c r="G151" s="288">
        <v>0.33517605889254165</v>
      </c>
      <c r="H151" s="288">
        <v>-2.2944802378887372</v>
      </c>
      <c r="I151" s="288">
        <v>-2.6466764096889355</v>
      </c>
      <c r="J151" s="288">
        <v>-0.63195005364469148</v>
      </c>
      <c r="K151" s="288">
        <v>37.696692491567937</v>
      </c>
      <c r="L151" s="288">
        <v>-6.0779194781427721</v>
      </c>
      <c r="M151" s="288">
        <v>-1.7215700809223744</v>
      </c>
      <c r="N151" s="288">
        <v>-8.869537997784315</v>
      </c>
    </row>
    <row r="152" spans="1:14" ht="15" customHeight="1">
      <c r="A152" s="287"/>
      <c r="B152" s="287" t="s">
        <v>91</v>
      </c>
      <c r="C152" s="288">
        <v>0.40726294680478586</v>
      </c>
      <c r="D152" s="288">
        <v>0.57729664561408123</v>
      </c>
      <c r="E152" s="288">
        <v>20.168327338113389</v>
      </c>
      <c r="F152" s="288">
        <v>-8.1121917426535273</v>
      </c>
      <c r="G152" s="288">
        <v>5.1329166276416673</v>
      </c>
      <c r="H152" s="288">
        <v>-17.180505974569705</v>
      </c>
      <c r="I152" s="288">
        <v>-1.6652770627949516</v>
      </c>
      <c r="J152" s="288">
        <v>-0.27074635565325833</v>
      </c>
      <c r="K152" s="288">
        <v>22.861369273326975</v>
      </c>
      <c r="L152" s="288">
        <v>-6.6680892160398271</v>
      </c>
      <c r="M152" s="288">
        <v>6.8094475487846279E-2</v>
      </c>
      <c r="N152" s="288">
        <v>-11.162489055019122</v>
      </c>
    </row>
    <row r="153" spans="1:14" ht="15" customHeight="1">
      <c r="A153" s="287"/>
      <c r="B153" s="287" t="s">
        <v>92</v>
      </c>
      <c r="C153" s="288">
        <v>-1.3737651269787958</v>
      </c>
      <c r="D153" s="288">
        <v>23.731339997151331</v>
      </c>
      <c r="E153" s="288">
        <v>22.868463958422023</v>
      </c>
      <c r="F153" s="288">
        <v>-14.915640047807807</v>
      </c>
      <c r="G153" s="288">
        <v>-12.377771653701926</v>
      </c>
      <c r="H153" s="288">
        <v>1.7799822314289413</v>
      </c>
      <c r="I153" s="288">
        <v>-1.6376075778383101</v>
      </c>
      <c r="J153" s="288">
        <v>1.1393148427199458</v>
      </c>
      <c r="K153" s="288">
        <v>22.861853121943433</v>
      </c>
      <c r="L153" s="288">
        <v>-7.5038358525979625</v>
      </c>
      <c r="M153" s="288">
        <v>-2.4680395527669505</v>
      </c>
      <c r="N153" s="288">
        <v>-9.1819135493977821</v>
      </c>
    </row>
    <row r="154" spans="1:14" ht="15" customHeight="1">
      <c r="A154" s="287"/>
      <c r="B154" s="287" t="s">
        <v>93</v>
      </c>
      <c r="C154" s="288">
        <v>2.5444719179482602</v>
      </c>
      <c r="D154" s="288">
        <v>27.756205294656617</v>
      </c>
      <c r="E154" s="288">
        <v>53.074229125956329</v>
      </c>
      <c r="F154" s="288">
        <v>-11.06093423587062</v>
      </c>
      <c r="G154" s="288">
        <v>-16.878113825035822</v>
      </c>
      <c r="H154" s="288">
        <v>-6.9746917088684386</v>
      </c>
      <c r="I154" s="288">
        <v>-1.2713980422725253</v>
      </c>
      <c r="J154" s="288">
        <v>2.6979996083203077</v>
      </c>
      <c r="K154" s="288">
        <v>25.741516770253643</v>
      </c>
      <c r="L154" s="288">
        <v>-7.7518846164991606</v>
      </c>
      <c r="M154" s="288">
        <v>-5.0986727367200197</v>
      </c>
      <c r="N154" s="288">
        <v>-8.7161563766887102</v>
      </c>
    </row>
    <row r="155" spans="1:14" ht="15" customHeight="1">
      <c r="A155" s="287"/>
      <c r="B155" s="287" t="s">
        <v>94</v>
      </c>
      <c r="C155" s="288">
        <v>-0.61726658701678461</v>
      </c>
      <c r="D155" s="288">
        <v>2.7455269588706548</v>
      </c>
      <c r="E155" s="288">
        <v>5.2109767799823503</v>
      </c>
      <c r="F155" s="288">
        <v>-6.2788119822805442</v>
      </c>
      <c r="G155" s="288">
        <v>-8.026806448197604</v>
      </c>
      <c r="H155" s="288">
        <v>10.512965371330205</v>
      </c>
      <c r="I155" s="288">
        <v>-1.1290461077614236</v>
      </c>
      <c r="J155" s="288">
        <v>2.7107435712660948</v>
      </c>
      <c r="K155" s="288">
        <v>22.55467034902955</v>
      </c>
      <c r="L155" s="288">
        <v>-7.4656206279167652</v>
      </c>
      <c r="M155" s="288">
        <v>-5.5490083903905152</v>
      </c>
      <c r="N155" s="288">
        <v>-6.3227254536256066</v>
      </c>
    </row>
    <row r="156" spans="1:14" ht="15" customHeight="1">
      <c r="A156" s="287"/>
      <c r="B156" s="287" t="s">
        <v>95</v>
      </c>
      <c r="C156" s="288">
        <v>-7.5652695568035293</v>
      </c>
      <c r="D156" s="288">
        <v>54.243472739651097</v>
      </c>
      <c r="E156" s="288">
        <v>-15.227228882613828</v>
      </c>
      <c r="F156" s="288">
        <v>33.160703845342717</v>
      </c>
      <c r="G156" s="288">
        <v>3.9041769366247472</v>
      </c>
      <c r="H156" s="288">
        <v>-9.0016392744613825</v>
      </c>
      <c r="I156" s="288">
        <v>-1.4970680579229407</v>
      </c>
      <c r="J156" s="288">
        <v>2.7979656945992732</v>
      </c>
      <c r="K156" s="288">
        <v>4.5153429935895977</v>
      </c>
      <c r="L156" s="288">
        <v>-7.0672831684123194</v>
      </c>
      <c r="M156" s="288">
        <v>-4.362757798041029</v>
      </c>
      <c r="N156" s="288">
        <v>-6.5409204722006438</v>
      </c>
    </row>
    <row r="157" spans="1:14" ht="15" customHeight="1">
      <c r="A157" s="287"/>
      <c r="B157" s="287" t="s">
        <v>96</v>
      </c>
      <c r="C157" s="288">
        <v>2.6290900740233347</v>
      </c>
      <c r="D157" s="288">
        <v>2.6633411915851455</v>
      </c>
      <c r="E157" s="288">
        <v>-1.3714214115961318</v>
      </c>
      <c r="F157" s="288">
        <v>4.8203403865287742</v>
      </c>
      <c r="G157" s="288">
        <v>-4.0306233725999805</v>
      </c>
      <c r="H157" s="288">
        <v>5.7161012007297956</v>
      </c>
      <c r="I157" s="288">
        <v>-0.93933233263599791</v>
      </c>
      <c r="J157" s="288">
        <v>2.7782480814739259</v>
      </c>
      <c r="K157" s="288">
        <v>4.1456840993919126</v>
      </c>
      <c r="L157" s="288">
        <v>-5.3627957398224666</v>
      </c>
      <c r="M157" s="288">
        <v>-4.3220772038309283</v>
      </c>
      <c r="N157" s="288">
        <v>-4.8349548799862676</v>
      </c>
    </row>
    <row r="158" spans="1:14" ht="15" customHeight="1">
      <c r="A158" s="287"/>
      <c r="B158" s="287" t="s">
        <v>97</v>
      </c>
      <c r="C158" s="288">
        <v>8.2837175718922111</v>
      </c>
      <c r="D158" s="288">
        <v>-1.6996445714574286</v>
      </c>
      <c r="E158" s="288">
        <v>37.849119285071652</v>
      </c>
      <c r="F158" s="288">
        <v>2.758746924904147</v>
      </c>
      <c r="G158" s="288">
        <v>-6.8277380422461063</v>
      </c>
      <c r="H158" s="288">
        <v>3.2515370039151352</v>
      </c>
      <c r="I158" s="288">
        <v>0.51754547945665819</v>
      </c>
      <c r="J158" s="288">
        <v>2.1645861834977005</v>
      </c>
      <c r="K158" s="288">
        <v>15.341930619396383</v>
      </c>
      <c r="L158" s="288">
        <v>-4.0698905594617054</v>
      </c>
      <c r="M158" s="288">
        <v>-4.5607134949697716</v>
      </c>
      <c r="N158" s="288">
        <v>-4.1114159070881744</v>
      </c>
    </row>
    <row r="159" spans="1:14" ht="15" customHeight="1">
      <c r="A159" s="287"/>
      <c r="B159" s="287" t="s">
        <v>98</v>
      </c>
      <c r="C159" s="288">
        <v>4.2452927467972543</v>
      </c>
      <c r="D159" s="288">
        <v>3.8970798634891717E-2</v>
      </c>
      <c r="E159" s="288">
        <v>-82.229584510031444</v>
      </c>
      <c r="F159" s="288">
        <v>20.64162139378243</v>
      </c>
      <c r="G159" s="288">
        <v>5.5611529011075795</v>
      </c>
      <c r="H159" s="288">
        <v>-7.5010339319388217</v>
      </c>
      <c r="I159" s="288">
        <v>0.7774300204041521</v>
      </c>
      <c r="J159" s="288">
        <v>1.9757717445755583</v>
      </c>
      <c r="K159" s="288">
        <v>14.208597891029488</v>
      </c>
      <c r="L159" s="288">
        <v>-2.7049950685917161</v>
      </c>
      <c r="M159" s="288">
        <v>-3.7081448268471719</v>
      </c>
      <c r="N159" s="288">
        <v>-4.3900075825816103</v>
      </c>
    </row>
    <row r="160" spans="1:14" ht="15" customHeight="1">
      <c r="A160" s="287"/>
      <c r="B160" s="287" t="s">
        <v>99</v>
      </c>
      <c r="C160" s="288">
        <v>21.784907427902436</v>
      </c>
      <c r="D160" s="288">
        <v>-2.8732160716650306</v>
      </c>
      <c r="E160" s="288" t="s">
        <v>262</v>
      </c>
      <c r="F160" s="288">
        <v>75.431021745240855</v>
      </c>
      <c r="G160" s="288">
        <v>-2.1442827080217373</v>
      </c>
      <c r="H160" s="288">
        <v>-14.531322156326915</v>
      </c>
      <c r="I160" s="288">
        <v>1.8961891382833707</v>
      </c>
      <c r="J160" s="288">
        <v>1.6423567160129031</v>
      </c>
      <c r="K160" s="288">
        <v>22.437591261482972</v>
      </c>
      <c r="L160" s="288">
        <v>-1.1693175068943089</v>
      </c>
      <c r="M160" s="288">
        <v>-3.583683194051738</v>
      </c>
      <c r="N160" s="288">
        <v>-5.2630978947038418</v>
      </c>
    </row>
    <row r="161" spans="1:14" ht="15" customHeight="1">
      <c r="A161" s="284" t="s">
        <v>31</v>
      </c>
      <c r="B161" s="285" t="s">
        <v>88</v>
      </c>
      <c r="C161" s="286">
        <v>-4.2910472509963045</v>
      </c>
      <c r="D161" s="286">
        <v>-5.5457276683937007</v>
      </c>
      <c r="E161" s="286">
        <v>-1.8369404111756624</v>
      </c>
      <c r="F161" s="286">
        <v>4.3048729892179702</v>
      </c>
      <c r="G161" s="286">
        <v>0.92528956459721723</v>
      </c>
      <c r="H161" s="286">
        <v>-11.039332314965737</v>
      </c>
      <c r="I161" s="286">
        <v>-4.2910472509963045</v>
      </c>
      <c r="J161" s="286">
        <v>-5.5457276683937007</v>
      </c>
      <c r="K161" s="286">
        <v>-1.8369404111756624</v>
      </c>
      <c r="L161" s="286">
        <v>4.3048729892179702</v>
      </c>
      <c r="M161" s="286">
        <v>0.92528956459721723</v>
      </c>
      <c r="N161" s="286">
        <v>-11.039332314965737</v>
      </c>
    </row>
    <row r="162" spans="1:14" ht="15" customHeight="1">
      <c r="A162" s="287"/>
      <c r="B162" s="287" t="s">
        <v>89</v>
      </c>
      <c r="C162" s="288">
        <v>2.5341032382604909</v>
      </c>
      <c r="D162" s="288">
        <v>1.0852297668809372</v>
      </c>
      <c r="E162" s="288">
        <v>-27.332137848602976</v>
      </c>
      <c r="F162" s="288">
        <v>4.4939503630333091</v>
      </c>
      <c r="G162" s="288">
        <v>-5.1591920451307862</v>
      </c>
      <c r="H162" s="288">
        <v>3.0784064288359101</v>
      </c>
      <c r="I162" s="288">
        <v>-0.33153694501501041</v>
      </c>
      <c r="J162" s="288">
        <v>-3.4634564193081916</v>
      </c>
      <c r="K162" s="288">
        <v>-9.3984490585420222</v>
      </c>
      <c r="L162" s="288">
        <v>4.4819866640382298</v>
      </c>
      <c r="M162" s="288">
        <v>-1.9334682614053231</v>
      </c>
      <c r="N162" s="288">
        <v>-4.2322795499921781</v>
      </c>
    </row>
    <row r="163" spans="1:14" ht="15" customHeight="1">
      <c r="A163" s="287"/>
      <c r="B163" s="287" t="s">
        <v>90</v>
      </c>
      <c r="C163" s="288">
        <v>6.8083940723369487</v>
      </c>
      <c r="D163" s="288">
        <v>0.4524635078273509</v>
      </c>
      <c r="E163" s="288" t="s">
        <v>262</v>
      </c>
      <c r="F163" s="288">
        <v>30.311469098657991</v>
      </c>
      <c r="G163" s="288">
        <v>-4.3126371304341387</v>
      </c>
      <c r="H163" s="288">
        <v>-12.023174530208523</v>
      </c>
      <c r="I163" s="288">
        <v>1.1137395107716885</v>
      </c>
      <c r="J163" s="288">
        <v>-2.5506716536156424</v>
      </c>
      <c r="K163" s="288">
        <v>6.2825894150184896</v>
      </c>
      <c r="L163" s="288">
        <v>7.684291572013831</v>
      </c>
      <c r="M163" s="288">
        <v>-2.6819201632160885</v>
      </c>
      <c r="N163" s="288">
        <v>-6.6354997955552681</v>
      </c>
    </row>
    <row r="164" spans="1:14" ht="15" customHeight="1">
      <c r="A164" s="287"/>
      <c r="B164" s="287" t="s">
        <v>91</v>
      </c>
      <c r="C164" s="288">
        <v>2.4614381827399097</v>
      </c>
      <c r="D164" s="288">
        <v>-3.2242169338072433</v>
      </c>
      <c r="E164" s="288">
        <v>13.534735311050767</v>
      </c>
      <c r="F164" s="288">
        <v>7.4162228412368716</v>
      </c>
      <c r="G164" s="288">
        <v>-4.9470022674947991</v>
      </c>
      <c r="H164" s="288">
        <v>-11.500335369082501</v>
      </c>
      <c r="I164" s="288">
        <v>1.5559574804742773</v>
      </c>
      <c r="J164" s="288">
        <v>-2.7535713812169975</v>
      </c>
      <c r="K164" s="288">
        <v>12.28598274380572</v>
      </c>
      <c r="L164" s="288">
        <v>7.6077245506974878</v>
      </c>
      <c r="M164" s="288">
        <v>-3.3032521761523972</v>
      </c>
      <c r="N164" s="288">
        <v>-7.8867597139664927</v>
      </c>
    </row>
    <row r="165" spans="1:14" ht="15" customHeight="1">
      <c r="A165" s="287"/>
      <c r="B165" s="287" t="s">
        <v>92</v>
      </c>
      <c r="C165" s="288">
        <v>22.227130953810935</v>
      </c>
      <c r="D165" s="288">
        <v>7.6195374811802417</v>
      </c>
      <c r="E165" s="288">
        <v>-20.124215722686113</v>
      </c>
      <c r="F165" s="288">
        <v>36.007915277572017</v>
      </c>
      <c r="G165" s="288">
        <v>13.141784696140741</v>
      </c>
      <c r="H165" s="288">
        <v>84.160752353297255</v>
      </c>
      <c r="I165" s="288">
        <v>3.5232694576201746</v>
      </c>
      <c r="J165" s="288">
        <v>-2.0080542751779142</v>
      </c>
      <c r="K165" s="288">
        <v>10.075528966148244</v>
      </c>
      <c r="L165" s="288">
        <v>10.254986435202875</v>
      </c>
      <c r="M165" s="288">
        <v>-0.29267844929608</v>
      </c>
      <c r="N165" s="288">
        <v>7.899391981223447</v>
      </c>
    </row>
    <row r="166" spans="1:14" ht="15" customHeight="1">
      <c r="A166" s="287"/>
      <c r="B166" s="287" t="s">
        <v>93</v>
      </c>
      <c r="C166" s="288">
        <v>-0.59419332118292234</v>
      </c>
      <c r="D166" s="288">
        <v>-15.521994775072793</v>
      </c>
      <c r="E166" s="288" t="s">
        <v>262</v>
      </c>
      <c r="F166" s="288">
        <v>44.031898136947362</v>
      </c>
      <c r="G166" s="288">
        <v>36.680159960143023</v>
      </c>
      <c r="H166" s="288">
        <v>-35.984029371019183</v>
      </c>
      <c r="I166" s="288">
        <v>3.1487828318351689</v>
      </c>
      <c r="J166" s="288">
        <v>-2.9925254288533805</v>
      </c>
      <c r="K166" s="288">
        <v>-4.0913904173632991</v>
      </c>
      <c r="L166" s="288">
        <v>12.525876913652272</v>
      </c>
      <c r="M166" s="288">
        <v>5.6191247850008335</v>
      </c>
      <c r="N166" s="288">
        <v>-1.5373318704730952</v>
      </c>
    </row>
    <row r="167" spans="1:14" ht="15" customHeight="1">
      <c r="A167" s="287"/>
      <c r="B167" s="287" t="s">
        <v>94</v>
      </c>
      <c r="C167" s="288">
        <v>3.7865161837601224</v>
      </c>
      <c r="D167" s="288">
        <v>0.97877989177189273</v>
      </c>
      <c r="E167" s="288">
        <v>11.14664056486887</v>
      </c>
      <c r="F167" s="288">
        <v>7.9912808516799023</v>
      </c>
      <c r="G167" s="288">
        <v>2.7054412890338164</v>
      </c>
      <c r="H167" s="288">
        <v>10.730509009565372</v>
      </c>
      <c r="I167" s="288">
        <v>3.2882845906554805</v>
      </c>
      <c r="J167" s="288">
        <v>-1.9273007404611675</v>
      </c>
      <c r="K167" s="288">
        <v>-2.06080715913316</v>
      </c>
      <c r="L167" s="288">
        <v>11.633361280853837</v>
      </c>
      <c r="M167" s="288">
        <v>5.1827671832825359</v>
      </c>
      <c r="N167" s="288">
        <v>0.26406153492725776</v>
      </c>
    </row>
    <row r="168" spans="1:14" ht="15" customHeight="1">
      <c r="A168" s="287"/>
      <c r="B168" s="287" t="s">
        <v>95</v>
      </c>
      <c r="C168" s="289">
        <v>4.5824616120094577</v>
      </c>
      <c r="D168" s="289" t="s">
        <v>262</v>
      </c>
      <c r="E168" s="289">
        <v>-5.0208486730406694</v>
      </c>
      <c r="F168" s="289">
        <v>55.684168431854367</v>
      </c>
      <c r="G168" s="289">
        <v>3.7170237126277437</v>
      </c>
      <c r="H168" s="289">
        <v>17.827460154993421</v>
      </c>
      <c r="I168" s="289">
        <v>3.3577266057941868</v>
      </c>
      <c r="J168" s="289">
        <v>-1.643720856358355</v>
      </c>
      <c r="K168" s="289">
        <v>-3.2071398721141842</v>
      </c>
      <c r="L168" s="289">
        <v>12.383933568732219</v>
      </c>
      <c r="M168" s="289">
        <v>4.982936487494749</v>
      </c>
      <c r="N168" s="289">
        <v>1.6569191285983997</v>
      </c>
    </row>
    <row r="169" spans="1:14" ht="15" customHeight="1">
      <c r="A169" s="287"/>
      <c r="B169" s="287" t="s">
        <v>96</v>
      </c>
      <c r="C169" s="289">
        <v>3.4729659423048806</v>
      </c>
      <c r="D169" s="289">
        <v>0.57201814029596354</v>
      </c>
      <c r="E169" s="289">
        <v>-51.255141134780061</v>
      </c>
      <c r="F169" s="289">
        <v>11.093709570820055</v>
      </c>
      <c r="G169" s="289">
        <v>-4.9949250999520833</v>
      </c>
      <c r="H169" s="289">
        <v>37.712385065742836</v>
      </c>
      <c r="I169" s="289">
        <v>3.3738647121223098</v>
      </c>
      <c r="J169" s="289">
        <v>-1.3195581771598408</v>
      </c>
      <c r="K169" s="289">
        <v>-6.0644759725888342</v>
      </c>
      <c r="L169" s="289">
        <v>12.1790309364197</v>
      </c>
      <c r="M169" s="289">
        <v>3.7571020816412393</v>
      </c>
      <c r="N169" s="289">
        <v>7.2316012219287629</v>
      </c>
    </row>
    <row r="170" spans="1:14" ht="15" customHeight="1">
      <c r="A170" s="287"/>
      <c r="B170" s="287" t="s">
        <v>97</v>
      </c>
      <c r="C170" s="288">
        <v>3.5232578073703302</v>
      </c>
      <c r="D170" s="288">
        <v>0.4254587517055845</v>
      </c>
      <c r="E170" s="288">
        <v>7.6699446808770517</v>
      </c>
      <c r="F170" s="288">
        <v>0.86709464485532128</v>
      </c>
      <c r="G170" s="288">
        <v>15.029508086861643</v>
      </c>
      <c r="H170" s="288">
        <v>2.224902951274276</v>
      </c>
      <c r="I170" s="288">
        <v>3.3992861656335838</v>
      </c>
      <c r="J170" s="288">
        <v>-1.0894617722437006</v>
      </c>
      <c r="K170" s="288">
        <v>-0.61160265577684103</v>
      </c>
      <c r="L170" s="288">
        <v>10.250045469128905</v>
      </c>
      <c r="M170" s="288">
        <v>4.8051720651384144</v>
      </c>
      <c r="N170" s="288">
        <v>6.7492284196688317</v>
      </c>
    </row>
    <row r="171" spans="1:14" ht="15" customHeight="1">
      <c r="A171" s="287"/>
      <c r="B171" s="287" t="s">
        <v>98</v>
      </c>
      <c r="C171" s="288">
        <v>7.2795601748282532</v>
      </c>
      <c r="D171" s="288">
        <v>4.9928805782849572</v>
      </c>
      <c r="E171" s="288" t="s">
        <v>262</v>
      </c>
      <c r="F171" s="288">
        <v>3.796455302513964</v>
      </c>
      <c r="G171" s="288">
        <v>7.6372296809205338</v>
      </c>
      <c r="H171" s="288" t="s">
        <v>262</v>
      </c>
      <c r="I171" s="288">
        <v>3.6791131261176342</v>
      </c>
      <c r="J171" s="288">
        <v>-0.55944014252025964</v>
      </c>
      <c r="K171" s="288">
        <v>-2.3000988583677375</v>
      </c>
      <c r="L171" s="288">
        <v>9.8080599059169131</v>
      </c>
      <c r="M171" s="288">
        <v>5.0666803323595122</v>
      </c>
      <c r="N171" s="288">
        <v>15.47311693807808</v>
      </c>
    </row>
    <row r="172" spans="1:14" ht="15" customHeight="1">
      <c r="A172" s="287"/>
      <c r="B172" s="287" t="s">
        <v>99</v>
      </c>
      <c r="C172" s="288">
        <v>2.1863859724796391</v>
      </c>
      <c r="D172" s="288">
        <v>4.7440571794135957</v>
      </c>
      <c r="E172" s="288">
        <v>-16.384686116090467</v>
      </c>
      <c r="F172" s="288">
        <v>2.2112497511043454</v>
      </c>
      <c r="G172" s="288">
        <v>0.90830993521654135</v>
      </c>
      <c r="H172" s="288">
        <v>57.306943731662685</v>
      </c>
      <c r="I172" s="288">
        <v>3.584101085865</v>
      </c>
      <c r="J172" s="288">
        <v>-0.21097389796400443</v>
      </c>
      <c r="K172" s="288">
        <v>-3.8061262417884238</v>
      </c>
      <c r="L172" s="288">
        <v>9.5430301465049006</v>
      </c>
      <c r="M172" s="288">
        <v>4.7307912619839616</v>
      </c>
      <c r="N172" s="288">
        <v>18.722345898137842</v>
      </c>
    </row>
    <row r="173" spans="1:14" ht="15" customHeight="1">
      <c r="A173" s="284" t="s">
        <v>32</v>
      </c>
      <c r="B173" s="285" t="s">
        <v>88</v>
      </c>
      <c r="C173" s="286">
        <v>4.5326121597302356</v>
      </c>
      <c r="D173" s="286">
        <v>6.9042130017395413</v>
      </c>
      <c r="E173" s="286">
        <v>-37.906662013034115</v>
      </c>
      <c r="F173" s="286">
        <v>-1.9433815986086769</v>
      </c>
      <c r="G173" s="286">
        <v>9.7290924317860981</v>
      </c>
      <c r="H173" s="286">
        <v>-6.3651973715765742</v>
      </c>
      <c r="I173" s="286">
        <v>4.5326121597302356</v>
      </c>
      <c r="J173" s="286">
        <v>6.9042130017395413</v>
      </c>
      <c r="K173" s="286">
        <v>-37.906662013034115</v>
      </c>
      <c r="L173" s="286">
        <v>-1.9433815986086769</v>
      </c>
      <c r="M173" s="286">
        <v>9.7290924317860981</v>
      </c>
      <c r="N173" s="286">
        <v>-6.3651973715765742</v>
      </c>
    </row>
    <row r="174" spans="1:14" ht="15" customHeight="1">
      <c r="A174" s="287"/>
      <c r="B174" s="287" t="s">
        <v>89</v>
      </c>
      <c r="C174" s="288">
        <v>7.5453555647121888</v>
      </c>
      <c r="D174" s="288">
        <v>5.606453083705718</v>
      </c>
      <c r="E174" s="288" t="s">
        <v>262</v>
      </c>
      <c r="F174" s="288">
        <v>6.0568111095262935</v>
      </c>
      <c r="G174" s="288">
        <v>15.851814559012853</v>
      </c>
      <c r="H174" s="288">
        <v>68.227003072895926</v>
      </c>
      <c r="I174" s="288">
        <v>6.3306629971971091</v>
      </c>
      <c r="J174" s="288">
        <v>6.4774847695839801</v>
      </c>
      <c r="K174" s="288">
        <v>-54.243008586230111</v>
      </c>
      <c r="L174" s="288">
        <v>5.5514642847659985</v>
      </c>
      <c r="M174" s="288">
        <v>12.51119260073297</v>
      </c>
      <c r="N174" s="288">
        <v>32.34594083766396</v>
      </c>
    </row>
    <row r="175" spans="1:14" ht="15" customHeight="1">
      <c r="A175" s="287"/>
      <c r="B175" s="287" t="s">
        <v>90</v>
      </c>
      <c r="C175" s="288">
        <v>-2.1418974749441708</v>
      </c>
      <c r="D175" s="288">
        <v>1.9858015636913393</v>
      </c>
      <c r="E175" s="288" t="s">
        <v>262</v>
      </c>
      <c r="F175" s="288">
        <v>-7.6604231753182113</v>
      </c>
      <c r="G175" s="288">
        <v>7.745029902615717</v>
      </c>
      <c r="H175" s="288">
        <v>1.0231705449402269</v>
      </c>
      <c r="I175" s="288">
        <v>4.5190442667205444</v>
      </c>
      <c r="J175" s="288">
        <v>5.3982263623610143</v>
      </c>
      <c r="K175" s="288">
        <v>-70.735606280355441</v>
      </c>
      <c r="L175" s="288">
        <v>3.5692886731498037</v>
      </c>
      <c r="M175" s="288">
        <v>11.036951396357669</v>
      </c>
      <c r="N175" s="288">
        <v>23.241507934481692</v>
      </c>
    </row>
    <row r="176" spans="1:14" ht="15" customHeight="1">
      <c r="A176" s="287"/>
      <c r="B176" s="287" t="s">
        <v>91</v>
      </c>
      <c r="C176" s="288">
        <v>5.053364173293228</v>
      </c>
      <c r="D176" s="288">
        <v>3.2085096225810359</v>
      </c>
      <c r="E176" s="288">
        <v>13.110937360228361</v>
      </c>
      <c r="F176" s="288">
        <v>3.4241952642435507</v>
      </c>
      <c r="G176" s="288">
        <v>1.2912825754561292</v>
      </c>
      <c r="H176" s="288">
        <v>3.6935614476670668</v>
      </c>
      <c r="I176" s="288">
        <v>4.6959329229864775</v>
      </c>
      <c r="J176" s="288">
        <v>4.7417854528293883</v>
      </c>
      <c r="K176" s="288">
        <v>-0.55475402230030357</v>
      </c>
      <c r="L176" s="288">
        <v>3.5279201794976718</v>
      </c>
      <c r="M176" s="288">
        <v>8.4090722975963992</v>
      </c>
      <c r="N176" s="288">
        <v>18.410919096935917</v>
      </c>
    </row>
    <row r="177" spans="1:14" ht="15" customHeight="1">
      <c r="A177" s="287"/>
      <c r="B177" s="287" t="s">
        <v>92</v>
      </c>
      <c r="C177" s="288">
        <v>1.5441415272901189</v>
      </c>
      <c r="D177" s="288">
        <v>-2.1714977889150577</v>
      </c>
      <c r="E177" s="288">
        <v>-18.947562794176317</v>
      </c>
      <c r="F177" s="288">
        <v>9.4447489687365742</v>
      </c>
      <c r="G177" s="288">
        <v>-2.392859412075806</v>
      </c>
      <c r="H177" s="288">
        <v>-2.0476555689467091</v>
      </c>
      <c r="I177" s="288">
        <v>4.34177643015295</v>
      </c>
      <c r="J177" s="288">
        <v>4.1961108162167076</v>
      </c>
      <c r="K177" s="288">
        <v>-1.4650280621468459</v>
      </c>
      <c r="L177" s="288">
        <v>4.2082673709569605</v>
      </c>
      <c r="M177" s="288">
        <v>6.1651293120992205</v>
      </c>
      <c r="N177" s="288">
        <v>12.422424338129664</v>
      </c>
    </row>
    <row r="178" spans="1:14" ht="15" customHeight="1">
      <c r="A178" s="287"/>
      <c r="B178" s="287" t="s">
        <v>93</v>
      </c>
      <c r="C178" s="288">
        <v>9.6618208779884078</v>
      </c>
      <c r="D178" s="288">
        <v>-4.0302680505989503</v>
      </c>
      <c r="E178" s="288" t="s">
        <v>262</v>
      </c>
      <c r="F178" s="288">
        <v>11.57231825361642</v>
      </c>
      <c r="G178" s="288">
        <v>-18.786383322425468</v>
      </c>
      <c r="H178" s="288">
        <v>60.722527731784524</v>
      </c>
      <c r="I178" s="288">
        <v>4.8080808558277273</v>
      </c>
      <c r="J178" s="288">
        <v>3.6742338228642581</v>
      </c>
      <c r="K178" s="288">
        <v>9.5837566228144055</v>
      </c>
      <c r="L178" s="288">
        <v>4.8419901375602361</v>
      </c>
      <c r="M178" s="288">
        <v>1.0021905835303122</v>
      </c>
      <c r="N178" s="288">
        <v>19.175250374598601</v>
      </c>
    </row>
    <row r="179" spans="1:14" ht="15" customHeight="1">
      <c r="A179" s="287"/>
      <c r="B179" s="287" t="s">
        <v>94</v>
      </c>
      <c r="C179" s="288">
        <v>5.8914393381963626</v>
      </c>
      <c r="D179" s="288">
        <v>6.0275557012601206</v>
      </c>
      <c r="E179" s="288">
        <v>-41.475278094324644</v>
      </c>
      <c r="F179" s="288">
        <v>11.365214169191127</v>
      </c>
      <c r="G179" s="288">
        <v>11.870617770766346</v>
      </c>
      <c r="H179" s="288">
        <v>-2.2762623007708895</v>
      </c>
      <c r="I179" s="288">
        <v>5.0462045495119074</v>
      </c>
      <c r="J179" s="288">
        <v>4.3241708333612845</v>
      </c>
      <c r="K179" s="288">
        <v>1.8622087365562554</v>
      </c>
      <c r="L179" s="288">
        <v>6.0840262119810715</v>
      </c>
      <c r="M179" s="288">
        <v>2.5915266288462324</v>
      </c>
      <c r="N179" s="288">
        <v>15.696523281255534</v>
      </c>
    </row>
    <row r="180" spans="1:14" ht="15" customHeight="1">
      <c r="A180" s="287"/>
      <c r="B180" s="287" t="s">
        <v>95</v>
      </c>
      <c r="C180" s="288">
        <v>4.8594008871775713</v>
      </c>
      <c r="D180" s="288">
        <v>4.7662072840277538</v>
      </c>
      <c r="E180" s="288">
        <v>3.8135692978761204</v>
      </c>
      <c r="F180" s="288">
        <v>12.365775922197866</v>
      </c>
      <c r="G180" s="288">
        <v>-4.6406235099750042</v>
      </c>
      <c r="H180" s="288">
        <v>-7.0425157087954018</v>
      </c>
      <c r="I180" s="288">
        <v>5.0232903145054149</v>
      </c>
      <c r="J180" s="288">
        <v>4.3610318850069234</v>
      </c>
      <c r="K180" s="288">
        <v>2.6308550125692012</v>
      </c>
      <c r="L180" s="288">
        <v>6.7003176173205672</v>
      </c>
      <c r="M180" s="288">
        <v>1.6174278584200632</v>
      </c>
      <c r="N180" s="288">
        <v>12.757153213679603</v>
      </c>
    </row>
    <row r="181" spans="1:14" ht="15" customHeight="1">
      <c r="A181" s="287"/>
      <c r="B181" s="287" t="s">
        <v>96</v>
      </c>
      <c r="C181" s="288">
        <v>-1.4889662789098963</v>
      </c>
      <c r="D181" s="288">
        <v>-4.6508391250974119</v>
      </c>
      <c r="E181" s="288">
        <v>36.085347149168648</v>
      </c>
      <c r="F181" s="288">
        <v>0.40207784043707079</v>
      </c>
      <c r="G181" s="288">
        <v>-0.40880407321835815</v>
      </c>
      <c r="H181" s="288">
        <v>1.1395272181415674</v>
      </c>
      <c r="I181" s="288">
        <v>4.5468082478018603</v>
      </c>
      <c r="J181" s="288">
        <v>3.6965033639332656</v>
      </c>
      <c r="K181" s="288">
        <v>2.9201986557363462</v>
      </c>
      <c r="L181" s="288">
        <v>6.313007565899059</v>
      </c>
      <c r="M181" s="288">
        <v>1.3894921023421642</v>
      </c>
      <c r="N181" s="288">
        <v>10.84965807362031</v>
      </c>
    </row>
    <row r="182" spans="1:14" ht="15" customHeight="1">
      <c r="A182" s="287"/>
      <c r="B182" s="287" t="s">
        <v>97</v>
      </c>
      <c r="C182" s="288">
        <v>5.8486561515243558</v>
      </c>
      <c r="D182" s="288">
        <v>4.0017326300349136</v>
      </c>
      <c r="E182" s="288">
        <v>5.969738348182112</v>
      </c>
      <c r="F182" s="288">
        <v>7.3384239021655047</v>
      </c>
      <c r="G182" s="288">
        <v>8.2635067014901455</v>
      </c>
      <c r="H182" s="288">
        <v>3.3972059622448723</v>
      </c>
      <c r="I182" s="288">
        <v>4.7686026040904226</v>
      </c>
      <c r="J182" s="288">
        <v>3.7373670576379836</v>
      </c>
      <c r="K182" s="288">
        <v>4.2318190359765913</v>
      </c>
      <c r="L182" s="288">
        <v>6.4729865636647412</v>
      </c>
      <c r="M182" s="288">
        <v>2.0909646151021017</v>
      </c>
      <c r="N182" s="288">
        <v>10.162079159477422</v>
      </c>
    </row>
    <row r="183" spans="1:14" ht="15" customHeight="1">
      <c r="A183" s="287"/>
      <c r="B183" s="287" t="s">
        <v>98</v>
      </c>
      <c r="C183" s="288">
        <v>-2.4833182048733242</v>
      </c>
      <c r="D183" s="288">
        <v>2.7351149798218506</v>
      </c>
      <c r="E183" s="288" t="s">
        <v>262</v>
      </c>
      <c r="F183" s="288">
        <v>3.8968287527784771</v>
      </c>
      <c r="G183" s="288">
        <v>-1.4316835714469391</v>
      </c>
      <c r="H183" s="288">
        <v>-3.9603303717866964</v>
      </c>
      <c r="I183" s="288">
        <v>4.2274672308760026</v>
      </c>
      <c r="J183" s="288">
        <v>3.6451532430714972</v>
      </c>
      <c r="K183" s="288">
        <v>1.196086485873771</v>
      </c>
      <c r="L183" s="288">
        <v>6.3062129000135094</v>
      </c>
      <c r="M183" s="288">
        <v>1.7577299975303673</v>
      </c>
      <c r="N183" s="288">
        <v>8.0570334155718832</v>
      </c>
    </row>
    <row r="184" spans="1:14" ht="15" customHeight="1">
      <c r="A184" s="287"/>
      <c r="B184" s="287" t="s">
        <v>99</v>
      </c>
      <c r="C184" s="288">
        <v>-5.3133120215299598</v>
      </c>
      <c r="D184" s="288">
        <v>-0.77145038730162419</v>
      </c>
      <c r="E184" s="288">
        <v>-31.962037787380332</v>
      </c>
      <c r="F184" s="288">
        <v>10.861881114790565</v>
      </c>
      <c r="G184" s="288">
        <v>1.4605586411119873</v>
      </c>
      <c r="H184" s="288">
        <v>-22.934266347235798</v>
      </c>
      <c r="I184" s="288">
        <v>3.6283911267556785</v>
      </c>
      <c r="J184" s="288">
        <v>3.3405507917769648</v>
      </c>
      <c r="K184" s="288">
        <v>-1.8858033381202688</v>
      </c>
      <c r="L184" s="288">
        <v>6.4545088889592952</v>
      </c>
      <c r="M184" s="288">
        <v>1.7346023107937016</v>
      </c>
      <c r="N184" s="288">
        <v>4.8676411544098057</v>
      </c>
    </row>
    <row r="185" spans="1:14" ht="15" customHeight="1">
      <c r="A185" s="284" t="s">
        <v>33</v>
      </c>
      <c r="B185" s="285" t="s">
        <v>88</v>
      </c>
      <c r="C185" s="286">
        <v>2.9398466822611815</v>
      </c>
      <c r="D185" s="286">
        <v>3.0395816818045223</v>
      </c>
      <c r="E185" s="286">
        <v>-32.002101475815174</v>
      </c>
      <c r="F185" s="286">
        <v>18.980024731167099</v>
      </c>
      <c r="G185" s="286">
        <v>-4.5760394131177948</v>
      </c>
      <c r="H185" s="286">
        <v>22.651255614201883</v>
      </c>
      <c r="I185" s="286">
        <v>2.9398466822611815</v>
      </c>
      <c r="J185" s="286">
        <v>3.0395816818045223</v>
      </c>
      <c r="K185" s="286">
        <v>-32.002101475815174</v>
      </c>
      <c r="L185" s="286">
        <v>18.980024731167099</v>
      </c>
      <c r="M185" s="286">
        <v>-4.5760394131177948</v>
      </c>
      <c r="N185" s="286">
        <v>22.651255614201883</v>
      </c>
    </row>
    <row r="186" spans="1:14" ht="15" customHeight="1">
      <c r="A186" s="287"/>
      <c r="B186" s="287" t="s">
        <v>89</v>
      </c>
      <c r="C186" s="288">
        <v>1.4583266096768235</v>
      </c>
      <c r="D186" s="288">
        <v>-3.4711888835448996</v>
      </c>
      <c r="E186" s="288">
        <v>-52.097032234113129</v>
      </c>
      <c r="F186" s="288">
        <v>3.729465183491</v>
      </c>
      <c r="G186" s="288">
        <v>-0.73619396187490904</v>
      </c>
      <c r="H186" s="288">
        <v>-0.55306495447679227</v>
      </c>
      <c r="I186" s="288">
        <v>2.045552305149418</v>
      </c>
      <c r="J186" s="288">
        <v>0.91622924800656169</v>
      </c>
      <c r="K186" s="288">
        <v>-34.87963685503869</v>
      </c>
      <c r="L186" s="288">
        <v>4.6243919975324674</v>
      </c>
      <c r="M186" s="288">
        <v>-2.7794490330498842</v>
      </c>
      <c r="N186" s="288">
        <v>7.344030782769627</v>
      </c>
    </row>
    <row r="187" spans="1:14" ht="15" customHeight="1">
      <c r="A187" s="287"/>
      <c r="B187" s="287" t="s">
        <v>90</v>
      </c>
      <c r="C187" s="288">
        <v>-0.68363543449751396</v>
      </c>
      <c r="D187" s="288">
        <v>-4.2905611351939683</v>
      </c>
      <c r="E187" s="288" t="s">
        <v>262</v>
      </c>
      <c r="F187" s="288">
        <v>-1.6212864022743099</v>
      </c>
      <c r="G187" s="288">
        <v>-3.1138587790545107</v>
      </c>
      <c r="H187" s="288">
        <v>-15.065933943440605</v>
      </c>
      <c r="I187" s="288">
        <v>1.499182239572229</v>
      </c>
      <c r="J187" s="288">
        <v>-0.29434889129049291</v>
      </c>
      <c r="K187" s="288">
        <v>82.686796269310733</v>
      </c>
      <c r="L187" s="288">
        <v>3.7889548790674286</v>
      </c>
      <c r="M187" s="288">
        <v>-2.8798200500470919</v>
      </c>
      <c r="N187" s="288">
        <v>2.0045638912909993</v>
      </c>
    </row>
    <row r="188" spans="1:14" ht="15" customHeight="1">
      <c r="A188" s="287"/>
      <c r="B188" s="287" t="s">
        <v>91</v>
      </c>
      <c r="C188" s="288">
        <v>10.211289286281053</v>
      </c>
      <c r="D188" s="288">
        <v>1.4545971572163117</v>
      </c>
      <c r="E188" s="288">
        <v>23.73712346991368</v>
      </c>
      <c r="F188" s="288">
        <v>12.230614563020325</v>
      </c>
      <c r="G188" s="288">
        <v>14.627860217256316</v>
      </c>
      <c r="H188" s="288">
        <v>-5.3207797578403753</v>
      </c>
      <c r="I188" s="288">
        <v>4.3932052824015884</v>
      </c>
      <c r="J188" s="288">
        <v>0.22228113866979998</v>
      </c>
      <c r="K188" s="288">
        <v>26.564498040966466</v>
      </c>
      <c r="L188" s="288">
        <v>6.1933980886746678</v>
      </c>
      <c r="M188" s="288">
        <v>1.5310958832714934</v>
      </c>
      <c r="N188" s="288">
        <v>0.41935326777131737</v>
      </c>
    </row>
    <row r="189" spans="1:14" ht="15" customHeight="1">
      <c r="A189" s="287"/>
      <c r="B189" s="287" t="s">
        <v>92</v>
      </c>
      <c r="C189" s="288">
        <v>-1.7835394968102658</v>
      </c>
      <c r="D189" s="288">
        <v>-2.6096004262248211</v>
      </c>
      <c r="E189" s="288">
        <v>-26.530462989306891</v>
      </c>
      <c r="F189" s="288">
        <v>-1.444094803399989</v>
      </c>
      <c r="G189" s="288">
        <v>0.66194881546120787</v>
      </c>
      <c r="H189" s="288">
        <v>0.70200778603716973</v>
      </c>
      <c r="I189" s="288">
        <v>3.7177539768375927</v>
      </c>
      <c r="J189" s="288">
        <v>1.2416919858142838E-2</v>
      </c>
      <c r="K189" s="288">
        <v>24.403008744787989</v>
      </c>
      <c r="L189" s="288">
        <v>5.2710705686692529</v>
      </c>
      <c r="M189" s="288">
        <v>1.3650976914862953</v>
      </c>
      <c r="N189" s="288">
        <v>0.49144079377192051</v>
      </c>
    </row>
    <row r="190" spans="1:14" ht="15" customHeight="1">
      <c r="A190" s="287"/>
      <c r="B190" s="287" t="s">
        <v>93</v>
      </c>
      <c r="C190" s="288">
        <v>2.7782473622566242</v>
      </c>
      <c r="D190" s="288">
        <v>0.73668398115256206</v>
      </c>
      <c r="E190" s="288">
        <v>13.843477035859353</v>
      </c>
      <c r="F190" s="288">
        <v>1.8869958583684183</v>
      </c>
      <c r="G190" s="288">
        <v>0.79812600116598087</v>
      </c>
      <c r="H190" s="288">
        <v>8.4221187874647043</v>
      </c>
      <c r="I190" s="288">
        <v>3.6315921689704966</v>
      </c>
      <c r="J190" s="288">
        <v>5.4949489945541767E-2</v>
      </c>
      <c r="K190" s="288">
        <v>23.476404152925046</v>
      </c>
      <c r="L190" s="288">
        <v>4.9611548013805704</v>
      </c>
      <c r="M190" s="288">
        <v>1.2707655866788581</v>
      </c>
      <c r="N190" s="288">
        <v>1.9867757956651844</v>
      </c>
    </row>
    <row r="191" spans="1:14" ht="15" customHeight="1">
      <c r="A191" s="287"/>
      <c r="B191" s="287" t="s">
        <v>94</v>
      </c>
      <c r="C191" s="288">
        <v>8.1909681125369147</v>
      </c>
      <c r="D191" s="288">
        <v>3.4769187053039654</v>
      </c>
      <c r="E191" s="288">
        <v>15.105544363635786</v>
      </c>
      <c r="F191" s="288">
        <v>14.133095202035623</v>
      </c>
      <c r="G191" s="288">
        <v>-6.4749245894073093</v>
      </c>
      <c r="H191" s="288">
        <v>72.724894775640252</v>
      </c>
      <c r="I191" s="288">
        <v>4.641812982532767</v>
      </c>
      <c r="J191" s="288">
        <v>1.0154549593843021</v>
      </c>
      <c r="K191" s="288">
        <v>22.749079838338027</v>
      </c>
      <c r="L191" s="288">
        <v>6.7944512718474712</v>
      </c>
      <c r="M191" s="288">
        <v>3.5632663551128617E-2</v>
      </c>
      <c r="N191" s="288">
        <v>11.676149478825339</v>
      </c>
    </row>
    <row r="192" spans="1:14" ht="15" customHeight="1">
      <c r="A192" s="287"/>
      <c r="B192" s="287" t="s">
        <v>95</v>
      </c>
      <c r="C192" s="288">
        <v>9.6026575146787838</v>
      </c>
      <c r="D192" s="288">
        <v>-0.9524308436925798</v>
      </c>
      <c r="E192" s="288">
        <v>19.971294498708861</v>
      </c>
      <c r="F192" s="288">
        <v>3.6375574213910995</v>
      </c>
      <c r="G192" s="288">
        <v>12.986865989369816</v>
      </c>
      <c r="H192" s="288">
        <v>50.464594681191919</v>
      </c>
      <c r="I192" s="288">
        <v>5.2493844143807209</v>
      </c>
      <c r="J192" s="288">
        <v>0.85071749071615843</v>
      </c>
      <c r="K192" s="288">
        <v>21.642293316520263</v>
      </c>
      <c r="L192" s="288">
        <v>6.4682889389231741</v>
      </c>
      <c r="M192" s="288">
        <v>1.6726070878856882</v>
      </c>
      <c r="N192" s="288">
        <v>15.809714674835629</v>
      </c>
    </row>
    <row r="193" spans="1:14" ht="15" customHeight="1">
      <c r="A193" s="287"/>
      <c r="B193" s="287" t="s">
        <v>96</v>
      </c>
      <c r="C193" s="288">
        <v>-1.8112476571877281</v>
      </c>
      <c r="D193" s="288">
        <v>-8.1352880943078514</v>
      </c>
      <c r="E193" s="288">
        <v>-14.192441355343179</v>
      </c>
      <c r="F193" s="288">
        <v>-0.15422680773557551</v>
      </c>
      <c r="G193" s="288">
        <v>5.5770992507572048</v>
      </c>
      <c r="H193" s="288">
        <v>7.089889533238571</v>
      </c>
      <c r="I193" s="288">
        <v>4.7626044052801131</v>
      </c>
      <c r="J193" s="288">
        <v>0.24143583064577034</v>
      </c>
      <c r="K193" s="288">
        <v>21.23249096421376</v>
      </c>
      <c r="L193" s="288">
        <v>6.0836804430675722</v>
      </c>
      <c r="M193" s="288">
        <v>2.1040425687612463</v>
      </c>
      <c r="N193" s="288">
        <v>14.503422316137</v>
      </c>
    </row>
    <row r="194" spans="1:14" ht="15" customHeight="1">
      <c r="A194" s="287"/>
      <c r="B194" s="287" t="s">
        <v>97</v>
      </c>
      <c r="C194" s="288">
        <v>4.838508841270853</v>
      </c>
      <c r="D194" s="288">
        <v>-4.3992854601404536</v>
      </c>
      <c r="E194" s="288">
        <v>11.254909619796873</v>
      </c>
      <c r="F194" s="288">
        <v>8.4929685287844379</v>
      </c>
      <c r="G194" s="288">
        <v>0.143442994352244</v>
      </c>
      <c r="H194" s="288">
        <v>14.556971935495659</v>
      </c>
      <c r="I194" s="288">
        <v>4.7756694709728134</v>
      </c>
      <c r="J194" s="288">
        <v>-0.3814411598324664</v>
      </c>
      <c r="K194" s="288">
        <v>16.869536424280803</v>
      </c>
      <c r="L194" s="288">
        <v>6.4626176506979398</v>
      </c>
      <c r="M194" s="288">
        <v>1.8918726088256126</v>
      </c>
      <c r="N194" s="288">
        <v>14.508059522500222</v>
      </c>
    </row>
    <row r="195" spans="1:14" ht="15" customHeight="1">
      <c r="A195" s="287"/>
      <c r="B195" s="287" t="s">
        <v>98</v>
      </c>
      <c r="C195" s="288">
        <v>3.2486644441173227</v>
      </c>
      <c r="D195" s="288">
        <v>-1.6606318788862495</v>
      </c>
      <c r="E195" s="288">
        <v>46.196147779826745</v>
      </c>
      <c r="F195" s="288">
        <v>0.85511587735733652</v>
      </c>
      <c r="G195" s="288">
        <v>2.9500231038319176</v>
      </c>
      <c r="H195" s="288">
        <v>3.7114537118976658</v>
      </c>
      <c r="I195" s="288">
        <v>4.6690614040439966</v>
      </c>
      <c r="J195" s="288">
        <v>-0.49810176782940563</v>
      </c>
      <c r="K195" s="288">
        <v>19.764613412288845</v>
      </c>
      <c r="L195" s="288">
        <v>6.107830346781026</v>
      </c>
      <c r="M195" s="288">
        <v>1.9888338592435568</v>
      </c>
      <c r="N195" s="288">
        <v>13.077725072273836</v>
      </c>
    </row>
    <row r="196" spans="1:14" ht="15" customHeight="1">
      <c r="A196" s="287"/>
      <c r="B196" s="287" t="s">
        <v>99</v>
      </c>
      <c r="C196" s="288">
        <v>-2.2254010640837185</v>
      </c>
      <c r="D196" s="288">
        <v>-6.7782493685695488</v>
      </c>
      <c r="E196" s="288">
        <v>-43.948371425682083</v>
      </c>
      <c r="F196" s="288">
        <v>19.49442521322851</v>
      </c>
      <c r="G196" s="288">
        <v>0.89766668692785201</v>
      </c>
      <c r="H196" s="288">
        <v>37.082659731496449</v>
      </c>
      <c r="I196" s="288">
        <v>4.2735047167147648</v>
      </c>
      <c r="J196" s="288">
        <v>-0.91399388748646926</v>
      </c>
      <c r="K196" s="288">
        <v>15.658087658524099</v>
      </c>
      <c r="L196" s="288">
        <v>6.5616315259629676</v>
      </c>
      <c r="M196" s="288">
        <v>1.9041413307527768</v>
      </c>
      <c r="N196" s="288">
        <v>14.893192625385446</v>
      </c>
    </row>
    <row r="197" spans="1:14" ht="15" customHeight="1">
      <c r="A197" s="284" t="s">
        <v>34</v>
      </c>
      <c r="B197" s="285" t="s">
        <v>88</v>
      </c>
      <c r="C197" s="286">
        <v>-0.73259444702264831</v>
      </c>
      <c r="D197" s="286">
        <v>-4.9264360119643911</v>
      </c>
      <c r="E197" s="286">
        <v>-46.592287471051115</v>
      </c>
      <c r="F197" s="286">
        <v>42.508132189160655</v>
      </c>
      <c r="G197" s="286">
        <v>-0.66020066544270961</v>
      </c>
      <c r="H197" s="286">
        <v>17.375462957549068</v>
      </c>
      <c r="I197" s="286">
        <v>-0.73259444702264831</v>
      </c>
      <c r="J197" s="286">
        <v>-4.9264360119643911</v>
      </c>
      <c r="K197" s="286">
        <v>-46.592287471051115</v>
      </c>
      <c r="L197" s="286">
        <v>42.508132189160655</v>
      </c>
      <c r="M197" s="286">
        <v>-0.66020066544270961</v>
      </c>
      <c r="N197" s="286">
        <v>17.375462957549068</v>
      </c>
    </row>
    <row r="198" spans="1:14" ht="15" customHeight="1">
      <c r="A198" s="287"/>
      <c r="B198" s="287" t="s">
        <v>89</v>
      </c>
      <c r="C198" s="288">
        <v>-1.3471529111302594</v>
      </c>
      <c r="D198" s="288">
        <v>0.38258536985479025</v>
      </c>
      <c r="E198" s="288" t="s">
        <v>262</v>
      </c>
      <c r="F198" s="288">
        <v>-2.1832532819866088</v>
      </c>
      <c r="G198" s="288">
        <v>-3.4098212041090288</v>
      </c>
      <c r="H198" s="288">
        <v>7.6129209189503486</v>
      </c>
      <c r="I198" s="288">
        <v>-1.1014274538605242</v>
      </c>
      <c r="J198" s="288">
        <v>-3.2702843301103548</v>
      </c>
      <c r="K198" s="288">
        <v>-59.677795949711424</v>
      </c>
      <c r="L198" s="288">
        <v>0.79915205875036277</v>
      </c>
      <c r="M198" s="288">
        <v>-1.9737334998951943</v>
      </c>
      <c r="N198" s="288">
        <v>11.409177544521576</v>
      </c>
    </row>
    <row r="199" spans="1:14" ht="15" customHeight="1">
      <c r="A199" s="287"/>
      <c r="B199" s="287" t="s">
        <v>90</v>
      </c>
      <c r="C199" s="288">
        <v>2.9545734229608369</v>
      </c>
      <c r="D199" s="288">
        <v>-0.8850487160558832</v>
      </c>
      <c r="E199" s="288" t="s">
        <v>262</v>
      </c>
      <c r="F199" s="288">
        <v>12.076426002193323</v>
      </c>
      <c r="G199" s="288">
        <v>8.7017892522540272</v>
      </c>
      <c r="H199" s="288">
        <v>53.285508798454494</v>
      </c>
      <c r="I199" s="288">
        <v>-0.30689837478908588</v>
      </c>
      <c r="J199" s="288">
        <v>-2.7379444354000668</v>
      </c>
      <c r="K199" s="288">
        <v>-97.255542169355806</v>
      </c>
      <c r="L199" s="288">
        <v>2.2289948167248621</v>
      </c>
      <c r="M199" s="288">
        <v>1.2227372145716664</v>
      </c>
      <c r="N199" s="288">
        <v>19.717008741151314</v>
      </c>
    </row>
    <row r="200" spans="1:14" ht="15" customHeight="1">
      <c r="A200" s="287"/>
      <c r="B200" s="287" t="s">
        <v>91</v>
      </c>
      <c r="C200" s="288">
        <v>-10.460431301446626</v>
      </c>
      <c r="D200" s="288">
        <v>-2.1188633921729858</v>
      </c>
      <c r="E200" s="288">
        <v>-47.860982347515161</v>
      </c>
      <c r="F200" s="288">
        <v>4.5784309190488583</v>
      </c>
      <c r="G200" s="288">
        <v>-5.0059628165007233</v>
      </c>
      <c r="H200" s="288">
        <v>23.161371845555642</v>
      </c>
      <c r="I200" s="288">
        <v>-3.8677166797785962</v>
      </c>
      <c r="J200" s="288">
        <v>-2.552822369934256</v>
      </c>
      <c r="K200" s="288">
        <v>-51.280590368725917</v>
      </c>
      <c r="L200" s="288">
        <v>2.9362304677866642</v>
      </c>
      <c r="M200" s="288">
        <v>-0.54895673375272869</v>
      </c>
      <c r="N200" s="288">
        <v>20.419765695204809</v>
      </c>
    </row>
    <row r="201" spans="1:14" ht="15" customHeight="1">
      <c r="A201" s="287"/>
      <c r="B201" s="287" t="s">
        <v>92</v>
      </c>
      <c r="C201" s="288">
        <v>6.2572428220514658</v>
      </c>
      <c r="D201" s="288">
        <v>-7.2106472632526302</v>
      </c>
      <c r="E201" s="288" t="s">
        <v>262</v>
      </c>
      <c r="F201" s="288">
        <v>5.6187302453466854</v>
      </c>
      <c r="G201" s="288">
        <v>4.1438553660154964</v>
      </c>
      <c r="H201" s="288">
        <v>7.3190932447311994</v>
      </c>
      <c r="I201" s="288">
        <v>-2.8192397979381614</v>
      </c>
      <c r="J201" s="288">
        <v>-2.8889534688622467</v>
      </c>
      <c r="K201" s="288">
        <v>-44.325661360914467</v>
      </c>
      <c r="L201" s="288">
        <v>3.239513179265824</v>
      </c>
      <c r="M201" s="288">
        <v>0.34110502924972136</v>
      </c>
      <c r="N201" s="288">
        <v>17.071600836322258</v>
      </c>
    </row>
    <row r="202" spans="1:14" ht="15" customHeight="1">
      <c r="A202" s="287"/>
      <c r="B202" s="287" t="s">
        <v>93</v>
      </c>
      <c r="C202" s="288">
        <v>-6.8686060330547232</v>
      </c>
      <c r="D202" s="288">
        <v>-23.255845354362521</v>
      </c>
      <c r="E202" s="288">
        <v>-44.580246938222011</v>
      </c>
      <c r="F202" s="288">
        <v>0.62441516496416338</v>
      </c>
      <c r="G202" s="288">
        <v>1.9038601518707885</v>
      </c>
      <c r="H202" s="288">
        <v>15.01713877794667</v>
      </c>
      <c r="I202" s="288">
        <v>-3.1875477154521854</v>
      </c>
      <c r="J202" s="288">
        <v>-4.0931482025148211</v>
      </c>
      <c r="K202" s="288">
        <v>-44.346258540895441</v>
      </c>
      <c r="L202" s="288">
        <v>3.007035180995314</v>
      </c>
      <c r="M202" s="288">
        <v>0.59990096177940044</v>
      </c>
      <c r="N202" s="288">
        <v>16.659787567836016</v>
      </c>
    </row>
    <row r="203" spans="1:14" ht="15" customHeight="1">
      <c r="A203" s="287"/>
      <c r="B203" s="287" t="s">
        <v>94</v>
      </c>
      <c r="C203" s="288">
        <v>2.7801383982669918</v>
      </c>
      <c r="D203" s="288">
        <v>3.2503542544822324</v>
      </c>
      <c r="E203" s="288">
        <v>9.6968303633151702</v>
      </c>
      <c r="F203" s="288">
        <v>5.964461056202957</v>
      </c>
      <c r="G203" s="288">
        <v>3.8021700397208584</v>
      </c>
      <c r="H203" s="288">
        <v>-32.704535859169923</v>
      </c>
      <c r="I203" s="288">
        <v>-1.8204403211936824</v>
      </c>
      <c r="J203" s="288">
        <v>-1.9816892047718959</v>
      </c>
      <c r="K203" s="288">
        <v>-39.942979578434532</v>
      </c>
      <c r="L203" s="288">
        <v>3.6387895487135031</v>
      </c>
      <c r="M203" s="288">
        <v>1.0773035205703831</v>
      </c>
      <c r="N203" s="288">
        <v>6.2017573418478866</v>
      </c>
    </row>
    <row r="204" spans="1:14" ht="15" customHeight="1">
      <c r="A204" s="287"/>
      <c r="B204" s="287" t="s">
        <v>95</v>
      </c>
      <c r="C204" s="288">
        <v>-1.7224032765497617</v>
      </c>
      <c r="D204" s="288">
        <v>-0.74108797054387499</v>
      </c>
      <c r="E204" s="288">
        <v>1.9106802556508304</v>
      </c>
      <c r="F204" s="288">
        <v>-2.2040918470928905</v>
      </c>
      <c r="G204" s="288">
        <v>-4.0641789950495877</v>
      </c>
      <c r="H204" s="288">
        <v>-19.64595109958185</v>
      </c>
      <c r="I204" s="288">
        <v>-1.8079367676241551</v>
      </c>
      <c r="J204" s="288">
        <v>-1.8796917031996045</v>
      </c>
      <c r="K204" s="288">
        <v>-23.495802579000269</v>
      </c>
      <c r="L204" s="288">
        <v>3.0511678955999315</v>
      </c>
      <c r="M204" s="288">
        <v>0.35512738600054283</v>
      </c>
      <c r="N204" s="288">
        <v>2.622987289963425</v>
      </c>
    </row>
    <row r="205" spans="1:14" ht="15" customHeight="1">
      <c r="A205" s="287"/>
      <c r="B205" s="287" t="s">
        <v>96</v>
      </c>
      <c r="C205" s="288">
        <v>6.5764314159636363</v>
      </c>
      <c r="D205" s="288">
        <v>5.8521683324862028</v>
      </c>
      <c r="E205" s="288">
        <v>96.596474441727537</v>
      </c>
      <c r="F205" s="288">
        <v>7.5991362679877144</v>
      </c>
      <c r="G205" s="288">
        <v>5.7021810603252234</v>
      </c>
      <c r="H205" s="288">
        <v>-1.1507973227229265</v>
      </c>
      <c r="I205" s="288">
        <v>-1.2661667712451057</v>
      </c>
      <c r="J205" s="288">
        <v>-1.3992542635722436</v>
      </c>
      <c r="K205" s="288">
        <v>-22.523745314477345</v>
      </c>
      <c r="L205" s="288">
        <v>3.2997640553295229</v>
      </c>
      <c r="M205" s="288">
        <v>0.96605904978094503</v>
      </c>
      <c r="N205" s="288">
        <v>2.0942502650890442</v>
      </c>
    </row>
    <row r="206" spans="1:14" ht="15" customHeight="1">
      <c r="A206" s="287"/>
      <c r="B206" s="287" t="s">
        <v>97</v>
      </c>
      <c r="C206" s="288">
        <v>17.353736944886045</v>
      </c>
      <c r="D206" s="288">
        <v>4.6420585896403885</v>
      </c>
      <c r="E206" s="288">
        <v>46.44383159044682</v>
      </c>
      <c r="F206" s="288">
        <v>4.2352499455558652</v>
      </c>
      <c r="G206" s="288">
        <v>-0.68080891027704937</v>
      </c>
      <c r="H206" s="288">
        <v>10.127055192921601</v>
      </c>
      <c r="I206" s="288">
        <v>1.9407099255485056</v>
      </c>
      <c r="J206" s="288">
        <v>-0.62109406874771222</v>
      </c>
      <c r="K206" s="288">
        <v>6.1852663947476278</v>
      </c>
      <c r="L206" s="288">
        <v>3.4497049891008298</v>
      </c>
      <c r="M206" s="288">
        <v>0.79089832020828565</v>
      </c>
      <c r="N206" s="288">
        <v>2.7901597021549089</v>
      </c>
    </row>
    <row r="207" spans="1:14" ht="15" customHeight="1">
      <c r="A207" s="287"/>
      <c r="B207" s="287" t="s">
        <v>98</v>
      </c>
      <c r="C207" s="288">
        <v>2.1863036519848129</v>
      </c>
      <c r="D207" s="288">
        <v>2.8714147939490746</v>
      </c>
      <c r="E207" s="288">
        <v>37.956018495363537</v>
      </c>
      <c r="F207" s="288">
        <v>3.3294870507022187</v>
      </c>
      <c r="G207" s="288">
        <v>-4.0792143349594978</v>
      </c>
      <c r="H207" s="288">
        <v>-11.380666052153696</v>
      </c>
      <c r="I207" s="288">
        <v>1.9576234059101281</v>
      </c>
      <c r="J207" s="288">
        <v>-0.3063029290364071</v>
      </c>
      <c r="K207" s="288">
        <v>7.0955921506289323</v>
      </c>
      <c r="L207" s="288">
        <v>3.4424753199211588</v>
      </c>
      <c r="M207" s="288">
        <v>0.34043068064162124</v>
      </c>
      <c r="N207" s="288">
        <v>1.0683102742813553</v>
      </c>
    </row>
    <row r="208" spans="1:14" ht="15" customHeight="1">
      <c r="A208" s="287"/>
      <c r="B208" s="287" t="s">
        <v>99</v>
      </c>
      <c r="C208" s="288">
        <v>-5.0445378525581663</v>
      </c>
      <c r="D208" s="288">
        <v>4.8671823527869122</v>
      </c>
      <c r="E208" s="288">
        <v>-96.787221059129863</v>
      </c>
      <c r="F208" s="288">
        <v>-2.2705636036639421</v>
      </c>
      <c r="G208" s="288">
        <v>9.5687951608285484</v>
      </c>
      <c r="H208" s="288">
        <v>-20.461217007857865</v>
      </c>
      <c r="I208" s="288">
        <v>1.5809261122444587</v>
      </c>
      <c r="J208" s="288">
        <v>1.6025780286999611E-2</v>
      </c>
      <c r="K208" s="288">
        <v>3.8506830929162863</v>
      </c>
      <c r="L208" s="288">
        <v>3.2253005018691625</v>
      </c>
      <c r="M208" s="288">
        <v>1.0496292245014143</v>
      </c>
      <c r="N208" s="288">
        <v>-0.8744118317263806</v>
      </c>
    </row>
    <row r="209" spans="1:14" ht="15" customHeight="1">
      <c r="A209" s="284" t="s">
        <v>35</v>
      </c>
      <c r="B209" s="285" t="s">
        <v>88</v>
      </c>
      <c r="C209" s="286">
        <v>6.8476492910607147</v>
      </c>
      <c r="D209" s="286">
        <v>5.4975677884652718</v>
      </c>
      <c r="E209" s="286" t="s">
        <v>262</v>
      </c>
      <c r="F209" s="286">
        <v>11.485518998295024</v>
      </c>
      <c r="G209" s="286">
        <v>6.5023777338271875</v>
      </c>
      <c r="H209" s="286">
        <v>-2.1035971796426445</v>
      </c>
      <c r="I209" s="286">
        <v>6.8476492910607147</v>
      </c>
      <c r="J209" s="286">
        <v>5.4975677884652718</v>
      </c>
      <c r="K209" s="286" t="s">
        <v>262</v>
      </c>
      <c r="L209" s="286">
        <v>11.485518998295024</v>
      </c>
      <c r="M209" s="286">
        <v>6.5023777338271875</v>
      </c>
      <c r="N209" s="286">
        <v>-2.1035971796426445</v>
      </c>
    </row>
    <row r="210" spans="1:14" ht="15" customHeight="1">
      <c r="A210" s="287"/>
      <c r="B210" s="287" t="s">
        <v>89</v>
      </c>
      <c r="C210" s="288">
        <v>5.3993297837037701</v>
      </c>
      <c r="D210" s="288">
        <v>2.1717157706458163</v>
      </c>
      <c r="E210" s="288" t="s">
        <v>262</v>
      </c>
      <c r="F210" s="288">
        <v>9.6880795083640763</v>
      </c>
      <c r="G210" s="288">
        <v>-7.7112087614057385</v>
      </c>
      <c r="H210" s="288">
        <v>-4.3415129954987659</v>
      </c>
      <c r="I210" s="288">
        <v>5.9805864888503066</v>
      </c>
      <c r="J210" s="288">
        <v>4.4208868540841655</v>
      </c>
      <c r="K210" s="288">
        <v>17.618723029562148</v>
      </c>
      <c r="L210" s="288">
        <v>9.8576615650867758</v>
      </c>
      <c r="M210" s="288">
        <v>-0.18818049478388155</v>
      </c>
      <c r="N210" s="288">
        <v>-3.4246747075064357</v>
      </c>
    </row>
    <row r="211" spans="1:14" ht="15" customHeight="1">
      <c r="A211" s="287"/>
      <c r="B211" s="287" t="s">
        <v>90</v>
      </c>
      <c r="C211" s="288">
        <v>2.1334250858165564</v>
      </c>
      <c r="D211" s="288">
        <v>0.43733917753373591</v>
      </c>
      <c r="E211" s="288" t="s">
        <v>262</v>
      </c>
      <c r="F211" s="288">
        <v>5.3458737679157098</v>
      </c>
      <c r="G211" s="288">
        <v>-1.9859246187412285</v>
      </c>
      <c r="H211" s="288">
        <v>25.266232976757806</v>
      </c>
      <c r="I211" s="288">
        <v>5.2023121717392238</v>
      </c>
      <c r="J211" s="288">
        <v>3.5148967030520311</v>
      </c>
      <c r="K211" s="288" t="s">
        <v>262</v>
      </c>
      <c r="L211" s="288">
        <v>9.2305092961377113</v>
      </c>
      <c r="M211" s="288">
        <v>-0.76623404510050896</v>
      </c>
      <c r="N211" s="288">
        <v>3.8633287167852122</v>
      </c>
    </row>
    <row r="212" spans="1:14" ht="15" customHeight="1">
      <c r="A212" s="287"/>
      <c r="B212" s="287" t="s">
        <v>91</v>
      </c>
      <c r="C212" s="288">
        <v>20.950537061000336</v>
      </c>
      <c r="D212" s="288">
        <v>6.7665411535446474</v>
      </c>
      <c r="E212" s="288">
        <v>99.563962108629795</v>
      </c>
      <c r="F212" s="288">
        <v>11.971976473336559</v>
      </c>
      <c r="G212" s="288">
        <v>6.3454481177688979</v>
      </c>
      <c r="H212" s="288">
        <v>-4.2160685655470003</v>
      </c>
      <c r="I212" s="288">
        <v>10.346419019659891</v>
      </c>
      <c r="J212" s="288">
        <v>4.4915568621185775</v>
      </c>
      <c r="K212" s="288">
        <v>97.057662013095765</v>
      </c>
      <c r="L212" s="288">
        <v>10.068921166752965</v>
      </c>
      <c r="M212" s="288">
        <v>1.1659594974679481</v>
      </c>
      <c r="N212" s="288">
        <v>2.1773506244604555</v>
      </c>
    </row>
    <row r="213" spans="1:14" ht="15" customHeight="1">
      <c r="A213" s="287"/>
      <c r="B213" s="287" t="s">
        <v>92</v>
      </c>
      <c r="C213" s="288">
        <v>-0.53915106582011996</v>
      </c>
      <c r="D213" s="288">
        <v>9.6654947774406317</v>
      </c>
      <c r="E213" s="288">
        <v>-70.421386200104209</v>
      </c>
      <c r="F213" s="288">
        <v>-0.29756206938092233</v>
      </c>
      <c r="G213" s="288">
        <v>-1.8960116470883157</v>
      </c>
      <c r="H213" s="288">
        <v>16.830915722234597</v>
      </c>
      <c r="I213" s="288">
        <v>9.1138961310780804</v>
      </c>
      <c r="J213" s="288">
        <v>4.8483169495828795</v>
      </c>
      <c r="K213" s="288">
        <v>72.612330750202233</v>
      </c>
      <c r="L213" s="288">
        <v>8.8698791458248785</v>
      </c>
      <c r="M213" s="288">
        <v>0.56320169063203795</v>
      </c>
      <c r="N213" s="288">
        <v>5.610415268670855</v>
      </c>
    </row>
    <row r="214" spans="1:14" ht="15" customHeight="1">
      <c r="A214" s="287"/>
      <c r="B214" s="287" t="s">
        <v>93</v>
      </c>
      <c r="C214" s="288">
        <v>9.32111315170844</v>
      </c>
      <c r="D214" s="288">
        <v>14.205447888860693</v>
      </c>
      <c r="E214" s="288">
        <v>-0.64495313830535139</v>
      </c>
      <c r="F214" s="288">
        <v>14.214300450092182</v>
      </c>
      <c r="G214" s="288">
        <v>6.1091761563456073</v>
      </c>
      <c r="H214" s="288">
        <v>-3.9020992041708</v>
      </c>
      <c r="I214" s="288">
        <v>9.1320268199441781</v>
      </c>
      <c r="J214" s="288">
        <v>5.2910177872502091</v>
      </c>
      <c r="K214" s="288">
        <v>66.710387895247266</v>
      </c>
      <c r="L214" s="288">
        <v>9.3339999704124743</v>
      </c>
      <c r="M214" s="288">
        <v>1.4935326277847494</v>
      </c>
      <c r="N214" s="288">
        <v>3.7304972128226019</v>
      </c>
    </row>
    <row r="215" spans="1:14" ht="15" customHeight="1">
      <c r="A215" s="287"/>
      <c r="B215" s="287" t="s">
        <v>94</v>
      </c>
      <c r="C215" s="288">
        <v>10.099277179841271</v>
      </c>
      <c r="D215" s="288">
        <v>11.224771137538893</v>
      </c>
      <c r="E215" s="288">
        <v>-3.1691850165178974</v>
      </c>
      <c r="F215" s="288">
        <v>9.4048389614299879</v>
      </c>
      <c r="G215" s="288">
        <v>5.3427886507919693</v>
      </c>
      <c r="H215" s="288">
        <v>20.890575836969166</v>
      </c>
      <c r="I215" s="288">
        <v>9.3639924698650656</v>
      </c>
      <c r="J215" s="288">
        <v>7.0882046460922874</v>
      </c>
      <c r="K215" s="288">
        <v>56.310789324048912</v>
      </c>
      <c r="L215" s="288">
        <v>9.3494719061619982</v>
      </c>
      <c r="M215" s="288">
        <v>2.0828598519337924</v>
      </c>
      <c r="N215" s="288">
        <v>6.0341131086101178</v>
      </c>
    </row>
    <row r="216" spans="1:14" ht="15" customHeight="1">
      <c r="A216" s="287"/>
      <c r="B216" s="287" t="s">
        <v>95</v>
      </c>
      <c r="C216" s="288">
        <v>5.1746212666143414</v>
      </c>
      <c r="D216" s="288">
        <v>5.7545037295537611</v>
      </c>
      <c r="E216" s="288">
        <v>7.6991528306244312</v>
      </c>
      <c r="F216" s="288">
        <v>5.9930622323150038</v>
      </c>
      <c r="G216" s="288">
        <v>7.3837397262844953E-2</v>
      </c>
      <c r="H216" s="288">
        <v>-8.1472859696170747</v>
      </c>
      <c r="I216" s="288">
        <v>8.8292185323683832</v>
      </c>
      <c r="J216" s="288">
        <v>6.9772804267097257</v>
      </c>
      <c r="K216" s="288">
        <v>30.864022827681175</v>
      </c>
      <c r="L216" s="288">
        <v>9.0291302253305332</v>
      </c>
      <c r="M216" s="288">
        <v>1.8130978412622081</v>
      </c>
      <c r="N216" s="288">
        <v>4.496688107140228</v>
      </c>
    </row>
    <row r="217" spans="1:14" ht="15" customHeight="1">
      <c r="A217" s="287"/>
      <c r="B217" s="287" t="s">
        <v>96</v>
      </c>
      <c r="C217" s="288">
        <v>3.0298252912178381</v>
      </c>
      <c r="D217" s="288">
        <v>2.7412602594329449</v>
      </c>
      <c r="E217" s="288">
        <v>-58.006018256657498</v>
      </c>
      <c r="F217" s="288">
        <v>8.0475338353362371</v>
      </c>
      <c r="G217" s="288">
        <v>1.1310450382277177</v>
      </c>
      <c r="H217" s="288">
        <v>5.9778227798597312</v>
      </c>
      <c r="I217" s="288">
        <v>8.4247149775329344</v>
      </c>
      <c r="J217" s="288">
        <v>6.694707572493602</v>
      </c>
      <c r="K217" s="288">
        <v>29.038701790930787</v>
      </c>
      <c r="L217" s="288">
        <v>8.9732421198837908</v>
      </c>
      <c r="M217" s="288">
        <v>1.731513909249826</v>
      </c>
      <c r="N217" s="288">
        <v>4.6976108271168933</v>
      </c>
    </row>
    <row r="218" spans="1:14" ht="15" customHeight="1">
      <c r="A218" s="287"/>
      <c r="B218" s="287" t="s">
        <v>97</v>
      </c>
      <c r="C218" s="288">
        <v>-2.025702812712725</v>
      </c>
      <c r="D218" s="288">
        <v>6.4687579234627828</v>
      </c>
      <c r="E218" s="288">
        <v>-15.813016262745908</v>
      </c>
      <c r="F218" s="288">
        <v>9.3317750041931298</v>
      </c>
      <c r="G218" s="288">
        <v>0.79144698390058776</v>
      </c>
      <c r="H218" s="288">
        <v>-6.9002228547472466</v>
      </c>
      <c r="I218" s="288">
        <v>6.3527245059886397</v>
      </c>
      <c r="J218" s="288">
        <v>6.664062445903804</v>
      </c>
      <c r="K218" s="288">
        <v>3.2897721559639201</v>
      </c>
      <c r="L218" s="288">
        <v>9.0311446205414203</v>
      </c>
      <c r="M218" s="288">
        <v>1.6329884209644157</v>
      </c>
      <c r="N218" s="288">
        <v>3.6211335488675491</v>
      </c>
    </row>
    <row r="219" spans="1:14" ht="15" customHeight="1">
      <c r="A219" s="287"/>
      <c r="B219" s="287" t="s">
        <v>98</v>
      </c>
      <c r="C219" s="288">
        <v>6.7579076964849492</v>
      </c>
      <c r="D219" s="288">
        <v>11.611739374571673</v>
      </c>
      <c r="E219" s="288">
        <v>-26.925293478861573</v>
      </c>
      <c r="F219" s="288">
        <v>0.39722347593563123</v>
      </c>
      <c r="G219" s="288">
        <v>4.1575576667989678</v>
      </c>
      <c r="H219" s="288">
        <v>8.973369500462109</v>
      </c>
      <c r="I219" s="288">
        <v>6.38069113495966</v>
      </c>
      <c r="J219" s="288">
        <v>7.1242271749145383</v>
      </c>
      <c r="K219" s="288">
        <v>3.007384889887287</v>
      </c>
      <c r="L219" s="288">
        <v>8.51248481146391</v>
      </c>
      <c r="M219" s="288">
        <v>1.8562164086785442</v>
      </c>
      <c r="N219" s="288">
        <v>4.1913618134777781</v>
      </c>
    </row>
    <row r="220" spans="1:14" ht="15" customHeight="1">
      <c r="A220" s="287"/>
      <c r="B220" s="287" t="s">
        <v>99</v>
      </c>
      <c r="C220" s="288">
        <v>2.8475276307443669</v>
      </c>
      <c r="D220" s="288">
        <v>5.5443640361619515</v>
      </c>
      <c r="E220" s="288" t="s">
        <v>262</v>
      </c>
      <c r="F220" s="288">
        <v>9.9369475088681511</v>
      </c>
      <c r="G220" s="288">
        <v>-3.2907227119804467</v>
      </c>
      <c r="H220" s="288">
        <v>1.6744830698319071</v>
      </c>
      <c r="I220" s="288">
        <v>6.2030138491132867</v>
      </c>
      <c r="J220" s="288">
        <v>7.0210211043219006</v>
      </c>
      <c r="K220" s="288">
        <v>2.2178708835690655</v>
      </c>
      <c r="L220" s="288">
        <v>8.5637511855893695</v>
      </c>
      <c r="M220" s="288">
        <v>1.4273280193252156</v>
      </c>
      <c r="N220" s="288">
        <v>4.0091268747614475</v>
      </c>
    </row>
    <row r="221" spans="1:14" ht="15" customHeight="1">
      <c r="A221" s="284" t="s">
        <v>36</v>
      </c>
      <c r="B221" s="285" t="s">
        <v>88</v>
      </c>
      <c r="C221" s="286">
        <v>4.5798470585979034</v>
      </c>
      <c r="D221" s="286">
        <v>6.6686017243704443</v>
      </c>
      <c r="E221" s="286">
        <v>-25.499162844343537</v>
      </c>
      <c r="F221" s="286">
        <v>1.6083429523720307</v>
      </c>
      <c r="G221" s="286">
        <v>-10.971459703812474</v>
      </c>
      <c r="H221" s="286">
        <v>31.665711967852335</v>
      </c>
      <c r="I221" s="286">
        <v>4.5798470585979034</v>
      </c>
      <c r="J221" s="286">
        <v>6.6686017243704443</v>
      </c>
      <c r="K221" s="286">
        <v>-25.499162844343537</v>
      </c>
      <c r="L221" s="286">
        <v>1.6083429523720307</v>
      </c>
      <c r="M221" s="286">
        <v>-10.971459703812474</v>
      </c>
      <c r="N221" s="286">
        <v>31.665711967852335</v>
      </c>
    </row>
    <row r="222" spans="1:14" ht="15" customHeight="1">
      <c r="A222" s="287"/>
      <c r="B222" s="287" t="s">
        <v>89</v>
      </c>
      <c r="C222" s="288">
        <v>4.4578746281182049</v>
      </c>
      <c r="D222" s="288">
        <v>5.8423422201054631</v>
      </c>
      <c r="E222" s="288">
        <v>-1.1862131289851892</v>
      </c>
      <c r="F222" s="288">
        <v>3.3689011939610261</v>
      </c>
      <c r="G222" s="288">
        <v>11.794131619005494</v>
      </c>
      <c r="H222" s="288">
        <v>2.9718019569697947</v>
      </c>
      <c r="I222" s="288">
        <v>4.5072265337454365</v>
      </c>
      <c r="J222" s="288">
        <v>6.4068775259193815</v>
      </c>
      <c r="K222" s="288">
        <v>-75.196168613299804</v>
      </c>
      <c r="L222" s="288">
        <v>3.2003374668146498</v>
      </c>
      <c r="M222" s="288">
        <v>-1.0630353375959574</v>
      </c>
      <c r="N222" s="288">
        <v>14.888043075310547</v>
      </c>
    </row>
    <row r="223" spans="1:14" ht="15" customHeight="1">
      <c r="A223" s="287"/>
      <c r="B223" s="287" t="s">
        <v>90</v>
      </c>
      <c r="C223" s="288">
        <v>6.0672144066318863</v>
      </c>
      <c r="D223" s="288">
        <v>5.4168950765567345</v>
      </c>
      <c r="E223" s="288" t="s">
        <v>262</v>
      </c>
      <c r="F223" s="288">
        <v>5.8751798301052078</v>
      </c>
      <c r="G223" s="288">
        <v>0.72557000248472725</v>
      </c>
      <c r="H223" s="288">
        <v>-20.953452416917393</v>
      </c>
      <c r="I223" s="288">
        <v>4.8136035100361321</v>
      </c>
      <c r="J223" s="288">
        <v>6.1884168373385116</v>
      </c>
      <c r="K223" s="288" t="s">
        <v>262</v>
      </c>
      <c r="L223" s="288">
        <v>3.5589257511815164</v>
      </c>
      <c r="M223" s="288">
        <v>-0.49498909421795445</v>
      </c>
      <c r="N223" s="288">
        <v>3.9075413991078793</v>
      </c>
    </row>
    <row r="224" spans="1:14" ht="15" customHeight="1">
      <c r="A224" s="287"/>
      <c r="B224" s="287" t="s">
        <v>91</v>
      </c>
      <c r="C224" s="288">
        <v>3.2233601583258102</v>
      </c>
      <c r="D224" s="288">
        <v>6.3792078760113542</v>
      </c>
      <c r="E224" s="288">
        <v>-1.0935894206769095</v>
      </c>
      <c r="F224" s="288">
        <v>2.1879180167059751</v>
      </c>
      <c r="G224" s="288">
        <v>-1.4328389781044866</v>
      </c>
      <c r="H224" s="288">
        <v>28.878476025156193</v>
      </c>
      <c r="I224" s="288">
        <v>4.2442375244066497</v>
      </c>
      <c r="J224" s="288">
        <v>6.246970270733267</v>
      </c>
      <c r="K224" s="288">
        <v>2.9725110364642555</v>
      </c>
      <c r="L224" s="288">
        <v>3.132386593145907</v>
      </c>
      <c r="M224" s="288">
        <v>-0.76284184896399132</v>
      </c>
      <c r="N224" s="288">
        <v>8.7923300943073652</v>
      </c>
    </row>
    <row r="225" spans="1:14" ht="15" customHeight="1">
      <c r="A225" s="287"/>
      <c r="B225" s="287" t="s">
        <v>92</v>
      </c>
      <c r="C225" s="288">
        <v>7.1886003095701536</v>
      </c>
      <c r="D225" s="288">
        <v>14.93457608589663</v>
      </c>
      <c r="E225" s="288">
        <v>-29.180255332062245</v>
      </c>
      <c r="F225" s="288">
        <v>8.4807099690154146</v>
      </c>
      <c r="G225" s="288">
        <v>3.1229284500715169</v>
      </c>
      <c r="H225" s="288">
        <v>-2.4656645190240183</v>
      </c>
      <c r="I225" s="288">
        <v>4.5481211036650961</v>
      </c>
      <c r="J225" s="288">
        <v>6.8735317554243034</v>
      </c>
      <c r="K225" s="288">
        <v>2.168318963851128</v>
      </c>
      <c r="L225" s="288">
        <v>3.6989110314158338</v>
      </c>
      <c r="M225" s="288">
        <v>-1.6622601649667206E-2</v>
      </c>
      <c r="N225" s="288">
        <v>5.8745621399415224</v>
      </c>
    </row>
    <row r="226" spans="1:14" ht="15" customHeight="1">
      <c r="A226" s="287"/>
      <c r="B226" s="287" t="s">
        <v>93</v>
      </c>
      <c r="C226" s="288">
        <v>1.7920867929566524</v>
      </c>
      <c r="D226" s="288">
        <v>12.039556305576243</v>
      </c>
      <c r="E226" s="288">
        <v>-34.352919267549012</v>
      </c>
      <c r="F226" s="288">
        <v>2.6325175485349388</v>
      </c>
      <c r="G226" s="288">
        <v>0.86780311664892795</v>
      </c>
      <c r="H226" s="288">
        <v>-6.7024337662800431</v>
      </c>
      <c r="I226" s="288">
        <v>4.3065609350155691</v>
      </c>
      <c r="J226" s="288">
        <v>7.1386377817915179</v>
      </c>
      <c r="K226" s="288">
        <v>0.41477381701498217</v>
      </c>
      <c r="L226" s="288">
        <v>3.6021694688069497</v>
      </c>
      <c r="M226" s="288">
        <v>0.13848587554090963</v>
      </c>
      <c r="N226" s="288">
        <v>3.5719120411333698</v>
      </c>
    </row>
    <row r="227" spans="1:14" ht="15" customHeight="1">
      <c r="A227" s="287"/>
      <c r="B227" s="287" t="s">
        <v>94</v>
      </c>
      <c r="C227" s="288">
        <v>7.8688223691357901</v>
      </c>
      <c r="D227" s="288">
        <v>9.893447120491297</v>
      </c>
      <c r="E227" s="288">
        <v>19.746845485011786</v>
      </c>
      <c r="F227" s="288">
        <v>4.592164270474326</v>
      </c>
      <c r="G227" s="288">
        <v>-4.6454321516715389</v>
      </c>
      <c r="H227" s="288">
        <v>26.799476072984252</v>
      </c>
      <c r="I227" s="288">
        <v>5.1666049516527046</v>
      </c>
      <c r="J227" s="288">
        <v>8.0052307768105777</v>
      </c>
      <c r="K227" s="288">
        <v>2.1970268446184296</v>
      </c>
      <c r="L227" s="288">
        <v>3.8185035990409193</v>
      </c>
      <c r="M227" s="288">
        <v>-0.61732896982988394</v>
      </c>
      <c r="N227" s="288">
        <v>7.1269258934320403</v>
      </c>
    </row>
    <row r="228" spans="1:14" ht="15" customHeight="1">
      <c r="A228" s="290"/>
      <c r="B228" s="287" t="s">
        <v>95</v>
      </c>
      <c r="C228" s="288">
        <v>6.3694701493289578</v>
      </c>
      <c r="D228" s="288">
        <v>9.0580264508634247</v>
      </c>
      <c r="E228" s="288">
        <v>9.4242600393903704</v>
      </c>
      <c r="F228" s="288">
        <v>1.5368041141897339</v>
      </c>
      <c r="G228" s="288">
        <v>4.8012786672361578</v>
      </c>
      <c r="H228" s="288">
        <v>1.5152086424104325</v>
      </c>
      <c r="I228" s="288">
        <v>5.3149946651133071</v>
      </c>
      <c r="J228" s="288">
        <v>8.0917911941647755</v>
      </c>
      <c r="K228" s="288">
        <v>5.310581196744379</v>
      </c>
      <c r="L228" s="288">
        <v>3.6067982544336004</v>
      </c>
      <c r="M228" s="288">
        <v>9.782673188367054E-2</v>
      </c>
      <c r="N228" s="288">
        <v>6.5921644235699031</v>
      </c>
    </row>
    <row r="229" spans="1:14" ht="15" customHeight="1">
      <c r="A229" s="290"/>
      <c r="B229" s="287" t="s">
        <v>96</v>
      </c>
      <c r="C229" s="288">
        <v>3.4026526351903597</v>
      </c>
      <c r="D229" s="288">
        <v>6.81946421801619</v>
      </c>
      <c r="E229" s="288">
        <v>-64.909719222197282</v>
      </c>
      <c r="F229" s="288">
        <v>5.5905649799003037</v>
      </c>
      <c r="G229" s="288">
        <v>1.1138713833553395</v>
      </c>
      <c r="H229" s="288">
        <v>-5.3842832046009956</v>
      </c>
      <c r="I229" s="288">
        <v>5.188246982135297</v>
      </c>
      <c r="J229" s="288">
        <v>8.010062762370282</v>
      </c>
      <c r="K229" s="288">
        <v>4.8412130305814429</v>
      </c>
      <c r="L229" s="288">
        <v>3.7187863922786555</v>
      </c>
      <c r="M229" s="288">
        <v>0.21864383443926313</v>
      </c>
      <c r="N229" s="288">
        <v>4.9476384332336787</v>
      </c>
    </row>
    <row r="230" spans="1:14" ht="15" customHeight="1">
      <c r="A230" s="290"/>
      <c r="B230" s="287" t="s">
        <v>97</v>
      </c>
      <c r="C230" s="288">
        <v>10.577741008927003</v>
      </c>
      <c r="D230" s="288">
        <v>5.5154483685127254</v>
      </c>
      <c r="E230" s="288">
        <v>24.408131651419254</v>
      </c>
      <c r="F230" s="288">
        <v>1.8255261937779221</v>
      </c>
      <c r="G230" s="288">
        <v>2.1626194636558549</v>
      </c>
      <c r="H230" s="288">
        <v>8.9897792919567472</v>
      </c>
      <c r="I230" s="288">
        <v>6.172633444392182</v>
      </c>
      <c r="J230" s="288">
        <v>7.6723424053567246</v>
      </c>
      <c r="K230" s="288">
        <v>13.996883774323617</v>
      </c>
      <c r="L230" s="288">
        <v>3.4121847634318541</v>
      </c>
      <c r="M230" s="288">
        <v>0.42069884436740063</v>
      </c>
      <c r="N230" s="288">
        <v>5.2847236736587613</v>
      </c>
    </row>
    <row r="231" spans="1:14" ht="15" customHeight="1">
      <c r="A231" s="290"/>
      <c r="B231" s="287" t="s">
        <v>98</v>
      </c>
      <c r="C231" s="288">
        <v>5.111241463019037</v>
      </c>
      <c r="D231" s="288">
        <v>7.4047401105877553</v>
      </c>
      <c r="E231" s="288" t="s">
        <v>262</v>
      </c>
      <c r="F231" s="288">
        <v>11.318916027660155</v>
      </c>
      <c r="G231" s="288">
        <v>8.8983766245338742</v>
      </c>
      <c r="H231" s="288">
        <v>-0.47655775184520832</v>
      </c>
      <c r="I231" s="288">
        <v>6.0991140790559291</v>
      </c>
      <c r="J231" s="288">
        <v>7.6464111225371711</v>
      </c>
      <c r="K231" s="288">
        <v>12.380967578113166</v>
      </c>
      <c r="L231" s="288">
        <v>3.8516388324841064</v>
      </c>
      <c r="M231" s="288">
        <v>1.1872506500291999</v>
      </c>
      <c r="N231" s="288">
        <v>4.6427440488440688</v>
      </c>
    </row>
    <row r="232" spans="1:14" ht="15" customHeight="1">
      <c r="A232" s="290"/>
      <c r="B232" s="287" t="s">
        <v>99</v>
      </c>
      <c r="C232" s="288">
        <v>0.90113564319804706</v>
      </c>
      <c r="D232" s="288">
        <v>6.0101340934147736</v>
      </c>
      <c r="E232" s="288">
        <v>-61.985096775274918</v>
      </c>
      <c r="F232" s="288">
        <v>-6.2261290276900443</v>
      </c>
      <c r="G232" s="288">
        <v>-0.57205844794492633</v>
      </c>
      <c r="H232" s="288">
        <v>6.376230604292993</v>
      </c>
      <c r="I232" s="288">
        <v>5.8459747271889588</v>
      </c>
      <c r="J232" s="288">
        <v>7.5409946286532641</v>
      </c>
      <c r="K232" s="288">
        <v>12.046138182479371</v>
      </c>
      <c r="L232" s="288">
        <v>3.4843525527809733</v>
      </c>
      <c r="M232" s="288">
        <v>1.0474688722031995</v>
      </c>
      <c r="N232" s="288">
        <v>4.7654400340738263</v>
      </c>
    </row>
    <row r="233" spans="1:14" ht="15" customHeight="1">
      <c r="A233" s="284">
        <v>2019</v>
      </c>
      <c r="B233" s="285" t="s">
        <v>88</v>
      </c>
      <c r="C233" s="286">
        <v>4.8228975779667094</v>
      </c>
      <c r="D233" s="286">
        <v>6.8691807749214195</v>
      </c>
      <c r="E233" s="286">
        <v>77.797687111705827</v>
      </c>
      <c r="F233" s="286">
        <v>-2.411092816884544</v>
      </c>
      <c r="G233" s="286">
        <v>2.5269005081050313</v>
      </c>
      <c r="H233" s="286">
        <v>-19.502645117050985</v>
      </c>
      <c r="I233" s="286">
        <v>4.8228975779667094</v>
      </c>
      <c r="J233" s="286">
        <v>6.8691807749214195</v>
      </c>
      <c r="K233" s="286">
        <v>77.797687111705827</v>
      </c>
      <c r="L233" s="286">
        <v>-2.411092816884544</v>
      </c>
      <c r="M233" s="286">
        <v>2.5269005081050313</v>
      </c>
      <c r="N233" s="286">
        <v>-19.502645117050985</v>
      </c>
    </row>
    <row r="234" spans="1:14" ht="15" customHeight="1">
      <c r="A234" s="287"/>
      <c r="B234" s="287" t="s">
        <v>89</v>
      </c>
      <c r="C234" s="288">
        <v>2.8013629979175736</v>
      </c>
      <c r="D234" s="288">
        <v>2.998905436427949</v>
      </c>
      <c r="E234" s="288">
        <v>-46.028209193329218</v>
      </c>
      <c r="F234" s="288">
        <v>4.8792080552039554</v>
      </c>
      <c r="G234" s="288">
        <v>11.902009705261014</v>
      </c>
      <c r="H234" s="288">
        <v>-38.011824920578889</v>
      </c>
      <c r="I234" s="288">
        <v>3.6198750973037916</v>
      </c>
      <c r="J234" s="288">
        <v>5.6497447646236987</v>
      </c>
      <c r="K234" s="288" t="s">
        <v>262</v>
      </c>
      <c r="L234" s="288">
        <v>4.1919696326207605</v>
      </c>
      <c r="M234" s="288">
        <v>7.137553343730624</v>
      </c>
      <c r="N234" s="288">
        <v>-29.202663167348714</v>
      </c>
    </row>
    <row r="235" spans="1:14" ht="15" customHeight="1">
      <c r="A235" s="287"/>
      <c r="B235" s="287" t="s">
        <v>90</v>
      </c>
      <c r="C235" s="288">
        <v>0.42899684795035764</v>
      </c>
      <c r="D235" s="288">
        <v>7.7362239011957374</v>
      </c>
      <c r="E235" s="288" t="s">
        <v>262</v>
      </c>
      <c r="F235" s="288">
        <v>-3.5225569263374856</v>
      </c>
      <c r="G235" s="288">
        <v>4.2633172579040863</v>
      </c>
      <c r="H235" s="288">
        <v>1.8229139645482058</v>
      </c>
      <c r="I235" s="288">
        <v>2.9857007828918154</v>
      </c>
      <c r="J235" s="288">
        <v>6.1068255066311741</v>
      </c>
      <c r="K235" s="288" t="s">
        <v>262</v>
      </c>
      <c r="L235" s="288">
        <v>3.1346317162058419</v>
      </c>
      <c r="M235" s="288">
        <v>6.2135226686556928</v>
      </c>
      <c r="N235" s="288">
        <v>-21.971772969779092</v>
      </c>
    </row>
    <row r="236" spans="1:14" ht="15" customHeight="1">
      <c r="A236" s="287"/>
      <c r="B236" s="287" t="s">
        <v>91</v>
      </c>
      <c r="C236" s="288">
        <v>2.9746567446594674</v>
      </c>
      <c r="D236" s="288">
        <v>3.7760010333247473</v>
      </c>
      <c r="E236" s="288">
        <v>4.768239273496472</v>
      </c>
      <c r="F236" s="288">
        <v>2.4197310604210012</v>
      </c>
      <c r="G236" s="288">
        <v>1.9251524620005029</v>
      </c>
      <c r="H236" s="288">
        <v>-11.898389469619328</v>
      </c>
      <c r="I236" s="288">
        <v>2.9817853321344905</v>
      </c>
      <c r="J236" s="288">
        <v>5.390609272808633</v>
      </c>
      <c r="K236" s="288">
        <v>0.75096436147229939</v>
      </c>
      <c r="L236" s="288">
        <v>2.9142532374119137</v>
      </c>
      <c r="M236" s="288">
        <v>4.9970202199949263</v>
      </c>
      <c r="N236" s="288">
        <v>-19.637409567596556</v>
      </c>
    </row>
    <row r="237" spans="1:14" ht="15" customHeight="1">
      <c r="A237" s="287"/>
      <c r="B237" s="287" t="s">
        <v>92</v>
      </c>
      <c r="C237" s="288">
        <v>1.5443792912170942</v>
      </c>
      <c r="D237" s="288">
        <v>7.1593105940265733</v>
      </c>
      <c r="E237" s="288">
        <v>21.176722624409745</v>
      </c>
      <c r="F237" s="288">
        <v>2.7933964181027457</v>
      </c>
      <c r="G237" s="288">
        <v>6.7864672504927226</v>
      </c>
      <c r="H237" s="288">
        <v>-27.95368137135365</v>
      </c>
      <c r="I237" s="288">
        <v>2.8296858461171852</v>
      </c>
      <c r="J237" s="288">
        <v>5.5277917448928768</v>
      </c>
      <c r="K237" s="288">
        <v>1.1050903008266846</v>
      </c>
      <c r="L237" s="288">
        <v>2.9008610821974612</v>
      </c>
      <c r="M237" s="288">
        <v>5.3514544061180871</v>
      </c>
      <c r="N237" s="288">
        <v>-21.622975399899254</v>
      </c>
    </row>
    <row r="238" spans="1:14" ht="15" customHeight="1">
      <c r="A238" s="287"/>
      <c r="B238" s="287" t="s">
        <v>93</v>
      </c>
      <c r="C238" s="288">
        <v>4.8492289406799634</v>
      </c>
      <c r="D238" s="288">
        <v>-2.7544995314526641</v>
      </c>
      <c r="E238" s="288">
        <v>81.383813237838623</v>
      </c>
      <c r="F238" s="288">
        <v>6.6961702840356505</v>
      </c>
      <c r="G238" s="288">
        <v>4.8213770888377878</v>
      </c>
      <c r="H238" s="288">
        <v>-2.8434955516672593</v>
      </c>
      <c r="I238" s="288">
        <v>3.0024271606684292</v>
      </c>
      <c r="J238" s="288">
        <v>5.0833253868681592</v>
      </c>
      <c r="K238" s="288">
        <v>3.6250274969857736</v>
      </c>
      <c r="L238" s="288">
        <v>3.2419431690771856</v>
      </c>
      <c r="M238" s="288">
        <v>5.2578136453659505</v>
      </c>
      <c r="N238" s="288">
        <v>-18.525820618504348</v>
      </c>
    </row>
    <row r="239" spans="1:14" ht="15" customHeight="1">
      <c r="A239" s="287"/>
      <c r="B239" s="287" t="s">
        <v>94</v>
      </c>
      <c r="C239" s="288">
        <v>6.5703603105762411</v>
      </c>
      <c r="D239" s="288">
        <v>9.6593299148634664</v>
      </c>
      <c r="E239" s="288">
        <v>29.403535774541851</v>
      </c>
      <c r="F239" s="288">
        <v>2.0290949037070272</v>
      </c>
      <c r="G239" s="288">
        <v>2.6323970374272463</v>
      </c>
      <c r="H239" s="288">
        <v>-7.9230093715884191</v>
      </c>
      <c r="I239" s="288">
        <v>3.8859742118898817</v>
      </c>
      <c r="J239" s="288">
        <v>6.5479862613158861</v>
      </c>
      <c r="K239" s="288">
        <v>6.4097028269818681</v>
      </c>
      <c r="L239" s="288">
        <v>2.9749359620250595</v>
      </c>
      <c r="M239" s="288">
        <v>4.8598340976032457</v>
      </c>
      <c r="N239" s="288">
        <v>-16.605041269137182</v>
      </c>
    </row>
    <row r="240" spans="1:14" ht="15" customHeight="1">
      <c r="A240" s="290"/>
      <c r="B240" s="287" t="s">
        <v>95</v>
      </c>
      <c r="C240" s="288">
        <v>3.3471543701446982</v>
      </c>
      <c r="D240" s="288">
        <v>0.55378464415406192</v>
      </c>
      <c r="E240" s="288">
        <v>3.3951105653865277</v>
      </c>
      <c r="F240" s="288">
        <v>4.45118636387694</v>
      </c>
      <c r="G240" s="288">
        <v>9.1337026062293525</v>
      </c>
      <c r="H240" s="288">
        <v>-1.6734543598952296</v>
      </c>
      <c r="I240" s="288">
        <v>3.8188379428806472</v>
      </c>
      <c r="J240" s="288">
        <v>6.0507400106279716</v>
      </c>
      <c r="K240" s="288">
        <v>5.0602597414854609</v>
      </c>
      <c r="L240" s="288">
        <v>3.1091718510638597</v>
      </c>
      <c r="M240" s="288">
        <v>5.4504103643018667</v>
      </c>
      <c r="N240" s="288">
        <v>-15.249926356469858</v>
      </c>
    </row>
    <row r="241" spans="1:14" ht="15" customHeight="1">
      <c r="A241" s="290"/>
      <c r="B241" s="287" t="s">
        <v>96</v>
      </c>
      <c r="C241" s="288">
        <v>-1.9821615252051505</v>
      </c>
      <c r="D241" s="288">
        <v>4.7619875135459182</v>
      </c>
      <c r="E241" s="288" t="s">
        <v>262</v>
      </c>
      <c r="F241" s="288">
        <v>-7.773206013825634</v>
      </c>
      <c r="G241" s="288">
        <v>1.1332805990668322</v>
      </c>
      <c r="H241" s="288">
        <v>-8.8065025740392855</v>
      </c>
      <c r="I241" s="288">
        <v>3.4408815051932109</v>
      </c>
      <c r="J241" s="288">
        <v>5.9688690045782407</v>
      </c>
      <c r="K241" s="288">
        <v>4.4489145888073063</v>
      </c>
      <c r="L241" s="288">
        <v>2.4837502015203254</v>
      </c>
      <c r="M241" s="288">
        <v>4.9324781282210486</v>
      </c>
      <c r="N241" s="288">
        <v>-14.452262284783778</v>
      </c>
    </row>
    <row r="242" spans="1:14" ht="15" customHeight="1">
      <c r="A242" s="290"/>
      <c r="B242" s="287" t="s">
        <v>97</v>
      </c>
      <c r="C242" s="288">
        <v>-4.7085388651401372</v>
      </c>
      <c r="D242" s="288">
        <v>5.0128452044830354</v>
      </c>
      <c r="E242" s="288">
        <v>-16.804130719089592</v>
      </c>
      <c r="F242" s="288">
        <v>1.0553537312918357</v>
      </c>
      <c r="G242" s="288">
        <v>1.1799248941440983</v>
      </c>
      <c r="H242" s="288">
        <v>-3.0083311814512292</v>
      </c>
      <c r="I242" s="288">
        <v>1.8906395651101071</v>
      </c>
      <c r="J242" s="288">
        <v>5.8420353788837573</v>
      </c>
      <c r="K242" s="288">
        <v>-6.4039574835832127</v>
      </c>
      <c r="L242" s="288">
        <v>2.2559794940713283</v>
      </c>
      <c r="M242" s="288">
        <v>4.5356755827965696</v>
      </c>
      <c r="N242" s="288">
        <v>-13.464337367123736</v>
      </c>
    </row>
    <row r="243" spans="1:14" ht="15" customHeight="1">
      <c r="A243" s="290"/>
      <c r="B243" s="287" t="s">
        <v>98</v>
      </c>
      <c r="C243" s="288">
        <v>5.1724530259065293</v>
      </c>
      <c r="D243" s="288">
        <v>9.7894191119840261</v>
      </c>
      <c r="E243" s="288">
        <v>-13.819620084719816</v>
      </c>
      <c r="F243" s="288">
        <v>5.1050577599783287</v>
      </c>
      <c r="G243" s="288">
        <v>0.99997173016018315</v>
      </c>
      <c r="H243" s="288">
        <v>-14.815130067629426</v>
      </c>
      <c r="I243" s="288">
        <v>2.1158441598510014</v>
      </c>
      <c r="J243" s="288">
        <v>6.2236872614311132</v>
      </c>
      <c r="K243" s="288">
        <v>-6.9967581972743762</v>
      </c>
      <c r="L243" s="288">
        <v>2.4257164878512101</v>
      </c>
      <c r="M243" s="288">
        <v>4.191614068338092</v>
      </c>
      <c r="N243" s="288">
        <v>-13.607492567347009</v>
      </c>
    </row>
    <row r="244" spans="1:14" ht="15" customHeight="1">
      <c r="A244" s="290"/>
      <c r="B244" s="287" t="s">
        <v>99</v>
      </c>
      <c r="C244" s="288">
        <v>-3.5777587619406552</v>
      </c>
      <c r="D244" s="288">
        <v>5.0072234415954657</v>
      </c>
      <c r="E244" s="288" t="s">
        <v>262</v>
      </c>
      <c r="F244" s="288">
        <v>-2.4407790112872791</v>
      </c>
      <c r="G244" s="288">
        <v>1.5270256533750581</v>
      </c>
      <c r="H244" s="288">
        <v>22.734778527181032</v>
      </c>
      <c r="I244" s="288">
        <v>1.8515216961595402</v>
      </c>
      <c r="J244" s="288">
        <v>6.1464326761179962</v>
      </c>
      <c r="K244" s="288">
        <v>-10.0448907017271</v>
      </c>
      <c r="L244" s="288">
        <v>2.2649987399367069</v>
      </c>
      <c r="M244" s="288">
        <v>3.983298582690372</v>
      </c>
      <c r="N244" s="288">
        <v>-10.995640988821362</v>
      </c>
    </row>
    <row r="245" spans="1:14" ht="15" customHeight="1">
      <c r="A245" s="284">
        <v>2020</v>
      </c>
      <c r="B245" s="285" t="s">
        <v>88</v>
      </c>
      <c r="C245" s="286">
        <v>2.7469941219917811</v>
      </c>
      <c r="D245" s="286">
        <v>4.8061486097287265</v>
      </c>
      <c r="E245" s="286">
        <v>-2.705552055680005</v>
      </c>
      <c r="F245" s="286">
        <v>-2.7578744601029959</v>
      </c>
      <c r="G245" s="286">
        <v>4.7352509047991393</v>
      </c>
      <c r="H245" s="286">
        <v>7.8263780008202914</v>
      </c>
      <c r="I245" s="286">
        <v>2.7469941219917811</v>
      </c>
      <c r="J245" s="286">
        <v>4.8061486097287265</v>
      </c>
      <c r="K245" s="286">
        <v>-2.705552055680005</v>
      </c>
      <c r="L245" s="286">
        <v>-2.7578744601029959</v>
      </c>
      <c r="M245" s="286">
        <v>4.7352509047991393</v>
      </c>
      <c r="N245" s="286">
        <v>7.8263780008202914</v>
      </c>
    </row>
    <row r="246" spans="1:14" ht="15" customHeight="1">
      <c r="A246" s="287"/>
      <c r="B246" s="287" t="s">
        <v>89</v>
      </c>
      <c r="C246" s="288">
        <v>6.0974986402591114</v>
      </c>
      <c r="D246" s="288">
        <v>5.7499895142093793</v>
      </c>
      <c r="E246" s="288">
        <v>7.9886289053438047</v>
      </c>
      <c r="F246" s="288">
        <v>3.9640194040723657</v>
      </c>
      <c r="G246" s="288">
        <v>4.1857623266049702</v>
      </c>
      <c r="H246" s="288">
        <v>51.432324526494931</v>
      </c>
      <c r="I246" s="288">
        <v>4.3920923860907974</v>
      </c>
      <c r="J246" s="288">
        <v>5.0960698977439831</v>
      </c>
      <c r="K246" s="288">
        <v>11.277541855500269</v>
      </c>
      <c r="L246" s="288">
        <v>1.8717355237691871</v>
      </c>
      <c r="M246" s="288">
        <v>4.4529963757574071</v>
      </c>
      <c r="N246" s="288">
        <v>27.835268879461683</v>
      </c>
    </row>
    <row r="247" spans="1:14" ht="15" customHeight="1">
      <c r="A247" s="287"/>
      <c r="B247" s="287" t="s">
        <v>90</v>
      </c>
      <c r="C247" s="288">
        <v>4.7539238902097498</v>
      </c>
      <c r="D247" s="288">
        <v>2.9937238098017245</v>
      </c>
      <c r="E247" s="288">
        <v>-87.790678622993482</v>
      </c>
      <c r="F247" s="288">
        <v>15.69431536766143</v>
      </c>
      <c r="G247" s="288">
        <v>6.2680203219040029</v>
      </c>
      <c r="H247" s="288">
        <v>-13.07119164525273</v>
      </c>
      <c r="I247" s="288">
        <v>4.4622441787632185</v>
      </c>
      <c r="J247" s="288">
        <v>4.6284408111280877</v>
      </c>
      <c r="K247" s="288" t="s">
        <v>262</v>
      </c>
      <c r="L247" s="288">
        <v>3.6376882882878019</v>
      </c>
      <c r="M247" s="288">
        <v>5.0257898162123649</v>
      </c>
      <c r="N247" s="288">
        <v>15.394203174039077</v>
      </c>
    </row>
    <row r="248" spans="1:14" ht="15" customHeight="1">
      <c r="A248" s="287"/>
      <c r="B248" s="287" t="s">
        <v>91</v>
      </c>
      <c r="C248" s="288">
        <v>-6.8432403499740166</v>
      </c>
      <c r="D248" s="288">
        <v>1.421511914035521</v>
      </c>
      <c r="E248" s="288">
        <v>-21.808830675075257</v>
      </c>
      <c r="F248" s="288">
        <v>-5.2494932186287482</v>
      </c>
      <c r="G248" s="288">
        <v>-7.8092586365488685</v>
      </c>
      <c r="H248" s="288">
        <v>-11.825747223363935</v>
      </c>
      <c r="I248" s="288">
        <v>0.47401779405091915</v>
      </c>
      <c r="J248" s="288">
        <v>3.6581119743311707</v>
      </c>
      <c r="K248" s="288">
        <v>-23.824781304941723</v>
      </c>
      <c r="L248" s="288">
        <v>0.95957488051766382</v>
      </c>
      <c r="M248" s="288">
        <v>1.491333442514992</v>
      </c>
      <c r="N248" s="288">
        <v>8.4789139740075985</v>
      </c>
    </row>
    <row r="249" spans="1:14" ht="15" customHeight="1">
      <c r="A249" s="287"/>
      <c r="B249" s="287" t="s">
        <v>92</v>
      </c>
      <c r="C249" s="288">
        <v>-19.65117196420054</v>
      </c>
      <c r="D249" s="288">
        <v>-11.213737883519961</v>
      </c>
      <c r="E249" s="288">
        <v>-25.919366265108817</v>
      </c>
      <c r="F249" s="288">
        <v>-22.179762926877622</v>
      </c>
      <c r="G249" s="288">
        <v>-42.1978642434823</v>
      </c>
      <c r="H249" s="288">
        <v>16.551582380387938</v>
      </c>
      <c r="I249" s="288">
        <v>-1.6689884587128827</v>
      </c>
      <c r="J249" s="288">
        <v>2.486801094081903</v>
      </c>
      <c r="K249" s="288">
        <v>-23.86830479502202</v>
      </c>
      <c r="L249" s="288">
        <v>-1.7244004246786102</v>
      </c>
      <c r="M249" s="288">
        <v>-7.2800179502895164</v>
      </c>
      <c r="N249" s="288">
        <v>10.250636681772194</v>
      </c>
    </row>
    <row r="250" spans="1:14" ht="15" customHeight="1">
      <c r="A250" s="287"/>
      <c r="B250" s="287" t="s">
        <v>93</v>
      </c>
      <c r="C250" s="288">
        <v>-39.285140529075264</v>
      </c>
      <c r="D250" s="288">
        <v>-19.713883227955773</v>
      </c>
      <c r="E250" s="288">
        <v>-77.418538816387823</v>
      </c>
      <c r="F250" s="288">
        <v>-51.598322025679842</v>
      </c>
      <c r="G250" s="288">
        <v>-33.179683416495763</v>
      </c>
      <c r="H250" s="288">
        <v>-31.807404750263508</v>
      </c>
      <c r="I250" s="288">
        <v>-4.8989067101812855</v>
      </c>
      <c r="J250" s="288">
        <v>1.3842709707365659</v>
      </c>
      <c r="K250" s="288">
        <v>-26.810588212066396</v>
      </c>
      <c r="L250" s="288">
        <v>-6.2038897849045211</v>
      </c>
      <c r="M250" s="288">
        <v>-11.836350177457412</v>
      </c>
      <c r="N250" s="288">
        <v>1.9792127216983524</v>
      </c>
    </row>
    <row r="251" spans="1:14" ht="15" customHeight="1">
      <c r="A251" s="287"/>
      <c r="B251" s="287" t="s">
        <v>94</v>
      </c>
      <c r="C251" s="288">
        <v>-18.189768834184079</v>
      </c>
      <c r="D251" s="288">
        <v>-5.8658632907554749</v>
      </c>
      <c r="E251" s="288">
        <v>-48.889015636609528</v>
      </c>
      <c r="F251" s="288">
        <v>-35.649002865441844</v>
      </c>
      <c r="G251" s="288">
        <v>-13.606145379712103</v>
      </c>
      <c r="H251" s="288">
        <v>-49.065882034632033</v>
      </c>
      <c r="I251" s="288">
        <v>-8.2592092874309913</v>
      </c>
      <c r="J251" s="288">
        <v>-1.0040738325213763</v>
      </c>
      <c r="K251" s="288">
        <v>-29.71093437007649</v>
      </c>
      <c r="L251" s="288">
        <v>-12.507909345326008</v>
      </c>
      <c r="M251" s="288">
        <v>-12.098929694605634</v>
      </c>
      <c r="N251" s="288">
        <v>-8.2306941505039664</v>
      </c>
    </row>
    <row r="252" spans="1:14" ht="15" customHeight="1">
      <c r="A252" s="290"/>
      <c r="B252" s="287" t="s">
        <v>95</v>
      </c>
      <c r="C252" s="288">
        <v>-4.6224816736664751</v>
      </c>
      <c r="D252" s="288">
        <v>-0.67704962603775942</v>
      </c>
      <c r="E252" s="288">
        <v>1.8169257352512906</v>
      </c>
      <c r="F252" s="288">
        <v>-12.867861550564562</v>
      </c>
      <c r="G252" s="288">
        <v>-11.964251257690824</v>
      </c>
      <c r="H252" s="288">
        <v>-6.584222238645415</v>
      </c>
      <c r="I252" s="288">
        <v>-7.8028893595875708</v>
      </c>
      <c r="J252" s="288">
        <v>-0.97835182925292397</v>
      </c>
      <c r="K252" s="288">
        <v>-15.821581265988252</v>
      </c>
      <c r="L252" s="288">
        <v>-12.542359714421011</v>
      </c>
      <c r="M252" s="288">
        <v>-12.079669373791917</v>
      </c>
      <c r="N252" s="288">
        <v>-8.0573316421242485</v>
      </c>
    </row>
    <row r="253" spans="1:14" ht="15" customHeight="1">
      <c r="A253" s="290"/>
      <c r="B253" s="287" t="s">
        <v>96</v>
      </c>
      <c r="C253" s="288">
        <v>-7.4435468474245843</v>
      </c>
      <c r="D253" s="288">
        <v>0.48694023885889681</v>
      </c>
      <c r="E253" s="288">
        <v>13.37503947937102</v>
      </c>
      <c r="F253" s="288">
        <v>-9.5636239740434359</v>
      </c>
      <c r="G253" s="288">
        <v>-15.628627628303082</v>
      </c>
      <c r="H253" s="288">
        <v>-18.085195927884889</v>
      </c>
      <c r="I253" s="288">
        <v>-7.7789729990937193</v>
      </c>
      <c r="J253" s="288">
        <v>-0.88632589481137058</v>
      </c>
      <c r="K253" s="288">
        <v>-15.83039555616646</v>
      </c>
      <c r="L253" s="288">
        <v>-12.347486148420202</v>
      </c>
      <c r="M253" s="288">
        <v>-12.490027365825892</v>
      </c>
      <c r="N253" s="288">
        <v>-9.3806584964413808</v>
      </c>
    </row>
    <row r="254" spans="1:14" ht="15" customHeight="1">
      <c r="A254" s="290"/>
      <c r="B254" s="287" t="s">
        <v>97</v>
      </c>
      <c r="C254" s="288">
        <v>-14.473215758554945</v>
      </c>
      <c r="D254" s="288">
        <v>-0.29889105606974703</v>
      </c>
      <c r="E254" s="288">
        <v>-34.172656024639743</v>
      </c>
      <c r="F254" s="288">
        <v>-7.4661205345725161</v>
      </c>
      <c r="G254" s="288">
        <v>-6.3169816785971529</v>
      </c>
      <c r="H254" s="288">
        <v>-22.904905031142501</v>
      </c>
      <c r="I254" s="288">
        <v>-8.964593794370348</v>
      </c>
      <c r="J254" s="288">
        <v>-0.80900272572131371</v>
      </c>
      <c r="K254" s="288">
        <v>-24.156093486445776</v>
      </c>
      <c r="L254" s="288">
        <v>-11.590011857230994</v>
      </c>
      <c r="M254" s="288">
        <v>-11.85823132341627</v>
      </c>
      <c r="N254" s="288">
        <v>-10.689240948255406</v>
      </c>
    </row>
    <row r="255" spans="1:14" ht="15" customHeight="1">
      <c r="A255" s="290"/>
      <c r="B255" s="287" t="s">
        <v>98</v>
      </c>
      <c r="C255" s="288">
        <v>0.86048120902354652</v>
      </c>
      <c r="D255" s="288">
        <v>3.0547572691750995</v>
      </c>
      <c r="E255" s="288">
        <v>19.457585127656358</v>
      </c>
      <c r="F255" s="288">
        <v>-1.5657120254572918</v>
      </c>
      <c r="G255" s="288">
        <v>-11.103955839633386</v>
      </c>
      <c r="H255" s="288">
        <v>-2.7110180056769528</v>
      </c>
      <c r="I255" s="288">
        <v>-8.2842295861550888</v>
      </c>
      <c r="J255" s="288">
        <v>-0.42289604342992748</v>
      </c>
      <c r="K255" s="288">
        <v>-24.324643884000569</v>
      </c>
      <c r="L255" s="288">
        <v>-11.020414254419249</v>
      </c>
      <c r="M255" s="288">
        <v>-11.787080702685195</v>
      </c>
      <c r="N255" s="288">
        <v>-9.8555386912339404</v>
      </c>
    </row>
    <row r="256" spans="1:14" ht="15" customHeight="1">
      <c r="A256" s="290"/>
      <c r="B256" s="287" t="s">
        <v>99</v>
      </c>
      <c r="C256" s="288">
        <v>-0.6913783788377903</v>
      </c>
      <c r="D256" s="288">
        <v>5.0715717156503937</v>
      </c>
      <c r="E256" s="288">
        <v>53.269720473161911</v>
      </c>
      <c r="F256" s="288">
        <v>-17.941626751603497</v>
      </c>
      <c r="G256" s="288">
        <v>-10.367131186839588</v>
      </c>
      <c r="H256" s="288">
        <v>-20.168004158715476</v>
      </c>
      <c r="I256" s="288">
        <v>-7.9268223333479462</v>
      </c>
      <c r="J256" s="288">
        <v>-7.7701064198616568E-2</v>
      </c>
      <c r="K256" s="288">
        <v>-23.051806509429095</v>
      </c>
      <c r="L256" s="288">
        <v>-11.30296428698907</v>
      </c>
      <c r="M256" s="288">
        <v>-11.678692404546108</v>
      </c>
      <c r="N256" s="288">
        <v>-10.877549064947258</v>
      </c>
    </row>
    <row r="257" spans="1:14" ht="15" customHeight="1">
      <c r="A257" s="284">
        <v>2021</v>
      </c>
      <c r="B257" s="285" t="s">
        <v>88</v>
      </c>
      <c r="C257" s="286">
        <v>1.3306200280511085</v>
      </c>
      <c r="D257" s="286">
        <v>1.8073538585212139</v>
      </c>
      <c r="E257" s="286">
        <v>51.823619368672546</v>
      </c>
      <c r="F257" s="286">
        <v>2.2240572472665368</v>
      </c>
      <c r="G257" s="286">
        <v>-8.3073369233261065</v>
      </c>
      <c r="H257" s="286">
        <v>-12.30675873720206</v>
      </c>
      <c r="I257" s="286">
        <v>1.3306200280511085</v>
      </c>
      <c r="J257" s="286">
        <v>1.8073538585212139</v>
      </c>
      <c r="K257" s="286">
        <v>51.823619368672546</v>
      </c>
      <c r="L257" s="286">
        <v>2.2240572472665368</v>
      </c>
      <c r="M257" s="286">
        <v>-8.3073369233261065</v>
      </c>
      <c r="N257" s="286">
        <v>-12.30675873720206</v>
      </c>
    </row>
    <row r="258" spans="1:14" ht="15" customHeight="1">
      <c r="A258" s="287"/>
      <c r="B258" s="287" t="s">
        <v>89</v>
      </c>
      <c r="C258" s="288">
        <v>-4.523372297527362</v>
      </c>
      <c r="D258" s="288">
        <v>0.70587167448673827</v>
      </c>
      <c r="E258" s="288">
        <v>29.641657580191101</v>
      </c>
      <c r="F258" s="288">
        <v>-4.133762873045133</v>
      </c>
      <c r="G258" s="288">
        <v>-24.373596829927966</v>
      </c>
      <c r="H258" s="288">
        <v>-8.9034364290536789</v>
      </c>
      <c r="I258" s="288">
        <v>-1.5906474749858144</v>
      </c>
      <c r="J258" s="288">
        <v>1.4669044024326963</v>
      </c>
      <c r="K258" s="288" t="s">
        <v>262</v>
      </c>
      <c r="L258" s="288">
        <v>-2.2447368846021556</v>
      </c>
      <c r="M258" s="288">
        <v>-16.538941674068734</v>
      </c>
      <c r="N258" s="288">
        <v>-10.456858628042125</v>
      </c>
    </row>
    <row r="259" spans="1:14" ht="15" customHeight="1">
      <c r="A259" s="287"/>
      <c r="B259" s="287" t="s">
        <v>90</v>
      </c>
      <c r="C259" s="288">
        <v>-7.7417678137166828</v>
      </c>
      <c r="D259" s="288">
        <v>1.1889855663550251</v>
      </c>
      <c r="E259" s="288">
        <v>16.112222682108257</v>
      </c>
      <c r="F259" s="288">
        <v>-24.683139804997413</v>
      </c>
      <c r="G259" s="288">
        <v>-11.50200720874853</v>
      </c>
      <c r="H259" s="288">
        <v>9.0876054307200267</v>
      </c>
      <c r="I259" s="288">
        <v>-2.7865549149994751</v>
      </c>
      <c r="J259" s="288">
        <v>1.4060522008965877</v>
      </c>
      <c r="K259" s="288" t="s">
        <v>262</v>
      </c>
      <c r="L259" s="288">
        <v>-5.4449302553369643</v>
      </c>
      <c r="M259" s="288">
        <v>-14.930561870752115</v>
      </c>
      <c r="N259" s="288">
        <v>-5.9790123550737446</v>
      </c>
    </row>
    <row r="260" spans="1:14" ht="15" customHeight="1">
      <c r="A260" s="287"/>
      <c r="B260" s="287" t="s">
        <v>91</v>
      </c>
      <c r="C260" s="288">
        <v>12.503392469190997</v>
      </c>
      <c r="D260" s="288">
        <v>5.1103092424341963</v>
      </c>
      <c r="E260" s="288">
        <v>54.609198217811979</v>
      </c>
      <c r="F260" s="288">
        <v>-1.7150122136328538</v>
      </c>
      <c r="G260" s="288">
        <v>8.8514514902899375</v>
      </c>
      <c r="H260" s="288">
        <v>11.978794878983916</v>
      </c>
      <c r="I260" s="288">
        <v>2.2144492653091628</v>
      </c>
      <c r="J260" s="288">
        <v>2.5026755999259684</v>
      </c>
      <c r="K260" s="288">
        <v>62.606906582139402</v>
      </c>
      <c r="L260" s="288">
        <v>-4.3900619805360996</v>
      </c>
      <c r="M260" s="288">
        <v>-8.981724714939828</v>
      </c>
      <c r="N260" s="288">
        <v>-2.2707301046051112</v>
      </c>
    </row>
    <row r="261" spans="1:14" ht="15" customHeight="1">
      <c r="A261" s="287"/>
      <c r="B261" s="287" t="s">
        <v>92</v>
      </c>
      <c r="C261" s="288">
        <v>28.221896350610447</v>
      </c>
      <c r="D261" s="288">
        <v>19.352013534649455</v>
      </c>
      <c r="E261" s="288">
        <v>-51.089885830187733</v>
      </c>
      <c r="F261" s="288">
        <v>37.544061761427308</v>
      </c>
      <c r="G261" s="288">
        <v>46.22603091589091</v>
      </c>
      <c r="H261" s="288">
        <v>8.7919336046116534</v>
      </c>
      <c r="I261" s="288">
        <v>4.4773745629025132</v>
      </c>
      <c r="J261" s="288">
        <v>3.6523314690187143</v>
      </c>
      <c r="K261" s="288">
        <v>60.308043351329822</v>
      </c>
      <c r="L261" s="288">
        <v>-0.53845460986292348</v>
      </c>
      <c r="M261" s="288">
        <v>-2.0719628657322362</v>
      </c>
      <c r="N261" s="288">
        <v>0.29597170237740295</v>
      </c>
    </row>
    <row r="262" spans="1:14" ht="15" customHeight="1">
      <c r="A262" s="287"/>
      <c r="B262" s="287" t="s">
        <v>93</v>
      </c>
      <c r="C262" s="288">
        <v>61.270215818548998</v>
      </c>
      <c r="D262" s="288">
        <v>54.812745415917682</v>
      </c>
      <c r="E262" s="288">
        <v>62.203527557900998</v>
      </c>
      <c r="F262" s="288">
        <v>85.921691835238718</v>
      </c>
      <c r="G262" s="288">
        <v>37.289341559263519</v>
      </c>
      <c r="H262" s="288">
        <v>62.133129165916046</v>
      </c>
      <c r="I262" s="288">
        <v>7.590669345604101</v>
      </c>
      <c r="J262" s="288">
        <v>5.6643316826474353</v>
      </c>
      <c r="K262" s="288">
        <v>60.34017604137555</v>
      </c>
      <c r="L262" s="288">
        <v>3.468796404707454</v>
      </c>
      <c r="M262" s="288">
        <v>3.1762287033117462</v>
      </c>
      <c r="N262" s="288">
        <v>8.4281392687167536</v>
      </c>
    </row>
    <row r="263" spans="1:14" ht="15" customHeight="1">
      <c r="A263" s="287"/>
      <c r="B263" s="287" t="s">
        <v>94</v>
      </c>
      <c r="C263" s="288">
        <v>21.797959577817</v>
      </c>
      <c r="D263" s="288">
        <v>10.664910437635038</v>
      </c>
      <c r="E263" s="288">
        <v>24.508248942168116</v>
      </c>
      <c r="F263" s="288">
        <v>52.184118541231427</v>
      </c>
      <c r="G263" s="288">
        <v>12.043065992964342</v>
      </c>
      <c r="H263" s="288">
        <v>46.944358545798103</v>
      </c>
      <c r="I263" s="288">
        <v>10.79385142136902</v>
      </c>
      <c r="J263" s="288">
        <v>7.2307258922963209</v>
      </c>
      <c r="K263" s="288">
        <v>56.917401141917793</v>
      </c>
      <c r="L263" s="288">
        <v>11.139874264409922</v>
      </c>
      <c r="M263" s="288">
        <v>4.469218980273399</v>
      </c>
      <c r="N263" s="288">
        <v>12.703992209090883</v>
      </c>
    </row>
    <row r="264" spans="1:14" ht="15" customHeight="1">
      <c r="A264" s="290"/>
      <c r="B264" s="287" t="s">
        <v>95</v>
      </c>
      <c r="C264" s="288">
        <v>6.361425998633548</v>
      </c>
      <c r="D264" s="288">
        <v>11.368352766765433</v>
      </c>
      <c r="E264" s="288">
        <v>-7.2116990189759198</v>
      </c>
      <c r="F264" s="288">
        <v>17.967622015169102</v>
      </c>
      <c r="G264" s="288">
        <v>0.46666185628323537</v>
      </c>
      <c r="H264" s="288">
        <v>40.03013340271869</v>
      </c>
      <c r="I264" s="288">
        <v>10.218505809183522</v>
      </c>
      <c r="J264" s="288">
        <v>7.5571601079173893</v>
      </c>
      <c r="K264" s="288">
        <v>22.746070820210104</v>
      </c>
      <c r="L264" s="288">
        <v>11.790913445123572</v>
      </c>
      <c r="M264" s="288">
        <v>3.8960631190529926</v>
      </c>
      <c r="N264" s="288">
        <v>15.627352168612473</v>
      </c>
    </row>
    <row r="265" spans="1:14" ht="15" customHeight="1">
      <c r="A265" s="290"/>
      <c r="B265" s="287" t="s">
        <v>96</v>
      </c>
      <c r="C265" s="288">
        <v>17.354585949952494</v>
      </c>
      <c r="D265" s="288">
        <v>11.614514112572067</v>
      </c>
      <c r="E265" s="288" t="s">
        <v>262</v>
      </c>
      <c r="F265" s="288">
        <v>11.731899703104402</v>
      </c>
      <c r="G265" s="288">
        <v>20.302543300238696</v>
      </c>
      <c r="H265" s="288">
        <v>56.323786301263347</v>
      </c>
      <c r="I265" s="288">
        <v>10.695181450320201</v>
      </c>
      <c r="J265" s="288">
        <v>7.8155080377214583</v>
      </c>
      <c r="K265" s="288">
        <v>23.554278750069159</v>
      </c>
      <c r="L265" s="288">
        <v>11.786930054609988</v>
      </c>
      <c r="M265" s="288">
        <v>5.7250685233074021</v>
      </c>
      <c r="N265" s="288">
        <v>20.481986584189379</v>
      </c>
    </row>
    <row r="266" spans="1:14" ht="15" customHeight="1">
      <c r="A266" s="290"/>
      <c r="B266" s="287" t="s">
        <v>97</v>
      </c>
      <c r="C266" s="288">
        <v>27.538300179286512</v>
      </c>
      <c r="D266" s="288">
        <v>10.776129763579128</v>
      </c>
      <c r="E266" s="288">
        <v>71.610671712570223</v>
      </c>
      <c r="F266" s="288">
        <v>13.547722680684293</v>
      </c>
      <c r="G266" s="288">
        <v>7.0625674863317913</v>
      </c>
      <c r="H266" s="288">
        <v>41.903113998178817</v>
      </c>
      <c r="I266" s="288">
        <v>13.497765650294244</v>
      </c>
      <c r="J266" s="288">
        <v>8.2072143766645489</v>
      </c>
      <c r="K266" s="288">
        <v>42.486632122272866</v>
      </c>
      <c r="L266" s="288">
        <v>12.07290909769454</v>
      </c>
      <c r="M266" s="288">
        <v>5.8705641627479936</v>
      </c>
      <c r="N266" s="288">
        <v>22.271163576782964</v>
      </c>
    </row>
    <row r="267" spans="1:14" ht="15" customHeight="1">
      <c r="A267" s="290"/>
      <c r="B267" s="287" t="s">
        <v>98</v>
      </c>
      <c r="C267" s="288">
        <v>6.7502130840983527</v>
      </c>
      <c r="D267" s="288">
        <v>-0.14807479588305236</v>
      </c>
      <c r="E267" s="288">
        <v>39.971994158834619</v>
      </c>
      <c r="F267" s="288">
        <v>21.262304685426535</v>
      </c>
      <c r="G267" s="288">
        <v>-7.9150865072729131</v>
      </c>
      <c r="H267" s="288">
        <v>1.9446103136121526</v>
      </c>
      <c r="I267" s="288">
        <v>12.983924503543665</v>
      </c>
      <c r="J267" s="288">
        <v>7.3431079900584511</v>
      </c>
      <c r="K267" s="288">
        <v>45.634931664314166</v>
      </c>
      <c r="L267" s="288">
        <v>12.650548855137661</v>
      </c>
      <c r="M267" s="288">
        <v>4.5600967943483406</v>
      </c>
      <c r="N267" s="288">
        <v>19.978748992031747</v>
      </c>
    </row>
    <row r="268" spans="1:14" ht="15" customHeight="1">
      <c r="A268" s="290"/>
      <c r="B268" s="287" t="s">
        <v>99</v>
      </c>
      <c r="C268" s="288">
        <v>36.277686425501834</v>
      </c>
      <c r="D268" s="288">
        <v>8.0727776618306546</v>
      </c>
      <c r="E268" s="288" t="s">
        <v>262</v>
      </c>
      <c r="F268" s="288">
        <v>16.969574840534829</v>
      </c>
      <c r="G268" s="288">
        <v>5.935211070029359</v>
      </c>
      <c r="H268" s="288">
        <v>33.046783084041991</v>
      </c>
      <c r="I268" s="288">
        <v>14.166562767651032</v>
      </c>
      <c r="J268" s="288">
        <v>7.3913125306081264</v>
      </c>
      <c r="K268" s="288">
        <v>60.737880619549287</v>
      </c>
      <c r="L268" s="288">
        <v>12.813670950967643</v>
      </c>
      <c r="M268" s="288">
        <v>4.6666214381357829</v>
      </c>
      <c r="N268" s="288">
        <v>21.138842298867957</v>
      </c>
    </row>
    <row r="269" spans="1:14" ht="15" customHeight="1">
      <c r="A269" s="284">
        <v>2022</v>
      </c>
      <c r="B269" s="285" t="s">
        <v>88</v>
      </c>
      <c r="C269" s="286">
        <v>18.654641347214191</v>
      </c>
      <c r="D269" s="286">
        <v>8.4266815249567308</v>
      </c>
      <c r="E269" s="286">
        <v>9.9176218477485421</v>
      </c>
      <c r="F269" s="286">
        <v>43.930805391222947</v>
      </c>
      <c r="G269" s="286">
        <v>6.9619615505144754</v>
      </c>
      <c r="H269" s="286">
        <v>45.161571102165162</v>
      </c>
      <c r="I269" s="286">
        <v>18.654641347214191</v>
      </c>
      <c r="J269" s="286">
        <v>8.4266815249567308</v>
      </c>
      <c r="K269" s="286">
        <v>9.9176218477485421</v>
      </c>
      <c r="L269" s="286">
        <v>43.930805391222947</v>
      </c>
      <c r="M269" s="286">
        <v>6.9619615505144754</v>
      </c>
      <c r="N269" s="286">
        <v>45.161571102165162</v>
      </c>
    </row>
    <row r="270" spans="1:14" ht="15" customHeight="1">
      <c r="A270" s="287"/>
      <c r="B270" s="287" t="s">
        <v>89</v>
      </c>
      <c r="C270" s="288">
        <v>13.895591460898201</v>
      </c>
      <c r="D270" s="288">
        <v>15.352508488132186</v>
      </c>
      <c r="E270" s="288">
        <v>92.107495524701449</v>
      </c>
      <c r="F270" s="288">
        <v>13.024495498373035</v>
      </c>
      <c r="G270" s="288">
        <v>10.390936889038517</v>
      </c>
      <c r="H270" s="288">
        <v>2.3166389913033689</v>
      </c>
      <c r="I270" s="288">
        <v>16.350547667300436</v>
      </c>
      <c r="J270" s="288">
        <v>10.551281570447436</v>
      </c>
      <c r="K270" s="288">
        <v>57.507195200879814</v>
      </c>
      <c r="L270" s="288">
        <v>22.627117117698688</v>
      </c>
      <c r="M270" s="288">
        <v>8.5538903536396127</v>
      </c>
      <c r="N270" s="288">
        <v>21.468883688083995</v>
      </c>
    </row>
    <row r="271" spans="1:14" ht="15" customHeight="1">
      <c r="A271" s="287"/>
      <c r="B271" s="287" t="s">
        <v>90</v>
      </c>
      <c r="C271" s="288">
        <v>16.716164874451096</v>
      </c>
      <c r="D271" s="288">
        <v>12.551988538997369</v>
      </c>
      <c r="E271" s="288">
        <v>96.312574861699503</v>
      </c>
      <c r="F271" s="288">
        <v>21.959226174993894</v>
      </c>
      <c r="G271" s="288">
        <v>4.3420459621515572</v>
      </c>
      <c r="H271" s="288">
        <v>23.802794702888193</v>
      </c>
      <c r="I271" s="288">
        <v>16.418008044563017</v>
      </c>
      <c r="J271" s="288">
        <v>10.988412124961828</v>
      </c>
      <c r="K271" s="288" t="s">
        <v>262</v>
      </c>
      <c r="L271" s="288">
        <v>22.551242376883536</v>
      </c>
      <c r="M271" s="288">
        <v>7.1547719008589779</v>
      </c>
      <c r="N271" s="288">
        <v>22.089295856858492</v>
      </c>
    </row>
    <row r="272" spans="1:14" ht="15" customHeight="1">
      <c r="A272" s="287"/>
      <c r="B272" s="287" t="s">
        <v>91</v>
      </c>
      <c r="C272" s="288">
        <v>12.022646283496648</v>
      </c>
      <c r="D272" s="288">
        <v>16.406352429960588</v>
      </c>
      <c r="E272" s="288">
        <v>1.2003279347015905</v>
      </c>
      <c r="F272" s="288">
        <v>14.44414933471</v>
      </c>
      <c r="G272" s="288">
        <v>6.2913727154178885</v>
      </c>
      <c r="H272" s="288">
        <v>49.325202377843659</v>
      </c>
      <c r="I272" s="288">
        <v>14.835670336312976</v>
      </c>
      <c r="J272" s="288">
        <v>12.633165252451024</v>
      </c>
      <c r="K272" s="288">
        <v>6.6508380765171919</v>
      </c>
      <c r="L272" s="288">
        <v>20.194303876084888</v>
      </c>
      <c r="M272" s="288">
        <v>6.8964859884348986</v>
      </c>
      <c r="N272" s="288">
        <v>28.533546847247294</v>
      </c>
    </row>
    <row r="273" spans="1:14" ht="15" customHeight="1">
      <c r="A273" s="287"/>
      <c r="B273" s="287" t="s">
        <v>92</v>
      </c>
      <c r="C273" s="288">
        <v>25.071868646197014</v>
      </c>
      <c r="D273" s="288">
        <v>36.878630658924074</v>
      </c>
      <c r="E273" s="288" t="s">
        <v>262</v>
      </c>
      <c r="F273" s="288">
        <v>21.771887170051851</v>
      </c>
      <c r="G273" s="288">
        <v>11.524752154780032</v>
      </c>
      <c r="H273" s="288">
        <v>6.2655081485323993</v>
      </c>
      <c r="I273" s="288">
        <v>15.928748277364175</v>
      </c>
      <c r="J273" s="288">
        <v>14.538039103642467</v>
      </c>
      <c r="K273" s="288">
        <v>8.8915037521810376</v>
      </c>
      <c r="L273" s="288">
        <v>20.394683417188755</v>
      </c>
      <c r="M273" s="288">
        <v>7.7614518285219996</v>
      </c>
      <c r="N273" s="288">
        <v>22.929382298073211</v>
      </c>
    </row>
    <row r="274" spans="1:14" ht="15" customHeight="1">
      <c r="A274" s="287"/>
      <c r="B274" s="287" t="s">
        <v>93</v>
      </c>
      <c r="C274" s="288">
        <v>21.819270164053364</v>
      </c>
      <c r="D274" s="288">
        <v>34.793804230766604</v>
      </c>
      <c r="E274" s="288" t="s">
        <v>262</v>
      </c>
      <c r="F274" s="288">
        <v>27.000311182037024</v>
      </c>
      <c r="G274" s="288">
        <v>-2.6254377774635609</v>
      </c>
      <c r="H274" s="288">
        <v>5.5866604592661568</v>
      </c>
      <c r="I274" s="288">
        <v>16.412764568329926</v>
      </c>
      <c r="J274" s="288">
        <v>15.705173658388835</v>
      </c>
      <c r="K274" s="288">
        <v>10.580393347663946</v>
      </c>
      <c r="L274" s="288">
        <v>20.944813435483866</v>
      </c>
      <c r="M274" s="288">
        <v>5.9186319627625705</v>
      </c>
      <c r="N274" s="288">
        <v>19.518994079194325</v>
      </c>
    </row>
    <row r="275" spans="1:14" ht="15" customHeight="1">
      <c r="A275" s="287"/>
      <c r="B275" s="287" t="s">
        <v>94</v>
      </c>
      <c r="C275" s="288">
        <v>19.581052018636743</v>
      </c>
      <c r="D275" s="288">
        <v>21.446484211346199</v>
      </c>
      <c r="E275" s="288">
        <v>46.593879020312443</v>
      </c>
      <c r="F275" s="288">
        <v>17.35183776034954</v>
      </c>
      <c r="G275" s="288">
        <v>2.0363669710201573</v>
      </c>
      <c r="H275" s="288">
        <v>19.992666747573441</v>
      </c>
      <c r="I275" s="288">
        <v>17.198035105702466</v>
      </c>
      <c r="J275" s="288">
        <v>17.561193127148368</v>
      </c>
      <c r="K275" s="288">
        <v>13.310001767319395</v>
      </c>
      <c r="L275" s="288">
        <v>20.17009387551359</v>
      </c>
      <c r="M275" s="288">
        <v>5.3114647207844605</v>
      </c>
      <c r="N275" s="288">
        <v>19.587554117731482</v>
      </c>
    </row>
    <row r="276" spans="1:14" ht="15" customHeight="1">
      <c r="A276" s="290"/>
      <c r="B276" s="287" t="s">
        <v>95</v>
      </c>
      <c r="C276" s="288">
        <v>23.302043459787416</v>
      </c>
      <c r="D276" s="288">
        <v>8.9946499599293244</v>
      </c>
      <c r="E276" s="288">
        <v>43.417987155468637</v>
      </c>
      <c r="F276" s="288">
        <v>30.067301739017427</v>
      </c>
      <c r="G276" s="288">
        <v>-3.0649981800009032</v>
      </c>
      <c r="H276" s="288">
        <v>-4.8041612209462183</v>
      </c>
      <c r="I276" s="288">
        <v>17.962631278251742</v>
      </c>
      <c r="J276" s="288">
        <v>16.861395562799725</v>
      </c>
      <c r="K276" s="288">
        <v>25.437579325816507</v>
      </c>
      <c r="L276" s="288">
        <v>21.165954749511716</v>
      </c>
      <c r="M276" s="288">
        <v>4.151569525105681</v>
      </c>
      <c r="N276" s="288">
        <v>16.42740736391092</v>
      </c>
    </row>
    <row r="277" spans="1:14" ht="15" customHeight="1">
      <c r="A277" s="290"/>
      <c r="B277" s="287" t="s">
        <v>96</v>
      </c>
      <c r="C277" s="288">
        <v>6.2498489289971539</v>
      </c>
      <c r="D277" s="288">
        <v>13.015690881859094</v>
      </c>
      <c r="E277" s="288" t="s">
        <v>262</v>
      </c>
      <c r="F277" s="288">
        <v>13.409896840728871</v>
      </c>
      <c r="G277" s="288">
        <v>-4.7644483258077175</v>
      </c>
      <c r="H277" s="288">
        <v>-16.719460068290914</v>
      </c>
      <c r="I277" s="288">
        <v>17.133172776613755</v>
      </c>
      <c r="J277" s="288">
        <v>16.607895860067572</v>
      </c>
      <c r="K277" s="288">
        <v>24.687877084528896</v>
      </c>
      <c r="L277" s="288">
        <v>20.642683435381954</v>
      </c>
      <c r="M277" s="288">
        <v>3.0205572113055288</v>
      </c>
      <c r="N277" s="288">
        <v>11.297073718321071</v>
      </c>
    </row>
    <row r="278" spans="1:14" ht="15" customHeight="1">
      <c r="A278" s="290"/>
      <c r="B278" s="287" t="s">
        <v>97</v>
      </c>
      <c r="C278" s="288">
        <v>17.039603885296973</v>
      </c>
      <c r="D278" s="288">
        <v>12.200986579531946</v>
      </c>
      <c r="E278" s="288">
        <v>26.59275606460476</v>
      </c>
      <c r="F278" s="288">
        <v>14.411742498628977</v>
      </c>
      <c r="G278" s="288">
        <v>-5.1042294239493495</v>
      </c>
      <c r="H278" s="288">
        <v>19.543100720981734</v>
      </c>
      <c r="I278" s="288">
        <v>17.115677494282824</v>
      </c>
      <c r="J278" s="288">
        <v>16.010995612162915</v>
      </c>
      <c r="K278" s="288">
        <v>25.591715905840907</v>
      </c>
      <c r="L278" s="288">
        <v>19.617368188210325</v>
      </c>
      <c r="M278" s="288">
        <v>2.1267766292917392</v>
      </c>
      <c r="N278" s="288">
        <v>12.096399118682603</v>
      </c>
    </row>
    <row r="279" spans="1:14" ht="15" customHeight="1">
      <c r="A279" s="290"/>
      <c r="B279" s="287" t="s">
        <v>98</v>
      </c>
      <c r="C279" s="288">
        <v>13.244315692978342</v>
      </c>
      <c r="D279" s="288">
        <v>18.19584970595416</v>
      </c>
      <c r="E279" s="288" t="s">
        <v>262</v>
      </c>
      <c r="F279" s="288">
        <v>16.083102199937564</v>
      </c>
      <c r="G279" s="288">
        <v>5.049869439149032</v>
      </c>
      <c r="H279" s="288">
        <v>18.426635645946746</v>
      </c>
      <c r="I279" s="288">
        <v>16.837130512552744</v>
      </c>
      <c r="J279" s="288">
        <v>16.221184836107348</v>
      </c>
      <c r="K279" s="288">
        <v>23.979810219664035</v>
      </c>
      <c r="L279" s="288">
        <v>19.378222878952368</v>
      </c>
      <c r="M279" s="288">
        <v>2.3714935811031559</v>
      </c>
      <c r="N279" s="288">
        <v>12.703008746477437</v>
      </c>
    </row>
    <row r="280" spans="1:14" ht="15" customHeight="1">
      <c r="A280" s="290"/>
      <c r="B280" s="287" t="s">
        <v>99</v>
      </c>
      <c r="C280" s="288">
        <v>-12.880362858099447</v>
      </c>
      <c r="D280" s="288">
        <v>14.618975428345788</v>
      </c>
      <c r="E280" s="288" t="s">
        <v>262</v>
      </c>
      <c r="F280" s="288">
        <v>-21.571682043017496</v>
      </c>
      <c r="G280" s="288">
        <v>3.491909152475682</v>
      </c>
      <c r="H280" s="288">
        <v>-7.8321816386969401</v>
      </c>
      <c r="I280" s="288">
        <v>15.036144687452394</v>
      </c>
      <c r="J280" s="288">
        <v>16.114665587740816</v>
      </c>
      <c r="K280" s="288">
        <v>14.986642236122183</v>
      </c>
      <c r="L280" s="288">
        <v>17.77464131929317</v>
      </c>
      <c r="M280" s="288">
        <v>2.4593396974915418</v>
      </c>
      <c r="N280" s="288">
        <v>10.700832266240903</v>
      </c>
    </row>
    <row r="281" spans="1:14" ht="15" customHeight="1">
      <c r="A281" s="284">
        <v>2023</v>
      </c>
      <c r="B281" s="285" t="s">
        <v>88</v>
      </c>
      <c r="C281" s="286">
        <v>5.1452098909916</v>
      </c>
      <c r="D281" s="286">
        <v>10.727491668498947</v>
      </c>
      <c r="E281" s="286">
        <v>-52.192186055613931</v>
      </c>
      <c r="F281" s="286">
        <v>0.10982129444081587</v>
      </c>
      <c r="G281" s="286">
        <v>-2.1032095963127375</v>
      </c>
      <c r="H281" s="286">
        <v>9.8530433174933911</v>
      </c>
      <c r="I281" s="286">
        <v>5.1452098909916</v>
      </c>
      <c r="J281" s="286">
        <v>10.727491668498947</v>
      </c>
      <c r="K281" s="286">
        <v>-52.192186055613931</v>
      </c>
      <c r="L281" s="286">
        <v>0.10982129444081587</v>
      </c>
      <c r="M281" s="286">
        <v>-2.1032095963127375</v>
      </c>
      <c r="N281" s="286">
        <v>9.8530433174933911</v>
      </c>
    </row>
    <row r="282" spans="1:14" ht="15" customHeight="1">
      <c r="A282" s="287"/>
      <c r="B282" s="287" t="s">
        <v>89</v>
      </c>
      <c r="C282" s="288">
        <v>3.4751383943977752</v>
      </c>
      <c r="D282" s="288">
        <v>10.141683352408961</v>
      </c>
      <c r="E282" s="288" t="s">
        <v>262</v>
      </c>
      <c r="F282" s="288">
        <v>2.552387907998193</v>
      </c>
      <c r="G282" s="288">
        <v>-5.1250556481319345</v>
      </c>
      <c r="H282" s="288">
        <v>9.2133056886025084</v>
      </c>
      <c r="I282" s="288">
        <v>4.3537053302417013</v>
      </c>
      <c r="J282" s="288">
        <v>10.539981707297189</v>
      </c>
      <c r="K282" s="288">
        <v>-97.240272461132605</v>
      </c>
      <c r="L282" s="288">
        <v>1.6616369149492711</v>
      </c>
      <c r="M282" s="288">
        <v>-3.5298668250477632</v>
      </c>
      <c r="N282" s="288">
        <v>9.5550558582568037</v>
      </c>
    </row>
    <row r="283" spans="1:14" ht="15" customHeight="1">
      <c r="A283" s="287"/>
      <c r="B283" s="287" t="s">
        <v>90</v>
      </c>
      <c r="C283" s="288">
        <v>4.0771794628687674</v>
      </c>
      <c r="D283" s="288">
        <v>11.515756197715113</v>
      </c>
      <c r="E283" s="288" t="s">
        <v>262</v>
      </c>
      <c r="F283" s="288">
        <v>1.287704821993072</v>
      </c>
      <c r="G283" s="288">
        <v>-1.6602940078717703</v>
      </c>
      <c r="H283" s="288">
        <v>1.5049700322462578</v>
      </c>
      <c r="I283" s="288">
        <v>4.3025526084945813</v>
      </c>
      <c r="J283" s="288">
        <v>10.756180205822908</v>
      </c>
      <c r="K283" s="288" t="s">
        <v>262</v>
      </c>
      <c r="L283" s="288">
        <v>1.6193621356788284</v>
      </c>
      <c r="M283" s="288">
        <v>-2.925121689173265</v>
      </c>
      <c r="N283" s="288">
        <v>7.3851075719365751</v>
      </c>
    </row>
    <row r="284" spans="1:14" ht="15" customHeight="1">
      <c r="A284" s="287"/>
      <c r="B284" s="287" t="s">
        <v>91</v>
      </c>
      <c r="C284" s="288">
        <v>10.64003398267333</v>
      </c>
      <c r="D284" s="288">
        <v>9.5678722240648053</v>
      </c>
      <c r="E284" s="288">
        <v>22.020408457353039</v>
      </c>
      <c r="F284" s="288">
        <v>6.9459325049513927</v>
      </c>
      <c r="G284" s="288">
        <v>1.1201008383209015</v>
      </c>
      <c r="H284" s="288">
        <v>-6.9723758952065689</v>
      </c>
      <c r="I284" s="288">
        <v>6.5281687680922333</v>
      </c>
      <c r="J284" s="288">
        <v>10.38335444617514</v>
      </c>
      <c r="K284" s="288">
        <v>10.692474281219711</v>
      </c>
      <c r="L284" s="288">
        <v>3.093847517000472</v>
      </c>
      <c r="M284" s="288">
        <v>-1.7218433777580078</v>
      </c>
      <c r="N284" s="288">
        <v>3.4384853494939485</v>
      </c>
    </row>
    <row r="285" spans="1:14" ht="15" customHeight="1">
      <c r="A285" s="287"/>
      <c r="B285" s="287" t="s">
        <v>92</v>
      </c>
      <c r="C285" s="288">
        <v>2.9642579858087705</v>
      </c>
      <c r="D285" s="288">
        <v>6.9075544007622183</v>
      </c>
      <c r="E285" s="288">
        <v>12.315026825530202</v>
      </c>
      <c r="F285" s="288">
        <v>0.61989483348427765</v>
      </c>
      <c r="G285" s="288">
        <v>-0.48673069341891734</v>
      </c>
      <c r="H285" s="288">
        <v>2.3253425214787815</v>
      </c>
      <c r="I285" s="288">
        <v>6.1175793480580882</v>
      </c>
      <c r="J285" s="288">
        <v>10.05700987854652</v>
      </c>
      <c r="K285" s="288">
        <v>10.735665036186399</v>
      </c>
      <c r="L285" s="288">
        <v>2.7760194872069537</v>
      </c>
      <c r="M285" s="288">
        <v>-1.4829549873202483</v>
      </c>
      <c r="N285" s="288">
        <v>3.1963175321004602</v>
      </c>
    </row>
    <row r="286" spans="1:14" ht="15" customHeight="1">
      <c r="A286" s="287"/>
      <c r="B286" s="287" t="s">
        <v>93</v>
      </c>
      <c r="C286" s="288">
        <v>0.12021253979105835</v>
      </c>
      <c r="D286" s="288">
        <v>9.4471379760806613</v>
      </c>
      <c r="E286" s="288">
        <v>-13.884720585901277</v>
      </c>
      <c r="F286" s="288">
        <v>-12.006250680987486</v>
      </c>
      <c r="G286" s="288">
        <v>7.245078461398144</v>
      </c>
      <c r="H286" s="288">
        <v>8.6958489120586435</v>
      </c>
      <c r="I286" s="288">
        <v>5.6018970691656937</v>
      </c>
      <c r="J286" s="288">
        <v>10.016071743730286</v>
      </c>
      <c r="K286" s="288">
        <v>9.9438666281327546</v>
      </c>
      <c r="L286" s="288">
        <v>1.4832832651795358</v>
      </c>
      <c r="M286" s="288">
        <v>-5.9358437564563923E-2</v>
      </c>
      <c r="N286" s="288">
        <v>4.1517156251576761</v>
      </c>
    </row>
    <row r="287" spans="1:14" ht="15" customHeight="1">
      <c r="A287" s="287"/>
      <c r="B287" s="287" t="s">
        <v>94</v>
      </c>
      <c r="C287" s="288">
        <v>5.8895568096027668</v>
      </c>
      <c r="D287" s="288">
        <v>8.3354666328871847</v>
      </c>
      <c r="E287" s="288">
        <v>1.2123591789735271</v>
      </c>
      <c r="F287" s="288">
        <v>1.7369319644876808</v>
      </c>
      <c r="G287" s="288">
        <v>2.8842080689434835</v>
      </c>
      <c r="H287" s="288">
        <v>6.041910549511087</v>
      </c>
      <c r="I287" s="288">
        <v>5.6746441967427677</v>
      </c>
      <c r="J287" s="288">
        <v>9.4548194482970285</v>
      </c>
      <c r="K287" s="288">
        <v>9.087672962257983</v>
      </c>
      <c r="L287" s="288">
        <v>1.5366925027604457</v>
      </c>
      <c r="M287" s="288">
        <v>0.38668416707453157</v>
      </c>
      <c r="N287" s="288">
        <v>4.4262318649441115</v>
      </c>
    </row>
    <row r="288" spans="1:14" ht="15" customHeight="1">
      <c r="A288" s="290"/>
      <c r="B288" s="287" t="s">
        <v>95</v>
      </c>
      <c r="C288" s="288">
        <v>8.3468694002793118</v>
      </c>
      <c r="D288" s="288">
        <v>10.1974081173787</v>
      </c>
      <c r="E288" s="288">
        <v>12.218282823896416</v>
      </c>
      <c r="F288" s="288">
        <v>-10.094636509324562</v>
      </c>
      <c r="G288" s="288">
        <v>6.3413339051101243</v>
      </c>
      <c r="H288" s="288" t="s">
        <v>262</v>
      </c>
      <c r="I288" s="288">
        <v>6.0245215873585636</v>
      </c>
      <c r="J288" s="288">
        <v>9.5113976643445124</v>
      </c>
      <c r="K288" s="288">
        <v>10.529447234816233</v>
      </c>
      <c r="L288" s="288">
        <v>0.28036507544098399</v>
      </c>
      <c r="M288" s="288">
        <v>1.1540970837097628</v>
      </c>
      <c r="N288" s="288">
        <v>16.400692623177562</v>
      </c>
    </row>
    <row r="289" spans="1:14" ht="15" customHeight="1">
      <c r="A289" s="290"/>
      <c r="B289" s="287" t="s">
        <v>96</v>
      </c>
      <c r="C289" s="288">
        <v>3.4171973361306458</v>
      </c>
      <c r="D289" s="288">
        <v>10.641480543902064</v>
      </c>
      <c r="E289" s="288">
        <v>2.6646163838328802</v>
      </c>
      <c r="F289" s="288">
        <v>-0.52784675264962899</v>
      </c>
      <c r="G289" s="288">
        <v>1.2991510702831035</v>
      </c>
      <c r="H289" s="288">
        <v>-15.18683290153368</v>
      </c>
      <c r="I289" s="288">
        <v>5.8570357658051613</v>
      </c>
      <c r="J289" s="288">
        <v>9.5835952383480247</v>
      </c>
      <c r="K289" s="288">
        <v>10.570846624913491</v>
      </c>
      <c r="L289" s="288">
        <v>0.22910714668557239</v>
      </c>
      <c r="M289" s="288">
        <v>1.1711069649128307</v>
      </c>
      <c r="N289" s="288">
        <v>12.742399414966652</v>
      </c>
    </row>
    <row r="290" spans="1:14" ht="15" customHeight="1">
      <c r="A290" s="290"/>
      <c r="B290" s="287" t="s">
        <v>97</v>
      </c>
      <c r="C290" s="288">
        <v>5.8182548159348126</v>
      </c>
      <c r="D290" s="288">
        <v>8.9570471656890227</v>
      </c>
      <c r="E290" s="288">
        <v>8.6670544912174581</v>
      </c>
      <c r="F290" s="288">
        <v>-0.14503365621918118</v>
      </c>
      <c r="G290" s="288">
        <v>5.8075396502688967</v>
      </c>
      <c r="H290" s="288">
        <v>-6.2211112563509703</v>
      </c>
      <c r="I290" s="288">
        <v>5.8497893087621975</v>
      </c>
      <c r="J290" s="288">
        <v>9.5015185983912946</v>
      </c>
      <c r="K290" s="288">
        <v>9.6603234783372027</v>
      </c>
      <c r="L290" s="288">
        <v>0.17022071855843454</v>
      </c>
      <c r="M290" s="288">
        <v>1.6450325348968187</v>
      </c>
      <c r="N290" s="288">
        <v>10.782063682833206</v>
      </c>
    </row>
    <row r="291" spans="1:14" ht="15" customHeight="1">
      <c r="A291" s="290"/>
      <c r="B291" s="287" t="s">
        <v>98</v>
      </c>
      <c r="C291" s="288">
        <v>4.8777576364858648</v>
      </c>
      <c r="D291" s="288">
        <v>11.40370812917697</v>
      </c>
      <c r="E291" s="288">
        <v>9.3017255961726963</v>
      </c>
      <c r="F291" s="288">
        <v>-8.4926868190760327</v>
      </c>
      <c r="G291" s="288">
        <v>11.623282432038415</v>
      </c>
      <c r="H291" s="288">
        <v>-12.51823839148021</v>
      </c>
      <c r="I291" s="288">
        <v>5.7820016488616028</v>
      </c>
      <c r="J291" s="288">
        <v>9.6876238903251704</v>
      </c>
      <c r="K291" s="288">
        <v>10.209145711263824</v>
      </c>
      <c r="L291" s="288">
        <v>-0.39977318500062398</v>
      </c>
      <c r="M291" s="288">
        <v>2.5022525513281431</v>
      </c>
      <c r="N291" s="288">
        <v>8.4358649590657073</v>
      </c>
    </row>
    <row r="292" spans="1:14" ht="15" customHeight="1">
      <c r="A292" s="290"/>
      <c r="B292" s="287" t="s">
        <v>99</v>
      </c>
      <c r="C292" s="288">
        <v>20.540368063126543</v>
      </c>
      <c r="D292" s="288">
        <v>9.7243985473230161</v>
      </c>
      <c r="E292" s="288" t="s">
        <v>262</v>
      </c>
      <c r="F292" s="288">
        <v>31.562555078280113</v>
      </c>
      <c r="G292" s="288">
        <v>3.3865795619539583</v>
      </c>
      <c r="H292" s="288">
        <v>16.140666556179021</v>
      </c>
      <c r="I292" s="288">
        <v>6.4593594677115549</v>
      </c>
      <c r="J292" s="288">
        <v>9.6900372769013199</v>
      </c>
      <c r="K292" s="288">
        <v>12.847919395509402</v>
      </c>
      <c r="L292" s="288">
        <v>0.43371159516206903</v>
      </c>
      <c r="M292" s="288">
        <v>2.5722869116937526</v>
      </c>
      <c r="N292" s="288">
        <v>9.0613162645869245</v>
      </c>
    </row>
    <row r="293" spans="1:14" ht="15" customHeight="1">
      <c r="A293" s="284">
        <v>2024</v>
      </c>
      <c r="B293" s="285" t="s">
        <v>88</v>
      </c>
      <c r="C293" s="286">
        <v>4.2124762305749863</v>
      </c>
      <c r="D293" s="286">
        <v>6.6329267926747315</v>
      </c>
      <c r="E293" s="286">
        <v>31.938790452119374</v>
      </c>
      <c r="F293" s="286">
        <v>4.1109342182425984E-2</v>
      </c>
      <c r="G293" s="286">
        <v>-2.384921332953978</v>
      </c>
      <c r="H293" s="286">
        <v>3.1310155854836306</v>
      </c>
      <c r="I293" s="286">
        <v>4.2124762305749863</v>
      </c>
      <c r="J293" s="286">
        <v>6.6329267926747315</v>
      </c>
      <c r="K293" s="286">
        <v>31.938790452119374</v>
      </c>
      <c r="L293" s="286">
        <v>4.1109342182425984E-2</v>
      </c>
      <c r="M293" s="286">
        <v>-2.384921332953978</v>
      </c>
      <c r="N293" s="286">
        <v>3.1310155854836306</v>
      </c>
    </row>
    <row r="294" spans="1:14" ht="15" customHeight="1">
      <c r="A294" s="287"/>
      <c r="B294" s="287" t="s">
        <v>89</v>
      </c>
      <c r="C294" s="288">
        <v>9.576157294494033</v>
      </c>
      <c r="D294" s="288">
        <v>11.215530545114573</v>
      </c>
      <c r="E294" s="288">
        <v>41.716281559282343</v>
      </c>
      <c r="F294" s="288">
        <v>6.7622613071897808</v>
      </c>
      <c r="G294" s="288">
        <v>23.384651636664778</v>
      </c>
      <c r="H294" s="288">
        <v>4.0513808067080497</v>
      </c>
      <c r="I294" s="288">
        <v>6.7331082292260227</v>
      </c>
      <c r="J294" s="288">
        <v>8.0944759911861848</v>
      </c>
      <c r="K294" s="288" t="s">
        <v>262</v>
      </c>
      <c r="L294" s="288">
        <v>4.3486173792062317</v>
      </c>
      <c r="M294" s="288">
        <v>9.5800919159614661</v>
      </c>
      <c r="N294" s="288">
        <v>3.5583810443187098</v>
      </c>
    </row>
    <row r="295" spans="1:14" ht="15" customHeight="1">
      <c r="A295" s="287"/>
      <c r="B295" s="287" t="s">
        <v>90</v>
      </c>
      <c r="C295" s="288"/>
      <c r="D295" s="288"/>
      <c r="E295" s="288"/>
      <c r="F295" s="288"/>
      <c r="G295" s="288"/>
      <c r="H295" s="288"/>
      <c r="I295" s="288"/>
      <c r="J295" s="288"/>
      <c r="K295" s="288"/>
      <c r="L295" s="288"/>
      <c r="M295" s="288"/>
      <c r="N295" s="288"/>
    </row>
    <row r="296" spans="1:14" ht="15" customHeight="1">
      <c r="A296" s="287"/>
      <c r="B296" s="287" t="s">
        <v>91</v>
      </c>
      <c r="C296" s="288"/>
      <c r="D296" s="288"/>
      <c r="E296" s="288"/>
      <c r="F296" s="288"/>
      <c r="G296" s="288"/>
      <c r="H296" s="288"/>
      <c r="I296" s="288"/>
      <c r="J296" s="288"/>
      <c r="K296" s="288"/>
      <c r="L296" s="288"/>
      <c r="M296" s="288"/>
      <c r="N296" s="288"/>
    </row>
    <row r="297" spans="1:14" ht="15" customHeight="1">
      <c r="A297" s="287"/>
      <c r="B297" s="287" t="s">
        <v>92</v>
      </c>
      <c r="C297" s="288"/>
      <c r="D297" s="288"/>
      <c r="E297" s="288"/>
      <c r="F297" s="288"/>
      <c r="G297" s="288"/>
      <c r="H297" s="288"/>
      <c r="I297" s="288"/>
      <c r="J297" s="288"/>
      <c r="K297" s="288"/>
      <c r="L297" s="288"/>
      <c r="M297" s="288"/>
      <c r="N297" s="288"/>
    </row>
    <row r="298" spans="1:14" ht="15" customHeight="1">
      <c r="A298" s="287"/>
      <c r="B298" s="287" t="s">
        <v>93</v>
      </c>
      <c r="C298" s="288"/>
      <c r="D298" s="288"/>
      <c r="E298" s="288"/>
      <c r="F298" s="288"/>
      <c r="G298" s="288"/>
      <c r="H298" s="288"/>
      <c r="I298" s="288"/>
      <c r="J298" s="288"/>
      <c r="K298" s="288"/>
      <c r="L298" s="288"/>
      <c r="M298" s="288"/>
      <c r="N298" s="288"/>
    </row>
    <row r="299" spans="1:14" ht="15" customHeight="1">
      <c r="A299" s="287"/>
      <c r="B299" s="287" t="s">
        <v>94</v>
      </c>
      <c r="C299" s="288"/>
      <c r="D299" s="288"/>
      <c r="E299" s="288"/>
      <c r="F299" s="288"/>
      <c r="G299" s="288"/>
      <c r="H299" s="288"/>
      <c r="I299" s="288"/>
      <c r="J299" s="288"/>
      <c r="K299" s="288"/>
      <c r="L299" s="288"/>
      <c r="M299" s="288"/>
      <c r="N299" s="288"/>
    </row>
    <row r="300" spans="1:14" ht="15" customHeight="1">
      <c r="A300" s="290"/>
      <c r="B300" s="287" t="s">
        <v>95</v>
      </c>
      <c r="C300" s="288"/>
      <c r="D300" s="288"/>
      <c r="E300" s="288"/>
      <c r="F300" s="288"/>
      <c r="G300" s="288"/>
      <c r="H300" s="288"/>
      <c r="I300" s="288"/>
      <c r="J300" s="288"/>
      <c r="K300" s="288"/>
      <c r="L300" s="288"/>
      <c r="M300" s="288"/>
      <c r="N300" s="288"/>
    </row>
    <row r="301" spans="1:14" ht="15" customHeight="1">
      <c r="A301" s="290"/>
      <c r="B301" s="287" t="s">
        <v>96</v>
      </c>
      <c r="C301" s="288"/>
      <c r="D301" s="288"/>
      <c r="E301" s="288"/>
      <c r="F301" s="288"/>
      <c r="G301" s="288"/>
      <c r="H301" s="288"/>
      <c r="I301" s="288"/>
      <c r="J301" s="288"/>
      <c r="K301" s="288"/>
      <c r="L301" s="288"/>
      <c r="M301" s="288"/>
      <c r="N301" s="288"/>
    </row>
    <row r="302" spans="1:14" ht="15" customHeight="1">
      <c r="A302" s="290"/>
      <c r="B302" s="287" t="s">
        <v>97</v>
      </c>
      <c r="C302" s="288"/>
      <c r="D302" s="288"/>
      <c r="E302" s="288"/>
      <c r="F302" s="288"/>
      <c r="G302" s="288"/>
      <c r="H302" s="288"/>
      <c r="I302" s="288"/>
      <c r="J302" s="288"/>
      <c r="K302" s="288"/>
      <c r="L302" s="288"/>
      <c r="M302" s="288"/>
      <c r="N302" s="288"/>
    </row>
    <row r="303" spans="1:14" ht="15" customHeight="1">
      <c r="A303" s="290"/>
      <c r="B303" s="287" t="s">
        <v>98</v>
      </c>
      <c r="C303" s="288"/>
      <c r="D303" s="288"/>
      <c r="E303" s="288"/>
      <c r="F303" s="288"/>
      <c r="G303" s="288"/>
      <c r="H303" s="288"/>
      <c r="I303" s="288"/>
      <c r="J303" s="288"/>
      <c r="K303" s="288"/>
      <c r="L303" s="288"/>
      <c r="M303" s="288"/>
      <c r="N303" s="288"/>
    </row>
    <row r="304" spans="1:14" ht="15" customHeight="1">
      <c r="A304" s="290"/>
      <c r="B304" s="287" t="s">
        <v>99</v>
      </c>
      <c r="C304" s="288"/>
      <c r="D304" s="288"/>
      <c r="E304" s="288"/>
      <c r="F304" s="288"/>
      <c r="G304" s="288"/>
      <c r="H304" s="288"/>
      <c r="I304" s="288"/>
      <c r="J304" s="288"/>
      <c r="K304" s="288"/>
      <c r="L304" s="288"/>
      <c r="M304" s="288"/>
      <c r="N304" s="288"/>
    </row>
    <row r="305" spans="3:14" ht="15" customHeight="1">
      <c r="C305" s="288"/>
      <c r="D305" s="288"/>
      <c r="E305" s="288"/>
      <c r="F305" s="288"/>
      <c r="G305" s="288"/>
      <c r="H305" s="288"/>
      <c r="I305" s="288"/>
      <c r="J305" s="288"/>
      <c r="K305" s="288"/>
      <c r="L305" s="288"/>
      <c r="M305" s="288"/>
      <c r="N305" s="288"/>
    </row>
    <row r="306" spans="3:14" ht="15" customHeight="1">
      <c r="C306" s="288"/>
      <c r="D306" s="288"/>
      <c r="E306" s="288"/>
      <c r="F306" s="288"/>
      <c r="G306" s="288"/>
      <c r="H306" s="288"/>
      <c r="I306" s="288"/>
      <c r="J306" s="288"/>
      <c r="K306" s="288"/>
      <c r="L306" s="288"/>
      <c r="M306" s="288"/>
      <c r="N306" s="288"/>
    </row>
    <row r="307" spans="3:14" ht="15" customHeight="1">
      <c r="C307" s="288"/>
      <c r="D307" s="288"/>
      <c r="E307" s="288"/>
      <c r="F307" s="288"/>
      <c r="G307" s="288"/>
      <c r="H307" s="288"/>
      <c r="I307" s="288"/>
      <c r="J307" s="288"/>
      <c r="K307" s="288"/>
      <c r="L307" s="288"/>
      <c r="M307" s="288"/>
      <c r="N307" s="288"/>
    </row>
    <row r="308" spans="3:14" ht="15" customHeight="1">
      <c r="C308" s="288"/>
      <c r="D308" s="288"/>
      <c r="E308" s="288"/>
      <c r="F308" s="288"/>
      <c r="G308" s="288"/>
      <c r="H308" s="288"/>
      <c r="I308" s="288"/>
      <c r="J308" s="288"/>
      <c r="K308" s="288"/>
      <c r="L308" s="288"/>
      <c r="M308" s="288"/>
      <c r="N308" s="288"/>
    </row>
    <row r="309" spans="3:14" ht="15" customHeight="1"/>
    <row r="310" spans="3:14" ht="15" customHeight="1"/>
    <row r="311" spans="3:14" ht="15" customHeight="1"/>
    <row r="312" spans="3:14" ht="15" customHeight="1"/>
    <row r="313" spans="3:14" ht="15" customHeight="1"/>
    <row r="314" spans="3:14" ht="15" customHeight="1"/>
    <row r="315" spans="3:14" ht="15" customHeight="1"/>
    <row r="316" spans="3:14" ht="15" customHeight="1"/>
    <row r="317" spans="3:14" ht="15" customHeight="1"/>
    <row r="318" spans="3:14" ht="15" customHeight="1"/>
    <row r="319" spans="3:14" ht="15" customHeight="1"/>
    <row r="320" spans="3:14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</sheetData>
  <mergeCells count="15">
    <mergeCell ref="A2:B4"/>
    <mergeCell ref="C2:H2"/>
    <mergeCell ref="I2:N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27"/>
  <sheetViews>
    <sheetView showGridLines="0" showRowColHeaders="0" zoomScaleNormal="100" workbookViewId="0"/>
  </sheetViews>
  <sheetFormatPr baseColWidth="10" defaultColWidth="0" defaultRowHeight="12.75" customHeight="1" zeroHeight="1"/>
  <cols>
    <col min="1" max="1" width="1.6328125" style="2" customWidth="1"/>
    <col min="2" max="2" width="37.08984375" style="2" customWidth="1"/>
    <col min="3" max="3" width="1.26953125" style="2" customWidth="1"/>
    <col min="4" max="4" width="12.08984375" style="2" customWidth="1"/>
    <col min="5" max="5" width="11.7265625" style="2" customWidth="1"/>
    <col min="6" max="6" width="13.90625" style="2" bestFit="1" customWidth="1"/>
    <col min="7" max="7" width="1.26953125" style="2" customWidth="1"/>
    <col min="8" max="8" width="12.08984375" style="2" customWidth="1"/>
    <col min="9" max="9" width="11.7265625" style="2" customWidth="1"/>
    <col min="10" max="10" width="13.90625" style="2" bestFit="1" customWidth="1"/>
    <col min="11" max="11" width="1.26953125" style="2" customWidth="1"/>
    <col min="12" max="12" width="8" style="2" customWidth="1"/>
    <col min="13" max="13" width="8.08984375" style="2" customWidth="1"/>
    <col min="14" max="14" width="1.6328125" style="2" customWidth="1"/>
    <col min="15" max="15" width="14.453125" style="2" hidden="1" customWidth="1"/>
    <col min="16" max="16" width="10.90625" style="2" hidden="1" customWidth="1"/>
    <col min="17" max="17" width="9.453125" style="2" hidden="1" customWidth="1"/>
    <col min="18" max="16384" width="15.6328125" style="2" hidden="1"/>
  </cols>
  <sheetData>
    <row r="1" spans="2:17" ht="8.2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2:17" ht="19.95" customHeight="1">
      <c r="C2" s="3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</row>
    <row r="3" spans="2:17" ht="17.399999999999999">
      <c r="B3" s="324" t="s">
        <v>43</v>
      </c>
      <c r="C3" s="324"/>
      <c r="D3" s="325"/>
      <c r="E3" s="325"/>
      <c r="F3" s="325"/>
      <c r="G3" s="325"/>
      <c r="H3" s="325"/>
      <c r="I3" s="325"/>
      <c r="J3" s="325"/>
      <c r="K3" s="325"/>
      <c r="L3" s="325"/>
      <c r="M3" s="325"/>
      <c r="O3" s="6" t="s">
        <v>0</v>
      </c>
      <c r="P3" s="7">
        <v>29</v>
      </c>
      <c r="Q3" s="7">
        <f>INDEX(Años,P3)</f>
        <v>2024</v>
      </c>
    </row>
    <row r="4" spans="2:17" ht="22.2" customHeight="1">
      <c r="B4" s="326" t="s">
        <v>44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O4" s="6" t="s">
        <v>1</v>
      </c>
      <c r="P4" s="7">
        <v>2</v>
      </c>
      <c r="Q4" s="7" t="str">
        <f>INDEX(Meses,P4)</f>
        <v>FEBRUARY</v>
      </c>
    </row>
    <row r="5" spans="2:17" ht="22.2" customHeight="1">
      <c r="B5" s="326" t="s">
        <v>45</v>
      </c>
      <c r="C5" s="326"/>
      <c r="D5" s="327"/>
      <c r="E5" s="327"/>
      <c r="F5" s="327"/>
      <c r="G5" s="327"/>
      <c r="H5" s="327"/>
      <c r="I5" s="327"/>
      <c r="J5" s="327"/>
      <c r="K5" s="327"/>
      <c r="L5" s="327"/>
      <c r="M5" s="327"/>
      <c r="O5" s="6" t="s">
        <v>2</v>
      </c>
      <c r="Q5" s="8" t="str">
        <f>CONCATENATE("&lt;=",P4)</f>
        <v>&lt;=2</v>
      </c>
    </row>
    <row r="6" spans="2:17" ht="15" customHeight="1">
      <c r="B6" s="328" t="s">
        <v>46</v>
      </c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9"/>
      <c r="O6" s="6" t="s">
        <v>3</v>
      </c>
      <c r="P6" s="10"/>
      <c r="Q6" s="11">
        <f>Año_seleccionado-1</f>
        <v>2023</v>
      </c>
    </row>
    <row r="7" spans="2:17" ht="15.6" customHeight="1" thickBot="1">
      <c r="B7" s="7"/>
      <c r="C7" s="7"/>
      <c r="D7" s="7"/>
      <c r="E7"/>
      <c r="F7"/>
      <c r="G7"/>
      <c r="H7"/>
      <c r="I7"/>
      <c r="J7"/>
      <c r="K7"/>
      <c r="L7"/>
      <c r="M7" s="7"/>
      <c r="N7" s="9"/>
      <c r="P7"/>
      <c r="Q7"/>
    </row>
    <row r="8" spans="2:17" ht="19.2" customHeight="1" thickTop="1" thickBot="1">
      <c r="B8" s="7"/>
      <c r="C8" s="7"/>
      <c r="D8" s="7"/>
      <c r="E8" s="12" t="s">
        <v>47</v>
      </c>
      <c r="F8" s="13" t="s">
        <v>48</v>
      </c>
      <c r="G8" s="14"/>
      <c r="H8" s="15"/>
      <c r="I8"/>
      <c r="J8"/>
      <c r="K8"/>
      <c r="L8"/>
      <c r="M8" s="7"/>
      <c r="N8" s="9"/>
      <c r="P8"/>
      <c r="Q8"/>
    </row>
    <row r="9" spans="2:17" ht="18" customHeight="1" thickTop="1">
      <c r="B9" s="7"/>
      <c r="C9" s="7"/>
      <c r="D9" s="7"/>
      <c r="E9" s="7"/>
      <c r="F9" s="7"/>
      <c r="G9" s="7"/>
      <c r="H9" s="7"/>
      <c r="I9"/>
      <c r="J9"/>
      <c r="K9"/>
      <c r="L9"/>
      <c r="M9" s="7"/>
      <c r="N9" s="9"/>
      <c r="O9" s="6"/>
      <c r="Q9" s="10"/>
    </row>
    <row r="10" spans="2:17" ht="15.6" customHeight="1" thickBot="1">
      <c r="B10" s="16"/>
      <c r="C10" s="16"/>
      <c r="D10" s="329">
        <f>Año_seleccionado</f>
        <v>2024</v>
      </c>
      <c r="E10" s="329"/>
      <c r="F10" s="329"/>
      <c r="G10" s="17"/>
      <c r="H10" s="330">
        <f>Año_anterior_seleccionado</f>
        <v>2023</v>
      </c>
      <c r="I10" s="330">
        <v>0</v>
      </c>
      <c r="J10" s="330">
        <v>0</v>
      </c>
      <c r="K10" s="18"/>
      <c r="L10" s="330" t="str">
        <f>CONCATENATE("% ",MID($Q$3,3,2),"/",MID($Q$6,3,2))</f>
        <v>% 24/23</v>
      </c>
      <c r="M10" s="331">
        <v>0</v>
      </c>
    </row>
    <row r="11" spans="2:17" ht="15.6" customHeight="1">
      <c r="B11" s="332" t="s">
        <v>49</v>
      </c>
      <c r="C11" s="16"/>
      <c r="D11" s="19" t="s">
        <v>50</v>
      </c>
      <c r="E11" s="19" t="s">
        <v>51</v>
      </c>
      <c r="F11" s="19" t="s">
        <v>5</v>
      </c>
      <c r="G11" s="20"/>
      <c r="H11" s="19" t="s">
        <v>50</v>
      </c>
      <c r="I11" s="19" t="s">
        <v>51</v>
      </c>
      <c r="J11" s="19" t="s">
        <v>5</v>
      </c>
      <c r="K11" s="19"/>
      <c r="L11" s="19" t="s">
        <v>52</v>
      </c>
      <c r="M11" s="19" t="s">
        <v>5</v>
      </c>
    </row>
    <row r="12" spans="2:17" ht="7.5" customHeight="1" thickBot="1">
      <c r="B12" s="333"/>
      <c r="C12" s="21"/>
      <c r="D12" s="22"/>
      <c r="E12" s="22"/>
      <c r="F12" s="22"/>
      <c r="G12" s="22"/>
      <c r="H12" s="22"/>
      <c r="I12" s="22"/>
      <c r="J12" s="22"/>
      <c r="K12" s="22"/>
      <c r="L12" s="22"/>
      <c r="M12" s="22"/>
    </row>
    <row r="13" spans="2:17" ht="3" customHeight="1"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</row>
    <row r="14" spans="2:17" ht="15" customHeight="1">
      <c r="B14" s="24" t="s">
        <v>53</v>
      </c>
      <c r="C14" s="25"/>
      <c r="D14" s="248">
        <f>SUMIFS(IRPF_Estado,Años_datos,Año_seleccionado,Mes_datos,Mes_seleccionado)/1000</f>
        <v>3335.3119999999999</v>
      </c>
      <c r="E14" s="248">
        <f>SUMIFS(IRPF_AATT,Años_datos,Año_seleccionado,Mes_datos,Mes_seleccionado)/1000</f>
        <v>4874.1530000000002</v>
      </c>
      <c r="F14" s="248">
        <f>SUMIFS(IRPF_neto_total,Años_datos,Año_seleccionado,Mes_datos,Mes_seleccionado)/1000</f>
        <v>8209.4650000000001</v>
      </c>
      <c r="G14" s="27"/>
      <c r="H14" s="248">
        <f>SUMIFS(IRPF_Estado,Años_datos,Año_anterior_seleccionado,Mes_datos,Mes_seleccionado)/1000</f>
        <v>2715.9690000000001</v>
      </c>
      <c r="I14" s="248">
        <f>SUMIFS(IRPF_AATT,Años_datos,Año_anterior_seleccionado,Mes_datos,Mes_seleccionado)/1000</f>
        <v>4728.2</v>
      </c>
      <c r="J14" s="248">
        <f>SUMIFS(IRPF_neto_total,Años_datos,Año_anterior_seleccionado,Mes_datos,Mes_seleccionado)/1000</f>
        <v>7444.1689999999999</v>
      </c>
      <c r="K14" s="27"/>
      <c r="L14" s="28">
        <f>IF(H14=0,"-",IF(ABS((D14-H14)/ABS(H14))*100&gt;=100,"-",IF((D14/H14)&lt;0,"-",((D14-H14)/ABS(H14))*100)))</f>
        <v>22.803758069403585</v>
      </c>
      <c r="M14" s="28">
        <f>IF(J14=0,"-",IF(ABS((F14-J14)/ABS(J14))*100&gt;=100,"-",IF((F14/J14)&lt;0,"-",((F14-J14)/ABS(J14))*100)))</f>
        <v>10.280475899996363</v>
      </c>
    </row>
    <row r="15" spans="2:17" ht="5.0999999999999996" customHeight="1">
      <c r="B15" s="29"/>
      <c r="C15" s="29"/>
      <c r="D15" s="30"/>
      <c r="E15" s="31"/>
      <c r="F15" s="32"/>
      <c r="G15" s="33"/>
      <c r="H15" s="30"/>
      <c r="I15" s="31"/>
      <c r="J15" s="32"/>
      <c r="K15" s="33"/>
      <c r="L15" s="34"/>
      <c r="M15" s="34"/>
    </row>
    <row r="16" spans="2:17" ht="15" customHeight="1">
      <c r="B16" s="24" t="s">
        <v>54</v>
      </c>
      <c r="C16" s="25"/>
      <c r="D16" s="249">
        <f>F16</f>
        <v>-188.37299999999999</v>
      </c>
      <c r="E16" s="26"/>
      <c r="F16" s="249">
        <f>SUMIFS(IS_neto_total,Años_datos,Año_seleccionado,Mes_datos,Mes_seleccionado)/1000</f>
        <v>-188.37299999999999</v>
      </c>
      <c r="G16" s="27"/>
      <c r="H16" s="249">
        <f>J16</f>
        <v>-102.017</v>
      </c>
      <c r="I16" s="26"/>
      <c r="J16" s="249">
        <f>SUMIFS(IS_neto_total,Años_datos,Año_anterior_seleccionado,Mes_datos,Mes_seleccionado)/1000</f>
        <v>-102.017</v>
      </c>
      <c r="K16" s="27"/>
      <c r="L16" s="28">
        <f>IF(H16=0,"-",IF(ABS((D16-H16)/ABS(H16))*100&gt;=100,"-",IF((D16/H16)&lt;0,"-",((D16-H16)/ABS(H16))*100)))</f>
        <v>-84.6486369918739</v>
      </c>
      <c r="M16" s="28">
        <f>IF(J16=0,"-",IF(ABS((F16-J16)/ABS(J16))*100&gt;=100,"-",IF((F16/J16)&lt;0,"-",((F16-J16)/ABS(J16))*100)))</f>
        <v>-84.6486369918739</v>
      </c>
    </row>
    <row r="17" spans="2:13" ht="4.5" customHeight="1">
      <c r="B17" s="25"/>
      <c r="C17" s="25"/>
      <c r="D17" s="35"/>
      <c r="E17" s="36"/>
      <c r="F17" s="35"/>
      <c r="G17" s="27"/>
      <c r="H17" s="35"/>
      <c r="I17" s="36"/>
      <c r="J17" s="35"/>
      <c r="K17" s="27"/>
      <c r="L17" s="27"/>
      <c r="M17" s="27"/>
    </row>
    <row r="18" spans="2:13" ht="15" customHeight="1">
      <c r="B18" s="24" t="s">
        <v>55</v>
      </c>
      <c r="C18" s="25"/>
      <c r="D18" s="248">
        <f>F18</f>
        <v>261.04700000000003</v>
      </c>
      <c r="E18" s="26"/>
      <c r="F18" s="249">
        <f>SUMIFS(IRNR_neto,Años_datos,Año_seleccionado,Mes_datos,Mes_seleccionado)/1000</f>
        <v>261.04700000000003</v>
      </c>
      <c r="G18" s="27"/>
      <c r="H18" s="248">
        <f>J18</f>
        <v>192.35400000000001</v>
      </c>
      <c r="I18" s="26"/>
      <c r="J18" s="249">
        <f>SUMIFS(IRNR_neto,Años_datos,Año_anterior_seleccionado,Mes_datos,Mes_seleccionado)/1000</f>
        <v>192.35400000000001</v>
      </c>
      <c r="K18" s="27"/>
      <c r="L18" s="28">
        <f>IF(H18=0,"-",IF(ABS((D18-H18)/ABS(H18))*100&gt;=100,"-",IF((D18/H18)&lt;0,"-",((D18-H18)/ABS(H18))*100)))</f>
        <v>35.711760608045587</v>
      </c>
      <c r="M18" s="28">
        <f>IF(J18=0,"-",IF(ABS((F18-J18)/ABS(J18))*100&gt;=100,"-",IF((F18/J18)&lt;0,"-",((F18-J18)/ABS(J18))*100)))</f>
        <v>35.711760608045587</v>
      </c>
    </row>
    <row r="19" spans="2:13" ht="4.5" customHeight="1">
      <c r="B19" s="25"/>
      <c r="C19" s="25"/>
      <c r="D19" s="36"/>
      <c r="E19" s="36"/>
      <c r="F19" s="35"/>
      <c r="G19" s="27"/>
      <c r="H19" s="36"/>
      <c r="I19" s="36"/>
      <c r="J19" s="35"/>
      <c r="K19" s="27"/>
      <c r="L19" s="27"/>
      <c r="M19" s="27"/>
    </row>
    <row r="20" spans="2:13" ht="15" customHeight="1">
      <c r="B20" s="37" t="s">
        <v>56</v>
      </c>
      <c r="C20" s="29"/>
      <c r="D20" s="250">
        <f>F20</f>
        <v>14.712</v>
      </c>
      <c r="E20" s="32"/>
      <c r="F20" s="250">
        <f>SUMIFS(Resto_ingresos_netos_fisc_ambiental_CapI,Años_datos,Año_seleccionado,Mes_datos,Mes_seleccionado)/1000</f>
        <v>14.712</v>
      </c>
      <c r="G20" s="33"/>
      <c r="H20" s="250">
        <f>J20</f>
        <v>-0.495</v>
      </c>
      <c r="I20" s="32"/>
      <c r="J20" s="250">
        <f>SUMIFS(Resto_ingresos_netos_fisc_ambiental_CapI,Años_datos,Año_anterior_seleccionado,Mes_datos,Mes_seleccionado)/1000</f>
        <v>-0.495</v>
      </c>
      <c r="K20" s="33"/>
      <c r="L20" s="38" t="str">
        <f>IF(H20=0,"-",IF(ABS((D20-H20)/ABS(H20))*100&gt;=100,"-",IF((D20/H20)&lt;0,"-",((D20-H20)/ABS(H20))*100)))</f>
        <v>-</v>
      </c>
      <c r="M20" s="34" t="str">
        <f>IF(J20=0,"-",IF(ABS((F20-J20)/ABS(J20))*100&gt;=100,"-",IF((F20/J20)&lt;0,"-",((F20-J20)/ABS(J20))*100)))</f>
        <v>-</v>
      </c>
    </row>
    <row r="21" spans="2:13" ht="15" customHeight="1">
      <c r="B21" s="29" t="s">
        <v>57</v>
      </c>
      <c r="C21" s="29"/>
      <c r="D21" s="250">
        <f>F21</f>
        <v>12.95</v>
      </c>
      <c r="E21" s="32"/>
      <c r="F21" s="250">
        <f>SUMIFS(Resto_ingresos_netos_otros_CapI,Años_datos,Año_seleccionado,Mes_datos,Mes_seleccionado)/1000</f>
        <v>12.95</v>
      </c>
      <c r="G21" s="33"/>
      <c r="H21" s="250">
        <f>J21</f>
        <v>16.913</v>
      </c>
      <c r="I21" s="32"/>
      <c r="J21" s="250">
        <f>SUMIFS(Resto_ingresos_netos_otros_CapI,Años_datos,Año_anterior_seleccionado,Mes_datos,Mes_seleccionado)/1000</f>
        <v>16.913</v>
      </c>
      <c r="K21" s="33"/>
      <c r="L21" s="38">
        <f>IF(H21=0,"-",IF(ABS((D21-H21)/ABS(H21))*100&gt;=100,"-",IF((D21/H21)&lt;0,"-",((D21-H21)/ABS(H21))*100)))</f>
        <v>-23.431679772955718</v>
      </c>
      <c r="M21" s="34">
        <f>IF(J21=0,"-",IF(ABS((F21-J21)/ABS(J21))*100&gt;=100,"-",IF((F21/J21)&lt;0,"-",((F21-J21)/ABS(J21))*100)))</f>
        <v>-23.431679772955718</v>
      </c>
    </row>
    <row r="22" spans="2:13" ht="3" customHeight="1">
      <c r="B22" s="29"/>
      <c r="C22" s="29"/>
      <c r="D22" s="32"/>
      <c r="E22" s="32"/>
      <c r="F22" s="32"/>
      <c r="G22" s="33"/>
      <c r="H22" s="32"/>
      <c r="I22" s="32"/>
      <c r="J22" s="32"/>
      <c r="K22" s="33"/>
      <c r="L22" s="38"/>
      <c r="M22" s="34"/>
    </row>
    <row r="23" spans="2:13" ht="15" customHeight="1">
      <c r="B23" s="39" t="s">
        <v>627</v>
      </c>
      <c r="C23" s="40"/>
      <c r="D23" s="251">
        <f t="shared" ref="D23" si="0">F23-E23</f>
        <v>3435.648000000001</v>
      </c>
      <c r="E23" s="252">
        <f>E14</f>
        <v>4874.1530000000002</v>
      </c>
      <c r="F23" s="251">
        <f>F14+F16+F18+F20+F21</f>
        <v>8309.8010000000013</v>
      </c>
      <c r="G23" s="42"/>
      <c r="H23" s="251">
        <f t="shared" ref="H23" si="1">J23-I23</f>
        <v>2822.7240000000002</v>
      </c>
      <c r="I23" s="252">
        <f>I14</f>
        <v>4728.2</v>
      </c>
      <c r="J23" s="251">
        <f>J14+J16+J18+J20+J21</f>
        <v>7550.924</v>
      </c>
      <c r="K23" s="42"/>
      <c r="L23" s="43">
        <f>IF(H23=0,"-",IF(ABS((D23-H23)/ABS(H23))*100&gt;=100,"-",IF((D23/H23)&lt;0,"-",((D23-H23)/ABS(H23))*100)))</f>
        <v>21.713918895364934</v>
      </c>
      <c r="M23" s="43">
        <f>IF(J23=0,"-",IF(ABS((F23-J23)/ABS(J23))*100&gt;=100,"-",IF((F23/J23)&lt;0,"-",((F23-J23)/ABS(J23))*100)))</f>
        <v>10.050121018301883</v>
      </c>
    </row>
    <row r="24" spans="2:13" ht="6" customHeight="1">
      <c r="B24" s="44"/>
      <c r="C24" s="44"/>
      <c r="D24" s="35"/>
      <c r="E24" s="35"/>
      <c r="F24" s="35"/>
      <c r="G24" s="35"/>
      <c r="H24" s="35"/>
      <c r="I24" s="35"/>
      <c r="J24" s="35"/>
      <c r="K24" s="35"/>
      <c r="L24" s="45"/>
      <c r="M24" s="45"/>
    </row>
    <row r="25" spans="2:13" ht="15" customHeight="1">
      <c r="B25" s="24" t="s">
        <v>58</v>
      </c>
      <c r="C25" s="25"/>
      <c r="D25" s="248">
        <f>SUMIFS(IVA_Estado,Años_datos,Año_seleccionado,Mes_datos,Mes_seleccionado)/1000</f>
        <v>12679.785</v>
      </c>
      <c r="E25" s="248">
        <f>SUMIFS(IVA_AATT,Años_datos,Año_seleccionado,Mes_datos,Mes_seleccionado)/1000</f>
        <v>3591.33</v>
      </c>
      <c r="F25" s="249">
        <f>SUMIFS(IVA_total_neto,Años_datos,Año_seleccionado,Mes_datos,Mes_seleccionado)/1000</f>
        <v>16271.115</v>
      </c>
      <c r="G25" s="27"/>
      <c r="H25" s="248">
        <f>SUMIFS(IVA_Estado,Años_datos,Año_anterior_seleccionado,Mes_datos,Mes_seleccionado)/1000</f>
        <v>12191.873</v>
      </c>
      <c r="I25" s="248">
        <f>SUMIFS(IVA_AATT,Años_datos,Año_anterior_seleccionado,Mes_datos,Mes_seleccionado)/1000</f>
        <v>3590.87</v>
      </c>
      <c r="J25" s="249">
        <f>SUMIFS(IVA_total_neto,Años_datos,Año_anterior_seleccionado,Mes_datos,Mes_seleccionado)/1000</f>
        <v>15782.743</v>
      </c>
      <c r="K25" s="27"/>
      <c r="L25" s="28">
        <f>IF(H25=0,"-",IF(ABS((D25-H25)/ABS(H25))*100&gt;=100,"-",IF((D25/H25)&lt;0,"-",((D25-H25)/ABS(H25))*100)))</f>
        <v>4.0019445740617563</v>
      </c>
      <c r="M25" s="28">
        <f>IF(J25=0,"-",IF(ABS((F25-J25)/ABS(J25))*100&gt;=100,"-",IF((F25/J25)&lt;0,"-",((F25-J25)/ABS(J25))*100)))</f>
        <v>3.0943417123373251</v>
      </c>
    </row>
    <row r="26" spans="2:13" ht="15" customHeight="1">
      <c r="B26" s="46" t="s">
        <v>59</v>
      </c>
      <c r="C26" s="46"/>
      <c r="D26" s="253">
        <f>F26</f>
        <v>1491.8330000000001</v>
      </c>
      <c r="E26" s="47"/>
      <c r="F26" s="253">
        <f>SUMIFS(IVA_importaciones_bruto,Años_datos,Año_seleccionado,Mes_datos,Mes_seleccionado)/1000+SUMIFS(IVA_devoluciones_importaciones,Años_datos,Año_seleccionado,Mes_datos,Mes_seleccionado)/1000</f>
        <v>1491.8330000000001</v>
      </c>
      <c r="G26" s="48"/>
      <c r="H26" s="253">
        <f>J26</f>
        <v>1804.54</v>
      </c>
      <c r="I26" s="47"/>
      <c r="J26" s="253">
        <f>SUMIFS(IVA_importaciones_bruto,Años_datos,Año_anterior_seleccionado,Mes_datos,Mes_seleccionado)/1000+SUMIFS(IVA_devoluciones_importaciones,Años_datos,Año_anterior_seleccionado,Mes_datos,Mes_seleccionado)/1000</f>
        <v>1804.54</v>
      </c>
      <c r="K26" s="48"/>
      <c r="L26" s="49">
        <f>IF(H26=0,"-",IF(ABS((D26-H26)/ABS(H26))*100&gt;=100,"-",IF((D26/H26)&lt;0,"-",((D26-H26)/ABS(H26))*100)))</f>
        <v>-17.328903764948404</v>
      </c>
      <c r="M26" s="49">
        <f>IF(J26=0,"-",IF(ABS((F26-J26)/ABS(J26))*100&gt;=100,"-",IF((F26/J26)&lt;0,"-",((F26-J26)/ABS(J26))*100)))</f>
        <v>-17.328903764948404</v>
      </c>
    </row>
    <row r="27" spans="2:13" ht="15" customHeight="1">
      <c r="B27" s="46" t="s">
        <v>60</v>
      </c>
      <c r="C27" s="46"/>
      <c r="D27" s="253">
        <f>F27-E27</f>
        <v>11187.951999999999</v>
      </c>
      <c r="E27" s="254">
        <f>SUMIFS(IVA_AATT,Años_datos,Año_seleccionado,Mes_datos,Mes_seleccionado)/1000</f>
        <v>3591.33</v>
      </c>
      <c r="F27" s="254">
        <f>F25-F26</f>
        <v>14779.281999999999</v>
      </c>
      <c r="G27" s="51"/>
      <c r="H27" s="253">
        <f>J27-I27</f>
        <v>10387.333000000002</v>
      </c>
      <c r="I27" s="254">
        <f>SUMIFS(IVA_AATT,Años_datos,Año_anterior_seleccionado,Mes_datos,Mes_seleccionado)/1000</f>
        <v>3590.87</v>
      </c>
      <c r="J27" s="254">
        <f>J25-J26</f>
        <v>13978.203000000001</v>
      </c>
      <c r="K27" s="51"/>
      <c r="L27" s="49">
        <f>IF(H27=0,"-",IF(ABS((D27-H27)/ABS(H27))*100&gt;=100,"-",IF((D27/H27)&lt;0,"-",((D27-H27)/ABS(H27))*100)))</f>
        <v>7.7076473816714719</v>
      </c>
      <c r="M27" s="49">
        <f>IF(J27=0,"-",IF(ABS((F27-J27)/ABS(J27))*100&gt;=100,"-",IF((F27/J27)&lt;0,"-",((F27-J27)/ABS(J27))*100)))</f>
        <v>5.7309154831990767</v>
      </c>
    </row>
    <row r="28" spans="2:13" ht="3" customHeight="1">
      <c r="B28" s="29"/>
      <c r="C28" s="29"/>
      <c r="D28" s="32"/>
      <c r="E28" s="32"/>
      <c r="F28" s="30"/>
      <c r="G28" s="52"/>
      <c r="H28" s="32"/>
      <c r="I28" s="32"/>
      <c r="J28" s="30"/>
      <c r="K28" s="52"/>
      <c r="L28" s="34"/>
      <c r="M28" s="34"/>
    </row>
    <row r="29" spans="2:13" ht="15" customHeight="1">
      <c r="B29" s="24" t="s">
        <v>61</v>
      </c>
      <c r="C29" s="25"/>
      <c r="D29" s="248">
        <f>SUMIFS(IIEE_Estado_total,Años_datos,Año_seleccionado,Mes_datos,Mes_seleccionado)/1000</f>
        <v>580.57399999999996</v>
      </c>
      <c r="E29" s="248">
        <f>SUMIFS(IIEE_AATT_total,Años_datos,Año_seleccionado,Mes_datos,Mes_seleccionado)/1000</f>
        <v>1189.1469999999999</v>
      </c>
      <c r="F29" s="249">
        <f>SUMIFS(IIEE_neto_total,Años_datos,Año_seleccionado,Mes_datos,Mes_seleccionado)/1000</f>
        <v>1769.721</v>
      </c>
      <c r="G29" s="27"/>
      <c r="H29" s="248">
        <f>SUMIFS(IIEE_Estado_total,Años_datos,Año_anterior_seleccionado,Mes_datos,Mes_seleccionado)/1000</f>
        <v>237.35300000000001</v>
      </c>
      <c r="I29" s="248">
        <f>SUMIFS(IIEE_AATT_total,Años_datos,Año_anterior_seleccionado,Mes_datos,Mes_seleccionado)/1000</f>
        <v>1188.999</v>
      </c>
      <c r="J29" s="249">
        <f>SUMIFS(IIEE_neto_total,Años_datos,Año_anterior_seleccionado,Mes_datos,Mes_seleccionado)/1000</f>
        <v>1426.3520000000001</v>
      </c>
      <c r="K29" s="27"/>
      <c r="L29" s="28" t="str">
        <f t="shared" ref="L29:L37" si="2">IF(H29=0,"-",IF(ABS((D29-H29)/ABS(H29))*100&gt;=100,"-",IF((D29/H29)&lt;0,"-",((D29-H29)/ABS(H29))*100)))</f>
        <v>-</v>
      </c>
      <c r="M29" s="28">
        <f t="shared" ref="M29:M37" si="3">IF(J29=0,"-",IF(ABS((F29-J29)/ABS(J29))*100&gt;=100,"-",IF((F29/J29)&lt;0,"-",((F29-J29)/ABS(J29))*100)))</f>
        <v>24.073230170392716</v>
      </c>
    </row>
    <row r="30" spans="2:13" ht="15" customHeight="1">
      <c r="B30" s="46" t="s">
        <v>62</v>
      </c>
      <c r="C30" s="46"/>
      <c r="D30" s="253">
        <f t="shared" ref="D30:D36" si="4">F30-E30</f>
        <v>41.938000000000002</v>
      </c>
      <c r="E30" s="253">
        <f>SUMIFS(IIEE_AATT_alcoholes,Años_datos,Año_seleccionado,Mes_datos,Mes_seleccionado)/1000</f>
        <v>48.448999999999998</v>
      </c>
      <c r="F30" s="253">
        <f>SUMIFS(IIEE_neto_alcohol,Años_datos,Año_seleccionado,Mes_datos,Mes_seleccionado)/1000</f>
        <v>90.387</v>
      </c>
      <c r="G30" s="48"/>
      <c r="H30" s="253">
        <f t="shared" ref="H30:H36" si="5">J30-I30</f>
        <v>43.356999999999999</v>
      </c>
      <c r="I30" s="253">
        <f>SUMIFS(IIEE_AATT_alcoholes,Años_datos,Año_anterior_seleccionado,Mes_datos,Mes_seleccionado)/1000</f>
        <v>48.438000000000002</v>
      </c>
      <c r="J30" s="253">
        <f>SUMIFS(IIEE_neto_alcohol,Años_datos,Año_anterior_seleccionado,Mes_datos,Mes_seleccionado)/1000</f>
        <v>91.795000000000002</v>
      </c>
      <c r="K30" s="48"/>
      <c r="L30" s="49">
        <f t="shared" si="2"/>
        <v>-3.2728279170606749</v>
      </c>
      <c r="M30" s="49">
        <f t="shared" si="3"/>
        <v>-1.5338526063511098</v>
      </c>
    </row>
    <row r="31" spans="2:13" ht="15" customHeight="1">
      <c r="B31" s="46" t="s">
        <v>63</v>
      </c>
      <c r="C31" s="46"/>
      <c r="D31" s="253">
        <f t="shared" si="4"/>
        <v>11.380000000000003</v>
      </c>
      <c r="E31" s="253">
        <f>SUMIFS(IIEE_AATT_cerveza,Años_datos,Año_seleccionado,Mes_datos,Mes_seleccionado)/1000</f>
        <v>17.114999999999998</v>
      </c>
      <c r="F31" s="253">
        <f>SUMIFS(IIEE_neto_cerveza,Años_datos,Año_seleccionado,Mes_datos,Mes_seleccionado)/1000</f>
        <v>28.495000000000001</v>
      </c>
      <c r="G31" s="48"/>
      <c r="H31" s="253">
        <f t="shared" si="5"/>
        <v>12.295000000000002</v>
      </c>
      <c r="I31" s="253">
        <f>SUMIFS(IIEE_AATT_cerveza,Años_datos,Año_anterior_seleccionado,Mes_datos,Mes_seleccionado)/1000</f>
        <v>17.111999999999998</v>
      </c>
      <c r="J31" s="253">
        <f>SUMIFS(IIEE_neto_cerveza,Años_datos,Año_anterior_seleccionado,Mes_datos,Mes_seleccionado)/1000</f>
        <v>29.407</v>
      </c>
      <c r="K31" s="48"/>
      <c r="L31" s="49">
        <f t="shared" si="2"/>
        <v>-7.442049613664083</v>
      </c>
      <c r="M31" s="49">
        <f t="shared" si="3"/>
        <v>-3.1013024109905771</v>
      </c>
    </row>
    <row r="32" spans="2:13" ht="15" customHeight="1">
      <c r="B32" s="46" t="s">
        <v>64</v>
      </c>
      <c r="C32" s="46"/>
      <c r="D32" s="253">
        <f t="shared" si="4"/>
        <v>236.68299999999999</v>
      </c>
      <c r="E32" s="253">
        <f>SUMIFS(IIEE_AATT_hidrocarburos,Años_datos,Año_seleccionado,Mes_datos,Mes_seleccionado)/1000</f>
        <v>702.08600000000001</v>
      </c>
      <c r="F32" s="253">
        <f>SUMIFS(IIEE_neto_hidrocarburos,Años_datos,Año_seleccionado,Mes_datos,Mes_seleccionado)/1000</f>
        <v>938.76900000000001</v>
      </c>
      <c r="G32" s="48"/>
      <c r="H32" s="253">
        <f t="shared" si="5"/>
        <v>126.27999999999997</v>
      </c>
      <c r="I32" s="253">
        <f>SUMIFS(IIEE_AATT_hidrocarburos,Años_datos,Año_anterior_seleccionado,Mes_datos,Mes_seleccionado)/1000</f>
        <v>701.97500000000002</v>
      </c>
      <c r="J32" s="253">
        <f>SUMIFS(IIEE_neto_hidrocarburos,Años_datos,Año_anterior_seleccionado,Mes_datos,Mes_seleccionado)/1000</f>
        <v>828.255</v>
      </c>
      <c r="K32" s="48"/>
      <c r="L32" s="49">
        <f t="shared" si="2"/>
        <v>87.427146024707042</v>
      </c>
      <c r="M32" s="49">
        <f t="shared" si="3"/>
        <v>13.342992194432876</v>
      </c>
    </row>
    <row r="33" spans="2:14" ht="15" customHeight="1">
      <c r="B33" s="46" t="s">
        <v>65</v>
      </c>
      <c r="C33" s="46"/>
      <c r="D33" s="253">
        <f t="shared" si="4"/>
        <v>284.23900000000003</v>
      </c>
      <c r="E33" s="253">
        <f>SUMIFS(IIEE_AATT_tabaco,Años_datos,Año_seleccionado,Mes_datos,Mes_seleccionado)/1000</f>
        <v>308.75599999999997</v>
      </c>
      <c r="F33" s="253">
        <f>SUMIFS(IIEE_neto_tabaco,Años_datos,Año_seleccionado,Mes_datos,Mes_seleccionado)/1000</f>
        <v>592.995</v>
      </c>
      <c r="G33" s="48"/>
      <c r="H33" s="253">
        <f t="shared" si="5"/>
        <v>106.69900000000001</v>
      </c>
      <c r="I33" s="253">
        <f>SUMIFS(IIEE_AATT_tabaco,Años_datos,Año_anterior_seleccionado,Mes_datos,Mes_seleccionado)/1000</f>
        <v>308.74</v>
      </c>
      <c r="J33" s="253">
        <f>SUMIFS(IIEE_neto_tabaco,Años_datos,Año_anterior_seleccionado,Mes_datos,Mes_seleccionado)/1000</f>
        <v>415.43900000000002</v>
      </c>
      <c r="K33" s="48"/>
      <c r="L33" s="49" t="str">
        <f t="shared" si="2"/>
        <v>-</v>
      </c>
      <c r="M33" s="49">
        <f t="shared" si="3"/>
        <v>42.739367271729414</v>
      </c>
    </row>
    <row r="34" spans="2:14" ht="15" customHeight="1">
      <c r="B34" s="46" t="s">
        <v>66</v>
      </c>
      <c r="C34" s="46"/>
      <c r="D34" s="253">
        <f t="shared" si="4"/>
        <v>-43.718000000000004</v>
      </c>
      <c r="E34" s="253">
        <f>SUMIFS(IIEE_AATT_electricidad,Años_datos,Año_seleccionado,Mes_datos,Mes_seleccionado)/1000</f>
        <v>111.197</v>
      </c>
      <c r="F34" s="253">
        <f>SUMIFS(IIEE_neto_electricidad,Años_datos,Año_seleccionado,Mes_datos,Mes_seleccionado)/1000</f>
        <v>67.478999999999999</v>
      </c>
      <c r="G34" s="48"/>
      <c r="H34" s="253">
        <f t="shared" si="5"/>
        <v>-95.028999999999996</v>
      </c>
      <c r="I34" s="253">
        <f>SUMIFS(IIEE_AATT_electricidad,Años_datos,Año_anterior_seleccionado,Mes_datos,Mes_seleccionado)/1000</f>
        <v>111.18899999999999</v>
      </c>
      <c r="J34" s="253">
        <f>SUMIFS(IIEE_neto_electricidad,Años_datos,Año_anterior_seleccionado,Mes_datos,Mes_seleccionado)/1000</f>
        <v>16.16</v>
      </c>
      <c r="K34" s="48"/>
      <c r="L34" s="49">
        <f t="shared" si="2"/>
        <v>53.995096233781261</v>
      </c>
      <c r="M34" s="49" t="str">
        <f t="shared" si="3"/>
        <v>-</v>
      </c>
    </row>
    <row r="35" spans="2:14" ht="15" customHeight="1">
      <c r="B35" s="46" t="s">
        <v>625</v>
      </c>
      <c r="C35" s="46"/>
      <c r="D35" s="253">
        <f t="shared" ref="D35" si="6">F35-E35</f>
        <v>44.847999999999999</v>
      </c>
      <c r="E35" s="47"/>
      <c r="F35" s="253">
        <f>SUMIFS(IIEE_neto_plasticos,Años_datos,Año_seleccionado,Mes_datos,Mes_seleccionado)/1000</f>
        <v>44.847999999999999</v>
      </c>
      <c r="G35" s="48"/>
      <c r="H35" s="253">
        <f t="shared" ref="H35" si="7">J35-I35</f>
        <v>41.466999999999999</v>
      </c>
      <c r="I35" s="47"/>
      <c r="J35" s="253">
        <f>SUMIFS(IIEE_neto_plasticos,Años_datos,Año_anterior_seleccionado,Mes_datos,Mes_seleccionado)/1000</f>
        <v>41.466999999999999</v>
      </c>
      <c r="K35" s="48"/>
      <c r="L35" s="49">
        <f t="shared" ref="L35" si="8">IF(H35=0,"-",IF(ABS((D35-H35)/ABS(H35))*100&gt;=100,"-",IF((D35/H35)&lt;0,"-",((D35-H35)/ABS(H35))*100)))</f>
        <v>8.1534714351170816</v>
      </c>
      <c r="M35" s="49">
        <f t="shared" ref="M35" si="9">IF(J35=0,"-",IF(ABS((F35-J35)/ABS(J35))*100&gt;=100,"-",IF((F35/J35)&lt;0,"-",((F35-J35)/ABS(J35))*100)))</f>
        <v>8.1534714351170816</v>
      </c>
    </row>
    <row r="36" spans="2:14" ht="15" customHeight="1">
      <c r="B36" s="46" t="s">
        <v>67</v>
      </c>
      <c r="C36" s="46"/>
      <c r="D36" s="253">
        <f t="shared" si="4"/>
        <v>3.0019999999999998</v>
      </c>
      <c r="E36" s="47"/>
      <c r="F36" s="253">
        <f>SUMIFS(IIEE_neto_carbon,Años_datos,Año_seleccionado,Mes_datos,Mes_seleccionado)/1000</f>
        <v>3.0019999999999998</v>
      </c>
      <c r="G36" s="48"/>
      <c r="H36" s="253">
        <f t="shared" si="5"/>
        <v>0</v>
      </c>
      <c r="I36" s="47"/>
      <c r="J36" s="253">
        <f>SUMIFS(IIEE_neto_carbon,Años_datos,Año_anterior_seleccionado,Mes_datos,Mes_seleccionado)/1000</f>
        <v>0</v>
      </c>
      <c r="K36" s="48"/>
      <c r="L36" s="49" t="str">
        <f t="shared" si="2"/>
        <v>-</v>
      </c>
      <c r="M36" s="49" t="str">
        <f t="shared" si="3"/>
        <v>-</v>
      </c>
    </row>
    <row r="37" spans="2:14" ht="15" customHeight="1">
      <c r="B37" s="46" t="s">
        <v>68</v>
      </c>
      <c r="C37" s="46"/>
      <c r="D37" s="253">
        <f>F37-E37</f>
        <v>2.202</v>
      </c>
      <c r="E37" s="253">
        <f>SUMIFS(IIEE_AATT_prod_intermedios,Años_datos,Año_seleccionado,Mes_datos,Mes_seleccionado)/1000</f>
        <v>1.544</v>
      </c>
      <c r="F37" s="253">
        <f>SUMIFS(IIEE_neto_prod_intermedios,Años_datos,Año_seleccionado,Mes_datos,Mes_seleccionado)/1000+SUMIFS(IIEE_neto_transporte,Años_datos,Año_seleccionado,Mes_datos,Mes_seleccionado)/1000</f>
        <v>3.746</v>
      </c>
      <c r="G37" s="48"/>
      <c r="H37" s="253">
        <f>J37-I37</f>
        <v>2.2839999999999998</v>
      </c>
      <c r="I37" s="253">
        <f>SUMIFS(IIEE_AATT_prod_intermedios,Años_datos,Año_anterior_seleccionado,Mes_datos,Mes_seleccionado)/1000</f>
        <v>1.5449999999999999</v>
      </c>
      <c r="J37" s="253">
        <f>SUMIFS(IIEE_neto_prod_intermedios,Años_datos,Año_anterior_seleccionado,Mes_datos,Mes_seleccionado)/1000+SUMIFS(IIEE_neto_transporte,Años_datos,Año_anterior_seleccionado,Mes_datos,Mes_seleccionado)/1000</f>
        <v>3.8289999999999997</v>
      </c>
      <c r="K37" s="48"/>
      <c r="L37" s="49">
        <f t="shared" si="2"/>
        <v>-3.5901926444833561</v>
      </c>
      <c r="M37" s="49">
        <f t="shared" si="3"/>
        <v>-2.1676677983807719</v>
      </c>
    </row>
    <row r="38" spans="2:14" ht="4.5" customHeight="1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</row>
    <row r="39" spans="2:14" ht="15" customHeight="1">
      <c r="B39" s="54" t="s">
        <v>70</v>
      </c>
      <c r="C39" s="54"/>
      <c r="D39" s="255">
        <f>F39</f>
        <v>179.97800000000001</v>
      </c>
      <c r="E39" s="30"/>
      <c r="F39" s="255">
        <f>SUMIFS(Resto_ingresos_netos_trafico_exterior,Años_datos,Año_seleccionado,Mes_datos,Mes_seleccionado)/1000</f>
        <v>179.97800000000001</v>
      </c>
      <c r="G39" s="52"/>
      <c r="H39" s="255">
        <f>J39</f>
        <v>240.899</v>
      </c>
      <c r="I39" s="30"/>
      <c r="J39" s="255">
        <f>SUMIFS(Resto_ingresos_netos_trafico_exterior,Años_datos,Año_anterior_seleccionado,Mes_datos,Mes_seleccionado)/1000</f>
        <v>240.899</v>
      </c>
      <c r="K39" s="52"/>
      <c r="L39" s="52">
        <f>IF(H39=0,"-",IF(ABS((D39-H39)/ABS(H39))*100&gt;=100,"-",IF((D39/H39)&lt;0,"-",((D39-H39)/ABS(H39))*100)))</f>
        <v>-25.289021540147527</v>
      </c>
      <c r="M39" s="52">
        <f>IF(J39=0,"-",IF(ABS((F39-J39)/ABS(J39))*100&gt;=100,"-",IF((F39/J39)&lt;0,"-",((F39-J39)/ABS(J39))*100)))</f>
        <v>-25.289021540147527</v>
      </c>
    </row>
    <row r="40" spans="2:14" ht="15" customHeight="1">
      <c r="B40" s="54" t="s">
        <v>69</v>
      </c>
      <c r="C40" s="54"/>
      <c r="D40" s="255">
        <f>F40</f>
        <v>242.494</v>
      </c>
      <c r="E40" s="30"/>
      <c r="F40" s="255">
        <f>SUMIFS(Resto_ingresos_netos_primas_seguro,Años_datos,Año_seleccionado,Mes_datos,Mes_seleccionado)/1000</f>
        <v>242.494</v>
      </c>
      <c r="G40" s="52"/>
      <c r="H40" s="255">
        <f>J40</f>
        <v>221.327</v>
      </c>
      <c r="I40" s="30"/>
      <c r="J40" s="255">
        <f>SUMIFS(Resto_ingresos_netos_primas_seguro,Años_datos,Año_anterior_seleccionado,Mes_datos,Mes_seleccionado)/1000</f>
        <v>221.327</v>
      </c>
      <c r="K40" s="52"/>
      <c r="L40" s="52">
        <f>IF(H40=0,"-",IF(ABS((D40-H40)/ABS(H40))*100&gt;=100,"-",IF((D40/H40)&lt;0,"-",((D40-H40)/ABS(H40))*100)))</f>
        <v>9.5636772738978983</v>
      </c>
      <c r="M40" s="52">
        <f>IF(J40=0,"-",IF(ABS((F40-J40)/ABS(J40))*100&gt;=100,"-",IF((F40/J40)&lt;0,"-",((F40-J40)/ABS(J40))*100)))</f>
        <v>9.5636772738978983</v>
      </c>
    </row>
    <row r="41" spans="2:14" ht="15" customHeight="1">
      <c r="B41" s="29" t="s">
        <v>57</v>
      </c>
      <c r="C41" s="37"/>
      <c r="D41" s="250">
        <f>F41</f>
        <v>107.46000000000001</v>
      </c>
      <c r="E41" s="32"/>
      <c r="F41" s="253">
        <f>SUMIFS(Resto_ingresos_netos_Imp_activ_juego,Años_datos,Año_seleccionado,Mes_datos,Mes_seleccionado)/1000+SUMIFS(Resto_ingresos_netos_otros_CapII,Años_datos,Año_seleccionado,Mes_datos,Mes_seleccionado)/1000+SUMIFS(Resto_ingresos_netos_gases_fluorados,Años_datos,Año_seleccionado,Mes_datos,Mes_seleccionado)/1000+SUMIFS(Resto_ingresos_netos_Impuesto_Transacciones_Financieras,Años_datos,Año_seleccionado,Mes_datos,Mes_seleccionado)/1000+SUMIFS(Resto_ingresos_netos_Impuesto_Servicios_Digitales,Años_datos,Año_seleccionado,Mes_datos,Mes_seleccionado)/1000</f>
        <v>107.46000000000001</v>
      </c>
      <c r="G41" s="33"/>
      <c r="H41" s="250">
        <f>J41</f>
        <v>114.46899999999999</v>
      </c>
      <c r="I41" s="32"/>
      <c r="J41" s="253">
        <f>SUMIFS(Resto_ingresos_netos_Imp_activ_juego,Años_datos,Año_anterior_seleccionado,Mes_datos,Mes_seleccionado)/1000+SUMIFS(Resto_ingresos_netos_otros_CapII,Años_datos,Año_anterior_seleccionado,Mes_datos,Mes_seleccionado)/1000+SUMIFS(Resto_ingresos_netos_gases_fluorados,Años_datos,Año_anterior_seleccionado,Mes_datos,Mes_seleccionado)/1000+SUMIFS(Resto_ingresos_netos_Impuesto_Transacciones_Financieras,Años_datos,Año_anterior_seleccionado,Mes_datos,Mes_seleccionado)/1000+SUMIFS(Resto_ingresos_netos_Impuesto_Servicios_Digitales,Años_datos,Año_anterior_seleccionado,Mes_datos,Mes_seleccionado)/1000</f>
        <v>114.46899999999999</v>
      </c>
      <c r="K41" s="33"/>
      <c r="L41" s="38">
        <f>IF(H41=0,"-",IF(ABS((D41-H41)/ABS(H41))*100&gt;=100,"-",IF((D41/H41)&lt;0,"-",((D41-H41)/ABS(H41))*100)))</f>
        <v>-6.1230551503026902</v>
      </c>
      <c r="M41" s="34">
        <f>IF(J41=0,"-",IF(ABS((F41-J41)/ABS(J41))*100&gt;=100,"-",IF((F41/J41)&lt;0,"-",((F41-J41)/ABS(J41))*100)))</f>
        <v>-6.1230551503026902</v>
      </c>
    </row>
    <row r="42" spans="2:14" ht="3" customHeight="1">
      <c r="B42" s="37"/>
      <c r="C42" s="37"/>
      <c r="D42" s="32"/>
      <c r="E42" s="32"/>
      <c r="F42" s="32"/>
      <c r="G42" s="33"/>
      <c r="H42" s="32"/>
      <c r="I42" s="32"/>
      <c r="J42" s="32"/>
      <c r="K42" s="33"/>
      <c r="L42" s="38"/>
      <c r="M42" s="34"/>
    </row>
    <row r="43" spans="2:14" ht="15" customHeight="1">
      <c r="B43" s="39" t="s">
        <v>626</v>
      </c>
      <c r="C43" s="40"/>
      <c r="D43" s="251">
        <f>D25+D29+D39+D40+D41</f>
        <v>13790.290999999999</v>
      </c>
      <c r="E43" s="252">
        <f>E25+E29</f>
        <v>4780.4769999999999</v>
      </c>
      <c r="F43" s="251">
        <f>F25+F29+F39+F40+F41</f>
        <v>18570.767999999996</v>
      </c>
      <c r="G43" s="42"/>
      <c r="H43" s="251">
        <f>H25+H29+H39+H40+H41</f>
        <v>13005.920999999997</v>
      </c>
      <c r="I43" s="252">
        <f>I25+I29</f>
        <v>4779.8689999999997</v>
      </c>
      <c r="J43" s="251">
        <f>J25+J29+J39+J40+J41</f>
        <v>17785.790000000005</v>
      </c>
      <c r="K43" s="42"/>
      <c r="L43" s="43">
        <f>IF(H43=0,"-",IF(ABS((D43-H43)/ABS(H43))*100&gt;=100,"-",IF((D43/H43)&lt;0,"-",((D43-H43)/ABS(H43))*100)))</f>
        <v>6.0308685559446564</v>
      </c>
      <c r="M43" s="43">
        <f>IF(J43=0,"-",IF(ABS((F43-J43)/ABS(J43))*100&gt;=100,"-",IF((F43/J43)&lt;0,"-",((F43-J43)/ABS(J43))*100)))</f>
        <v>4.4135121352494977</v>
      </c>
    </row>
    <row r="44" spans="2:14" ht="6" customHeight="1">
      <c r="B44" s="40"/>
      <c r="C44" s="40"/>
      <c r="D44" s="55"/>
      <c r="E44" s="55"/>
      <c r="F44" s="55"/>
      <c r="G44" s="42"/>
      <c r="H44" s="55"/>
      <c r="I44" s="55"/>
      <c r="J44" s="55"/>
      <c r="K44" s="42"/>
      <c r="L44" s="42"/>
      <c r="M44" s="42"/>
    </row>
    <row r="45" spans="2:14" ht="15" customHeight="1">
      <c r="B45" s="39" t="s">
        <v>71</v>
      </c>
      <c r="C45" s="40"/>
      <c r="D45" s="252">
        <f>F45</f>
        <v>99.402000000000001</v>
      </c>
      <c r="E45" s="41"/>
      <c r="F45" s="251">
        <f>SUMIFS(Resto_ingresos_netos_otros_CapIII,Años_datos,Año_seleccionado,Mes_datos,Mes_seleccionado)/1000+SUMIFS(Resto_ingresos_netos_tasas,Años_datos,Año_seleccionado,Mes_datos,Mes_seleccionado)/1000</f>
        <v>99.402000000000001</v>
      </c>
      <c r="G45" s="42"/>
      <c r="H45" s="252">
        <f>J45</f>
        <v>138.751</v>
      </c>
      <c r="I45" s="41"/>
      <c r="J45" s="251">
        <f>SUMIFS(Resto_ingresos_netos_otros_CapIII,Años_datos,Año_anterior_seleccionado,Mes_datos,Mes_seleccionado)/1000+SUMIFS(Resto_ingresos_netos_tasas,Años_datos,Año_anterior_seleccionado,Mes_datos,Mes_seleccionado)/1000</f>
        <v>138.751</v>
      </c>
      <c r="K45" s="42"/>
      <c r="L45" s="43">
        <f>IF(H45=0,"-",IF(ABS((D45-H45)/ABS(H45))*100&gt;=100,"-",IF((D45/H45)&lt;0,"-",((D45-H45)/ABS(H45))*100)))</f>
        <v>-28.359435247313534</v>
      </c>
      <c r="M45" s="43">
        <f>IF(J45=0,"-",IF(ABS((F45-J45)/ABS(J45))*100&gt;=100,"-",IF((F45/J45)&lt;0,"-",((F45-J45)/ABS(J45))*100)))</f>
        <v>-28.359435247313534</v>
      </c>
    </row>
    <row r="46" spans="2:14" ht="6" customHeight="1">
      <c r="B46" s="56"/>
      <c r="C46" s="56"/>
      <c r="D46" s="35"/>
      <c r="E46" s="35"/>
      <c r="F46" s="35"/>
      <c r="G46" s="27"/>
      <c r="H46" s="35"/>
      <c r="I46" s="35"/>
      <c r="J46" s="35"/>
      <c r="K46" s="27"/>
      <c r="L46" s="57"/>
      <c r="M46" s="57"/>
    </row>
    <row r="47" spans="2:14" ht="17.25" customHeight="1">
      <c r="B47" s="58" t="s">
        <v>72</v>
      </c>
      <c r="C47" s="59"/>
      <c r="D47" s="256">
        <f t="shared" ref="D47" si="10">F47-E47</f>
        <v>17325.340999999993</v>
      </c>
      <c r="E47" s="256">
        <f>IF(E23+E43=SUMIFS(Ingresos_totales_AATT,Años_datos,Año_seleccionado,Mes_datos,Mes_seleccionado)/1000,E23+E43,"REVISAR")</f>
        <v>9654.630000000001</v>
      </c>
      <c r="F47" s="256">
        <f>IF(F23+F43+F45=SUMIFS(Ingresos_netos_totales,Años_datos,Año_seleccionado,Mes_datos,Mes_seleccionado)/1000,F23+F43+F45,"REVISAR")</f>
        <v>26979.970999999994</v>
      </c>
      <c r="G47" s="60"/>
      <c r="H47" s="256">
        <f t="shared" ref="H47" si="11">J47-I47</f>
        <v>15967.396000000004</v>
      </c>
      <c r="I47" s="256">
        <f>IF(I23+I43=SUMIFS(Ingresos_totales_AATT,Años_datos,Año_anterior_seleccionado,Mes_datos,Mes_seleccionado)/1000,I23+I43,"REVISAR")</f>
        <v>9508.0689999999995</v>
      </c>
      <c r="J47" s="256">
        <f>IF(J23+J43+J45=SUMIFS(Ingresos_netos_totales,Años_datos,Año_anterior_seleccionado,Mes_datos,Mes_seleccionado)/1000,J23+J43+J45,"REVISAR")</f>
        <v>25475.465000000004</v>
      </c>
      <c r="K47" s="60"/>
      <c r="L47" s="61">
        <f>IF(H47=0,"-",IF(ABS((D47-H47)/ABS(H47))*100&gt;=100,"-",IF((D47/H47)&lt;0,"-",((D47-H47)/ABS(H47))*100)))</f>
        <v>8.5044862668902841</v>
      </c>
      <c r="M47" s="61">
        <f>IF(J47=0,"-",IF(ABS((F47-J47)/ABS(J47))*100&gt;=100,"-",IF((F47/J47)&lt;0,"-",((F47-J47)/ABS(J47))*100)))</f>
        <v>5.905705744723365</v>
      </c>
    </row>
    <row r="48" spans="2:14" ht="4.5" customHeight="1">
      <c r="B48" s="62"/>
      <c r="C48" s="62"/>
      <c r="D48" s="63"/>
      <c r="E48" s="64"/>
      <c r="F48" s="64"/>
      <c r="G48" s="64"/>
      <c r="H48" s="64"/>
      <c r="I48" s="22"/>
      <c r="J48" s="22"/>
      <c r="K48" s="22"/>
      <c r="L48" s="22"/>
      <c r="M48" s="22"/>
      <c r="N48" s="65"/>
    </row>
    <row r="49" spans="2:15" ht="11.25" customHeight="1">
      <c r="B49" s="54"/>
      <c r="C49" s="54"/>
      <c r="D49" s="255"/>
      <c r="E49" s="30"/>
      <c r="F49" s="255"/>
      <c r="G49" s="52"/>
      <c r="H49" s="255"/>
      <c r="I49" s="30"/>
      <c r="J49" s="255"/>
      <c r="K49" s="52"/>
      <c r="L49" s="52"/>
      <c r="M49" s="52"/>
      <c r="N49" s="65"/>
    </row>
    <row r="50" spans="2:15" ht="6" customHeight="1">
      <c r="B50" s="62"/>
      <c r="C50" s="62"/>
      <c r="D50" s="63"/>
      <c r="E50" s="64"/>
      <c r="F50" s="64"/>
      <c r="G50" s="64"/>
      <c r="H50" s="64"/>
      <c r="I50" s="22"/>
      <c r="J50" s="22"/>
      <c r="K50" s="22"/>
      <c r="L50" s="22"/>
      <c r="M50" s="22"/>
      <c r="N50" s="65"/>
    </row>
    <row r="51" spans="2:15" ht="15.75" customHeight="1" thickBot="1">
      <c r="B51" s="332" t="s">
        <v>73</v>
      </c>
      <c r="C51" s="16"/>
      <c r="D51" s="329">
        <f>Año_seleccionado</f>
        <v>2024</v>
      </c>
      <c r="E51" s="329"/>
      <c r="F51" s="329"/>
      <c r="G51" s="17"/>
      <c r="H51" s="330">
        <f>Año_anterior_seleccionado</f>
        <v>2023</v>
      </c>
      <c r="I51" s="330">
        <v>0</v>
      </c>
      <c r="J51" s="330">
        <v>0</v>
      </c>
      <c r="K51" s="18"/>
      <c r="L51" s="330" t="str">
        <f>L10</f>
        <v>% 24/23</v>
      </c>
      <c r="M51" s="331">
        <v>0</v>
      </c>
    </row>
    <row r="52" spans="2:15" ht="12.75" customHeight="1" thickBot="1">
      <c r="B52" s="333"/>
      <c r="C52" s="16"/>
      <c r="D52" s="19" t="s">
        <v>50</v>
      </c>
      <c r="E52" s="19" t="s">
        <v>51</v>
      </c>
      <c r="F52" s="19" t="s">
        <v>5</v>
      </c>
      <c r="G52" s="20"/>
      <c r="H52" s="19" t="s">
        <v>50</v>
      </c>
      <c r="I52" s="19" t="s">
        <v>51</v>
      </c>
      <c r="J52" s="19" t="s">
        <v>5</v>
      </c>
      <c r="K52" s="19"/>
      <c r="L52" s="19" t="s">
        <v>52</v>
      </c>
      <c r="M52" s="19" t="s">
        <v>5</v>
      </c>
    </row>
    <row r="53" spans="2:15" ht="7.5" customHeight="1">
      <c r="B53" s="21"/>
      <c r="C53" s="21"/>
      <c r="D53" s="22"/>
      <c r="E53" s="22"/>
      <c r="F53" s="22"/>
      <c r="G53" s="22"/>
      <c r="H53" s="22"/>
      <c r="I53" s="22"/>
      <c r="J53" s="22"/>
      <c r="K53" s="22"/>
      <c r="L53" s="22"/>
      <c r="M53" s="22"/>
    </row>
    <row r="54" spans="2:15" ht="3" customHeight="1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</row>
    <row r="55" spans="2:15" ht="15" customHeight="1">
      <c r="B55" s="24" t="s">
        <v>53</v>
      </c>
      <c r="C55" s="25"/>
      <c r="D55" s="248">
        <f>SUMIFS(IRPF_Estado,Años_datos,Año_seleccionado,Datos_periodo,Periodo_seleccionado)/1000</f>
        <v>15062.88</v>
      </c>
      <c r="E55" s="248">
        <f>SUMIFS(IRPF_AATT,Años_datos,Año_seleccionado,Datos_periodo,Periodo_seleccionado)/1000</f>
        <v>9748.3070000000007</v>
      </c>
      <c r="F55" s="248">
        <f>SUMIFS(IRPF_neto_total,Años_datos,Año_seleccionado,Datos_periodo,Periodo_seleccionado)/1000</f>
        <v>24811.187000000002</v>
      </c>
      <c r="G55" s="27"/>
      <c r="H55" s="248">
        <f>SUMIFS(IRPF_Estado,Años_datos,Año_anterior_seleccionado,Datos_periodo,Periodo_seleccionado)/1000</f>
        <v>13670.509</v>
      </c>
      <c r="I55" s="248">
        <f>SUMIFS(IRPF_AATT,Años_datos,Año_anterior_seleccionado,Datos_periodo,Periodo_seleccionado)/1000</f>
        <v>9456.402</v>
      </c>
      <c r="J55" s="248">
        <f>SUMIFS(IRPF_neto_total,Años_datos,Año_anterior_seleccionado,Datos_periodo,Periodo_seleccionado)/1000</f>
        <v>23126.911</v>
      </c>
      <c r="K55" s="27"/>
      <c r="L55" s="28">
        <f>IF(H55=0,"-",IF(ABS((D55-H55)/ABS(H55))*100&gt;=100,"-",IF((D55/H55)&lt;0,"-",((D55-H55)/ABS(H55))*100)))</f>
        <v>10.185216951321998</v>
      </c>
      <c r="M55" s="28">
        <f>IF(J55=0,"-",IF(ABS((F55-J55)/ABS(J55))*100&gt;=100,"-",IF((F55/J55)&lt;0,"-",((F55-J55)/ABS(J55))*100)))</f>
        <v>7.2827538446444562</v>
      </c>
    </row>
    <row r="56" spans="2:15" ht="5.0999999999999996" customHeight="1">
      <c r="B56" s="29"/>
      <c r="C56" s="29"/>
      <c r="D56" s="30"/>
      <c r="E56" s="31"/>
      <c r="F56" s="32"/>
      <c r="G56" s="33"/>
      <c r="H56" s="30"/>
      <c r="I56" s="31"/>
      <c r="J56" s="32"/>
      <c r="K56" s="33"/>
      <c r="L56" s="34"/>
      <c r="M56" s="34"/>
    </row>
    <row r="57" spans="2:15" ht="15" customHeight="1">
      <c r="B57" s="24" t="s">
        <v>54</v>
      </c>
      <c r="C57" s="25"/>
      <c r="D57" s="249">
        <f>F57</f>
        <v>-6253.9570000000003</v>
      </c>
      <c r="E57" s="26"/>
      <c r="F57" s="249">
        <f>SUMIFS(IS_neto_total,Años_datos,Año_seleccionado,Datos_periodo,Periodo_seleccionado)/1000</f>
        <v>-6253.9570000000003</v>
      </c>
      <c r="G57" s="27"/>
      <c r="H57" s="249">
        <f>J57</f>
        <v>-6028.5829999999996</v>
      </c>
      <c r="I57" s="26"/>
      <c r="J57" s="249">
        <f>SUMIFS(IS_neto_total,Años_datos,Año_anterior_seleccionado,Datos_periodo,Periodo_seleccionado)/1000</f>
        <v>-6028.5829999999996</v>
      </c>
      <c r="K57" s="27"/>
      <c r="L57" s="28">
        <f>IF(H57=0,"-",IF(ABS((D57-H57)/ABS(H57))*100&gt;=100,"-",IF((D57/H57)&lt;0,"-",((D57-H57)/ABS(H57))*100)))</f>
        <v>-3.7384241039727031</v>
      </c>
      <c r="M57" s="28">
        <f>IF(J57=0,"-",IF(ABS((F57-J57)/ABS(J57))*100&gt;=100,"-",IF((F57/J57)&lt;0,"-",((F57-J57)/ABS(J57))*100)))</f>
        <v>-3.7384241039727031</v>
      </c>
    </row>
    <row r="58" spans="2:15" ht="4.5" customHeight="1">
      <c r="B58" s="25"/>
      <c r="C58" s="25"/>
      <c r="D58" s="35"/>
      <c r="E58" s="36"/>
      <c r="F58" s="35"/>
      <c r="G58" s="27"/>
      <c r="H58" s="35"/>
      <c r="I58" s="36"/>
      <c r="J58" s="35"/>
      <c r="K58" s="27"/>
      <c r="L58" s="27"/>
      <c r="M58" s="27"/>
    </row>
    <row r="59" spans="2:15" ht="15" customHeight="1">
      <c r="B59" s="24" t="s">
        <v>55</v>
      </c>
      <c r="C59" s="25"/>
      <c r="D59" s="248">
        <f>F59</f>
        <v>791.72699999999998</v>
      </c>
      <c r="E59" s="26"/>
      <c r="F59" s="249">
        <f>SUMIFS(IRNR_neto,Años_datos,Año_seleccionado,Datos_periodo,Periodo_seleccionado)/1000</f>
        <v>791.72699999999998</v>
      </c>
      <c r="G59" s="27"/>
      <c r="H59" s="248">
        <f>J59</f>
        <v>663.99400000000003</v>
      </c>
      <c r="I59" s="26"/>
      <c r="J59" s="249">
        <f>SUMIFS(IRNR_neto,Años_datos,Año_anterior_seleccionado,Datos_periodo,Periodo_seleccionado)/1000</f>
        <v>663.99400000000003</v>
      </c>
      <c r="K59" s="27"/>
      <c r="L59" s="28">
        <f>IF(H59=0,"-",IF(ABS((D59-H59)/ABS(H59))*100&gt;=100,"-",IF((D59/H59)&lt;0,"-",((D59-H59)/ABS(H59))*100)))</f>
        <v>19.237071419320046</v>
      </c>
      <c r="M59" s="28">
        <f>IF(J59=0,"-",IF(ABS((F59-J59)/ABS(J59))*100&gt;=100,"-",IF((F59/J59)&lt;0,"-",((F59-J59)/ABS(J59))*100)))</f>
        <v>19.237071419320046</v>
      </c>
    </row>
    <row r="60" spans="2:15" ht="4.5" customHeight="1">
      <c r="B60" s="25"/>
      <c r="C60" s="25"/>
      <c r="D60" s="36"/>
      <c r="E60" s="36"/>
      <c r="F60" s="35"/>
      <c r="G60" s="27"/>
      <c r="H60" s="36"/>
      <c r="I60" s="36"/>
      <c r="J60" s="35"/>
      <c r="K60" s="27"/>
      <c r="L60" s="27"/>
      <c r="M60" s="27"/>
    </row>
    <row r="61" spans="2:15" ht="15" customHeight="1">
      <c r="B61" s="37" t="s">
        <v>56</v>
      </c>
      <c r="C61" s="29"/>
      <c r="D61" s="250">
        <f>F61</f>
        <v>16.995000000000001</v>
      </c>
      <c r="E61" s="32"/>
      <c r="F61" s="250">
        <f>SUMIFS(Resto_ingresos_netos_fisc_ambiental_CapI,Años_datos,Año_seleccionado,Datos_periodo,Periodo_seleccionado)/1000</f>
        <v>16.995000000000001</v>
      </c>
      <c r="G61" s="33"/>
      <c r="H61" s="250">
        <f>J61</f>
        <v>0.60099999999999998</v>
      </c>
      <c r="I61" s="32"/>
      <c r="J61" s="250">
        <f>SUMIFS(Resto_ingresos_netos_fisc_ambiental_CapI,Años_datos,Año_anterior_seleccionado,Datos_periodo,Periodo_seleccionado)/1000</f>
        <v>0.60099999999999998</v>
      </c>
      <c r="K61" s="33"/>
      <c r="L61" s="38" t="str">
        <f>IF(H61=0,"-",IF(ABS((D61-H61)/ABS(H61))*100&gt;=100,"-",IF((D61/H61)&lt;0,"-",((D61-H61)/ABS(H61))*100)))</f>
        <v>-</v>
      </c>
      <c r="M61" s="34" t="str">
        <f>IF(J61=0,"-",IF(ABS((F61-J61)/ABS(J61))*100&gt;=100,"-",IF((F61/J61)&lt;0,"-",((F61-J61)/ABS(J61))*100)))</f>
        <v>-</v>
      </c>
    </row>
    <row r="62" spans="2:15" ht="15" customHeight="1">
      <c r="B62" s="29" t="s">
        <v>57</v>
      </c>
      <c r="C62" s="29"/>
      <c r="D62" s="250">
        <f>F62</f>
        <v>29.475999999999999</v>
      </c>
      <c r="E62" s="32"/>
      <c r="F62" s="250">
        <f>SUMIFS(Resto_ingresos_netos_otros_CapI,Años_datos,Año_seleccionado,Datos_periodo,Periodo_seleccionado)/1000</f>
        <v>29.475999999999999</v>
      </c>
      <c r="G62" s="33"/>
      <c r="H62" s="250">
        <f>J62</f>
        <v>48.792999999999999</v>
      </c>
      <c r="I62" s="32"/>
      <c r="J62" s="250">
        <f>SUMIFS(Resto_ingresos_netos_otros_CapI,Años_datos,Año_anterior_seleccionado,Datos_periodo,Periodo_seleccionado)/1000</f>
        <v>48.792999999999999</v>
      </c>
      <c r="K62" s="33"/>
      <c r="L62" s="38">
        <f>IF(H62=0,"-",IF(ABS((D62-H62)/ABS(H62))*100&gt;=100,"-",IF((D62/H62)&lt;0,"-",((D62-H62)/ABS(H62))*100)))</f>
        <v>-39.589695243170127</v>
      </c>
      <c r="M62" s="34">
        <f>IF(J62=0,"-",IF(ABS((F62-J62)/ABS(J62))*100&gt;=100,"-",IF((F62/J62)&lt;0,"-",((F62-J62)/ABS(J62))*100)))</f>
        <v>-39.589695243170127</v>
      </c>
      <c r="N62" s="66"/>
      <c r="O62" s="66"/>
    </row>
    <row r="63" spans="2:15" ht="3" customHeight="1">
      <c r="B63" s="29"/>
      <c r="C63" s="29"/>
      <c r="D63" s="32"/>
      <c r="E63" s="32"/>
      <c r="F63" s="32"/>
      <c r="G63" s="33"/>
      <c r="H63" s="32"/>
      <c r="I63" s="32"/>
      <c r="J63" s="32"/>
      <c r="K63" s="33"/>
      <c r="L63" s="38"/>
      <c r="M63" s="34"/>
    </row>
    <row r="64" spans="2:15" ht="15" customHeight="1">
      <c r="B64" s="39" t="s">
        <v>627</v>
      </c>
      <c r="C64" s="40"/>
      <c r="D64" s="251">
        <f>IF(D55+D57+D59+D61+D62=F64-E64,F64-E64,"REVISAR")</f>
        <v>9647.1209999999992</v>
      </c>
      <c r="E64" s="252">
        <f>E55</f>
        <v>9748.3070000000007</v>
      </c>
      <c r="F64" s="251">
        <f>F55+F57+F59+F61+F62</f>
        <v>19395.428</v>
      </c>
      <c r="G64" s="42"/>
      <c r="H64" s="251">
        <f>IF(H55+H57+H59+H61+H62=J64-I64,J64-I64,"REVISAR")</f>
        <v>8355.3140000000003</v>
      </c>
      <c r="I64" s="252">
        <f>I55</f>
        <v>9456.402</v>
      </c>
      <c r="J64" s="251">
        <f>J55+J57+J59+J61+J62</f>
        <v>17811.716</v>
      </c>
      <c r="K64" s="42"/>
      <c r="L64" s="43">
        <f>IF(H64=0,"-",IF(ABS((D64-H64)/ABS(H64))*100&gt;=100,"-",IF((D64/H64)&lt;0,"-",((D64-H64)/ABS(H64))*100)))</f>
        <v>15.460903085150346</v>
      </c>
      <c r="M64" s="43">
        <f>IF(J64=0,"-",IF(ABS((F64-J64)/ABS(J64))*100&gt;=100,"-",IF((F64/J64)&lt;0,"-",((F64-J64)/ABS(J64))*100)))</f>
        <v>8.8914060835014403</v>
      </c>
    </row>
    <row r="65" spans="2:13" ht="6" customHeight="1">
      <c r="B65" s="44"/>
      <c r="C65" s="44"/>
      <c r="D65" s="35"/>
      <c r="E65" s="35"/>
      <c r="F65" s="35"/>
      <c r="G65" s="35"/>
      <c r="H65" s="35"/>
      <c r="I65" s="35"/>
      <c r="J65" s="35"/>
      <c r="K65" s="35"/>
      <c r="L65" s="45"/>
      <c r="M65" s="45"/>
    </row>
    <row r="66" spans="2:13" ht="15" customHeight="1">
      <c r="B66" s="24" t="s">
        <v>58</v>
      </c>
      <c r="C66" s="25"/>
      <c r="D66" s="248">
        <f>SUMIFS(IVA_Estado,Años_datos,Año_seleccionado,Datos_periodo,Periodo_seleccionado)/1000</f>
        <v>14544.187</v>
      </c>
      <c r="E66" s="248">
        <f>SUMIFS(IVA_AATT,Años_datos,Año_seleccionado,Datos_periodo,Periodo_seleccionado)/1000</f>
        <v>7182.66</v>
      </c>
      <c r="F66" s="249">
        <f>SUMIFS(IVA_total_neto,Años_datos,Año_seleccionado,Datos_periodo,Periodo_seleccionado)/1000</f>
        <v>21726.847000000002</v>
      </c>
      <c r="G66" s="27"/>
      <c r="H66" s="248">
        <f>IF((J66-I66)=(SUMIFS(IVA_Estado,Años_datos,Año_anterior_seleccionado,Datos_periodo,Periodo_seleccionado)/1000),(J66-I66),"REVISAR")</f>
        <v>13704.572000000002</v>
      </c>
      <c r="I66" s="248">
        <f>SUMIFS(IVA_AATT,Años_datos,Año_anterior_seleccionado,Datos_periodo,Periodo_seleccionado)/1000</f>
        <v>7181.7389999999996</v>
      </c>
      <c r="J66" s="249">
        <f>SUMIFS(IVA_total_neto,Años_datos,Año_anterior_seleccionado,Datos_periodo,Periodo_seleccionado)/1000</f>
        <v>20886.311000000002</v>
      </c>
      <c r="K66" s="27"/>
      <c r="L66" s="28">
        <f>IF(H66=0,"-",IF(ABS((D66-H66)/ABS(H66))*100&gt;=100,"-",IF((D66/H66)&lt;0,"-",((D66-H66)/ABS(H66))*100)))</f>
        <v>6.1265320799511125</v>
      </c>
      <c r="M66" s="28">
        <f>IF(J66=0,"-",IF(ABS((F66-J66)/ABS(J66))*100&gt;=100,"-",IF((F66/J66)&lt;0,"-",((F66-J66)/ABS(J66))*100)))</f>
        <v>4.0243391951790812</v>
      </c>
    </row>
    <row r="67" spans="2:13" ht="15" customHeight="1">
      <c r="B67" s="46" t="s">
        <v>59</v>
      </c>
      <c r="C67" s="46"/>
      <c r="D67" s="253">
        <f>F67</f>
        <v>3429.1909999999998</v>
      </c>
      <c r="E67" s="47"/>
      <c r="F67" s="253">
        <f>SUMIFS(IVA_importaciones_bruto,Años_datos,Año_seleccionado,Datos_periodo,Periodo_seleccionado)/1000+SUMIFS(IVA_devoluciones_importaciones,Años_datos,Año_seleccionado,Datos_periodo,Periodo_seleccionado)/1000</f>
        <v>3429.1909999999998</v>
      </c>
      <c r="G67" s="48"/>
      <c r="H67" s="253">
        <f>J67</f>
        <v>3937.299</v>
      </c>
      <c r="I67" s="47"/>
      <c r="J67" s="253">
        <f>SUMIFS(IVA_importaciones_bruto,Años_datos,Año_anterior_seleccionado,Datos_periodo,Periodo_seleccionado)/1000+SUMIFS(IVA_devoluciones_importaciones,Años_datos,Año_anterior_seleccionado,Datos_periodo,Periodo_seleccionado)/1000</f>
        <v>3937.299</v>
      </c>
      <c r="K67" s="48"/>
      <c r="L67" s="49">
        <f>IF(H67=0,"-",IF(ABS((D67-H67)/ABS(H67))*100&gt;=100,"-",IF((D67/H67)&lt;0,"-",((D67-H67)/ABS(H67))*100)))</f>
        <v>-12.904988927688757</v>
      </c>
      <c r="M67" s="49">
        <f>IF(J67=0,"-",IF(ABS((F67-J67)/ABS(J67))*100&gt;=100,"-",IF((F67/J67)&lt;0,"-",((F67-J67)/ABS(J67))*100)))</f>
        <v>-12.904988927688757</v>
      </c>
    </row>
    <row r="68" spans="2:13" ht="15" customHeight="1">
      <c r="B68" s="46" t="s">
        <v>60</v>
      </c>
      <c r="C68" s="46"/>
      <c r="D68" s="253">
        <f>F68-E68</f>
        <v>11114.996000000003</v>
      </c>
      <c r="E68" s="254">
        <f>SUMIFS(IVA_AATT,Años_datos,Año_seleccionado,Datos_periodo,Periodo_seleccionado)/1000</f>
        <v>7182.66</v>
      </c>
      <c r="F68" s="254">
        <f>F66-F67</f>
        <v>18297.656000000003</v>
      </c>
      <c r="G68" s="51"/>
      <c r="H68" s="253">
        <f>J68-I68</f>
        <v>9767.2730000000029</v>
      </c>
      <c r="I68" s="254">
        <f>SUMIFS(IVA_AATT,Años_datos,Año_anterior_seleccionado,Datos_periodo,Periodo_seleccionado)/1000</f>
        <v>7181.7389999999996</v>
      </c>
      <c r="J68" s="254">
        <f>J66-J67</f>
        <v>16949.012000000002</v>
      </c>
      <c r="K68" s="51"/>
      <c r="L68" s="49">
        <f>IF(H68=0,"-",IF(ABS((D68-H68)/ABS(H68))*100&gt;=100,"-",IF((D68/H68)&lt;0,"-",((D68-H68)/ABS(H68))*100)))</f>
        <v>13.798354975846374</v>
      </c>
      <c r="M68" s="49">
        <f>IF(J68=0,"-",IF(ABS((F68-J68)/ABS(J68))*100&gt;=100,"-",IF((F68/J68)&lt;0,"-",((F68-J68)/ABS(J68))*100)))</f>
        <v>7.9570655799877894</v>
      </c>
    </row>
    <row r="69" spans="2:13" ht="3" customHeight="1">
      <c r="B69" s="29"/>
      <c r="C69" s="29"/>
      <c r="D69" s="32"/>
      <c r="E69" s="32"/>
      <c r="F69" s="30"/>
      <c r="G69" s="52"/>
      <c r="H69" s="32"/>
      <c r="I69" s="32"/>
      <c r="J69" s="30"/>
      <c r="K69" s="52"/>
      <c r="L69" s="34"/>
      <c r="M69" s="34"/>
    </row>
    <row r="70" spans="2:13" ht="15" customHeight="1">
      <c r="B70" s="24" t="s">
        <v>61</v>
      </c>
      <c r="C70" s="25"/>
      <c r="D70" s="248">
        <f>SUMIFS(IIEE_Estado_total,Años_datos,Año_seleccionado,Datos_periodo,Periodo_seleccionado)/1000</f>
        <v>1003.126</v>
      </c>
      <c r="E70" s="248">
        <f>SUMIFS(IIEE_AATT_total,Años_datos,Año_seleccionado,Datos_periodo,Periodo_seleccionado)/1000</f>
        <v>2378.2939999999999</v>
      </c>
      <c r="F70" s="249">
        <f>SUMIFS(IIEE_neto_total,Años_datos,Año_seleccionado,Datos_periodo,Periodo_seleccionado)/1000</f>
        <v>3381.42</v>
      </c>
      <c r="G70" s="27"/>
      <c r="H70" s="248">
        <f>SUMIFS(IIEE_Estado_total,Años_datos,Año_anterior_seleccionado,Datos_periodo,Periodo_seleccionado)/1000</f>
        <v>700.45299999999997</v>
      </c>
      <c r="I70" s="248">
        <f>SUMIFS(IIEE_AATT_total,Años_datos,Año_anterior_seleccionado,Datos_periodo,Periodo_seleccionado)/1000</f>
        <v>2378.0010000000002</v>
      </c>
      <c r="J70" s="249">
        <f>SUMIFS(IIEE_neto_total,Años_datos,Año_anterior_seleccionado,Datos_periodo,Periodo_seleccionado)/1000</f>
        <v>3078.4540000000002</v>
      </c>
      <c r="K70" s="27"/>
      <c r="L70" s="28">
        <f t="shared" ref="L70:L78" si="12">IF(H70=0,"-",IF(ABS((D70-H70)/ABS(H70))*100&gt;=100,"-",IF((D70/H70)&lt;0,"-",((D70-H70)/ABS(H70))*100)))</f>
        <v>43.211036286517441</v>
      </c>
      <c r="M70" s="28">
        <f t="shared" ref="M70:M78" si="13">IF(J70=0,"-",IF(ABS((F70-J70)/ABS(J70))*100&gt;=100,"-",IF((F70/J70)&lt;0,"-",((F70-J70)/ABS(J70))*100)))</f>
        <v>9.8414983624897392</v>
      </c>
    </row>
    <row r="71" spans="2:13" ht="15" customHeight="1">
      <c r="B71" s="46" t="s">
        <v>62</v>
      </c>
      <c r="C71" s="46"/>
      <c r="D71" s="253">
        <f t="shared" ref="D71:D78" si="14">F71-E71</f>
        <v>58.332999999999998</v>
      </c>
      <c r="E71" s="253">
        <f>SUMIFS(IIEE_AATT_alcoholes,Años_datos,Año_seleccionado,Datos_periodo,Periodo_seleccionado)/1000</f>
        <v>96.897999999999996</v>
      </c>
      <c r="F71" s="253">
        <f>SUMIFS(IIEE_neto_alcohol,Años_datos,Año_seleccionado,Datos_periodo,Periodo_seleccionado)/1000</f>
        <v>155.23099999999999</v>
      </c>
      <c r="G71" s="48"/>
      <c r="H71" s="253">
        <f t="shared" ref="H71:H78" si="15">J71-I71</f>
        <v>58.882999999999981</v>
      </c>
      <c r="I71" s="253">
        <f>SUMIFS(IIEE_AATT_alcoholes,Años_datos,Año_anterior_seleccionado,Datos_periodo,Periodo_seleccionado)/1000</f>
        <v>96.876000000000005</v>
      </c>
      <c r="J71" s="253">
        <f>SUMIFS(IIEE_neto_alcohol,Años_datos,Año_anterior_seleccionado,Datos_periodo,Periodo_seleccionado)/1000</f>
        <v>155.75899999999999</v>
      </c>
      <c r="K71" s="48"/>
      <c r="L71" s="49">
        <f t="shared" si="12"/>
        <v>-0.93405566971788645</v>
      </c>
      <c r="M71" s="49">
        <f t="shared" si="13"/>
        <v>-0.33898522717787838</v>
      </c>
    </row>
    <row r="72" spans="2:13" ht="15" customHeight="1">
      <c r="B72" s="46" t="s">
        <v>63</v>
      </c>
      <c r="C72" s="46"/>
      <c r="D72" s="253">
        <f t="shared" si="14"/>
        <v>23.739999999999995</v>
      </c>
      <c r="E72" s="253">
        <f>SUMIFS(IIEE_AATT_cerveza,Años_datos,Año_seleccionado,Datos_periodo,Periodo_seleccionado)/1000</f>
        <v>34.231000000000002</v>
      </c>
      <c r="F72" s="253">
        <f>SUMIFS(IIEE_neto_cerveza,Años_datos,Año_seleccionado,Datos_periodo,Periodo_seleccionado)/1000</f>
        <v>57.970999999999997</v>
      </c>
      <c r="G72" s="48"/>
      <c r="H72" s="253">
        <f t="shared" si="15"/>
        <v>22.775999999999996</v>
      </c>
      <c r="I72" s="253">
        <f>SUMIFS(IIEE_AATT_cerveza,Años_datos,Año_anterior_seleccionado,Datos_periodo,Periodo_seleccionado)/1000</f>
        <v>34.225000000000001</v>
      </c>
      <c r="J72" s="253">
        <f>SUMIFS(IIEE_neto_cerveza,Años_datos,Año_anterior_seleccionado,Datos_periodo,Periodo_seleccionado)/1000</f>
        <v>57.000999999999998</v>
      </c>
      <c r="K72" s="48"/>
      <c r="L72" s="49">
        <f t="shared" si="12"/>
        <v>4.2325254654021727</v>
      </c>
      <c r="M72" s="49">
        <f t="shared" si="13"/>
        <v>1.7017245311485745</v>
      </c>
    </row>
    <row r="73" spans="2:13" ht="15" customHeight="1">
      <c r="B73" s="46" t="s">
        <v>64</v>
      </c>
      <c r="C73" s="46"/>
      <c r="D73" s="253">
        <f t="shared" si="14"/>
        <v>499.61400000000003</v>
      </c>
      <c r="E73" s="253">
        <f>SUMIFS(IIEE_AATT_hidrocarburos,Años_datos,Año_seleccionado,Datos_periodo,Periodo_seleccionado)/1000</f>
        <v>1404.172</v>
      </c>
      <c r="F73" s="253">
        <f>SUMIFS(IIEE_neto_hidrocarburos,Años_datos,Año_seleccionado,Datos_periodo,Periodo_seleccionado)/1000</f>
        <v>1903.7860000000001</v>
      </c>
      <c r="G73" s="48"/>
      <c r="H73" s="253">
        <f t="shared" si="15"/>
        <v>468.43499999999995</v>
      </c>
      <c r="I73" s="253">
        <f>SUMIFS(IIEE_AATT_hidrocarburos,Años_datos,Año_anterior_seleccionado,Datos_periodo,Periodo_seleccionado)/1000</f>
        <v>1403.951</v>
      </c>
      <c r="J73" s="253">
        <f>SUMIFS(IIEE_neto_hidrocarburos,Años_datos,Año_anterior_seleccionado,Datos_periodo,Periodo_seleccionado)/1000</f>
        <v>1872.386</v>
      </c>
      <c r="K73" s="48"/>
      <c r="L73" s="49">
        <f t="shared" si="12"/>
        <v>6.6559928271798841</v>
      </c>
      <c r="M73" s="49">
        <f t="shared" si="13"/>
        <v>1.6770046347281007</v>
      </c>
    </row>
    <row r="74" spans="2:13" ht="15" customHeight="1">
      <c r="B74" s="46" t="s">
        <v>65</v>
      </c>
      <c r="C74" s="46"/>
      <c r="D74" s="253">
        <f t="shared" si="14"/>
        <v>453.06500000000005</v>
      </c>
      <c r="E74" s="253">
        <f>SUMIFS(IIEE_AATT_tabaco,Años_datos,Año_seleccionado,Datos_periodo,Periodo_seleccionado)/1000</f>
        <v>617.51</v>
      </c>
      <c r="F74" s="253">
        <f>SUMIFS(IIEE_neto_tabaco,Años_datos,Año_seleccionado,Datos_periodo,Periodo_seleccionado)/1000</f>
        <v>1070.575</v>
      </c>
      <c r="G74" s="48"/>
      <c r="H74" s="253">
        <f t="shared" si="15"/>
        <v>283.77699999999993</v>
      </c>
      <c r="I74" s="253">
        <f>SUMIFS(IIEE_AATT_tabaco,Años_datos,Año_anterior_seleccionado,Datos_periodo,Periodo_seleccionado)/1000</f>
        <v>617.48</v>
      </c>
      <c r="J74" s="253">
        <f>SUMIFS(IIEE_neto_tabaco,Años_datos,Año_anterior_seleccionado,Datos_periodo,Periodo_seleccionado)/1000</f>
        <v>901.25699999999995</v>
      </c>
      <c r="K74" s="48"/>
      <c r="L74" s="49">
        <f t="shared" si="12"/>
        <v>59.655292712235372</v>
      </c>
      <c r="M74" s="49">
        <f t="shared" si="13"/>
        <v>18.786872113059882</v>
      </c>
    </row>
    <row r="75" spans="2:13" ht="15" customHeight="1">
      <c r="B75" s="46" t="s">
        <v>66</v>
      </c>
      <c r="C75" s="46"/>
      <c r="D75" s="253">
        <f t="shared" si="14"/>
        <v>-140.1</v>
      </c>
      <c r="E75" s="253">
        <f>SUMIFS(IIEE_AATT_electricidad,Años_datos,Año_seleccionado,Datos_periodo,Periodo_seleccionado)/1000</f>
        <v>222.393</v>
      </c>
      <c r="F75" s="253">
        <f>SUMIFS(IIEE_neto_electricidad,Años_datos,Año_seleccionado,Datos_periodo,Periodo_seleccionado)/1000</f>
        <v>82.293000000000006</v>
      </c>
      <c r="G75" s="48"/>
      <c r="H75" s="253">
        <f t="shared" si="15"/>
        <v>-188.19399999999999</v>
      </c>
      <c r="I75" s="253">
        <f>SUMIFS(IIEE_AATT_electricidad,Años_datos,Año_anterior_seleccionado,Datos_periodo,Periodo_seleccionado)/1000</f>
        <v>222.37799999999999</v>
      </c>
      <c r="J75" s="253">
        <f>SUMIFS(IIEE_neto_electricidad,Años_datos,Año_anterior_seleccionado,Datos_periodo,Periodo_seleccionado)/1000</f>
        <v>34.183999999999997</v>
      </c>
      <c r="K75" s="48"/>
      <c r="L75" s="49">
        <f t="shared" si="12"/>
        <v>25.555543747409587</v>
      </c>
      <c r="M75" s="49" t="str">
        <f t="shared" si="13"/>
        <v>-</v>
      </c>
    </row>
    <row r="76" spans="2:13" ht="15" customHeight="1">
      <c r="B76" s="46" t="s">
        <v>625</v>
      </c>
      <c r="C76" s="46"/>
      <c r="D76" s="253">
        <f t="shared" ref="D76" si="16">F76-E76</f>
        <v>93.73</v>
      </c>
      <c r="E76" s="47"/>
      <c r="F76" s="253">
        <f>SUMIFS(IIEE_neto_plasticos,Años_datos,Año_seleccionado,Datos_periodo,Periodo_seleccionado)/1000</f>
        <v>93.73</v>
      </c>
      <c r="G76" s="48"/>
      <c r="H76" s="253">
        <f t="shared" ref="H76" si="17">J76-I76</f>
        <v>42.456000000000003</v>
      </c>
      <c r="I76" s="47"/>
      <c r="J76" s="253">
        <f>SUMIFS(IIEE_neto_plasticos,Años_datos,Año_anterior_seleccionado,Datos_periodo,Periodo_seleccionado)/1000</f>
        <v>42.456000000000003</v>
      </c>
      <c r="K76" s="48"/>
      <c r="L76" s="49" t="str">
        <f t="shared" ref="L76" si="18">IF(H76=0,"-",IF(ABS((D76-H76)/ABS(H76))*100&gt;=100,"-",IF((D76/H76)&lt;0,"-",((D76-H76)/ABS(H76))*100)))</f>
        <v>-</v>
      </c>
      <c r="M76" s="49" t="str">
        <f t="shared" ref="M76" si="19">IF(J76=0,"-",IF(ABS((F76-J76)/ABS(J76))*100&gt;=100,"-",IF((F76/J76)&lt;0,"-",((F76-J76)/ABS(J76))*100)))</f>
        <v>-</v>
      </c>
    </row>
    <row r="77" spans="2:13" ht="15" customHeight="1">
      <c r="B77" s="46" t="s">
        <v>67</v>
      </c>
      <c r="C77" s="46"/>
      <c r="D77" s="253">
        <f t="shared" si="14"/>
        <v>12.839</v>
      </c>
      <c r="E77" s="47"/>
      <c r="F77" s="253">
        <f>SUMIFS(IIEE_neto_carbon,Años_datos,Año_seleccionado,Datos_periodo,Periodo_seleccionado)/1000</f>
        <v>12.839</v>
      </c>
      <c r="G77" s="48"/>
      <c r="H77" s="253">
        <f t="shared" si="15"/>
        <v>10.528</v>
      </c>
      <c r="I77" s="47"/>
      <c r="J77" s="253">
        <f>SUMIFS(IIEE_neto_carbon,Años_datos,Año_anterior_seleccionado,Datos_periodo,Periodo_seleccionado)/1000</f>
        <v>10.528</v>
      </c>
      <c r="K77" s="48"/>
      <c r="L77" s="49">
        <f t="shared" si="12"/>
        <v>21.950987841945288</v>
      </c>
      <c r="M77" s="49">
        <f t="shared" si="13"/>
        <v>21.950987841945288</v>
      </c>
    </row>
    <row r="78" spans="2:13" ht="15" customHeight="1">
      <c r="B78" s="46" t="s">
        <v>68</v>
      </c>
      <c r="C78" s="46"/>
      <c r="D78" s="253">
        <f t="shared" si="14"/>
        <v>1.9050000000000002</v>
      </c>
      <c r="E78" s="253">
        <f>SUMIFS(IIEE_AATT_prod_intermedios,Años_datos,Año_seleccionado,Datos_periodo,Periodo_seleccionado)/1000</f>
        <v>3.09</v>
      </c>
      <c r="F78" s="253">
        <f>SUMIFS(IIEE_neto_prod_intermedios,Años_datos,Año_seleccionado,Datos_periodo,Periodo_seleccionado)/1000+SUMIFS(IIEE_neto_transporte,Años_datos,Año_seleccionado,Datos_periodo,Periodo_seleccionado)/1000</f>
        <v>4.9950000000000001</v>
      </c>
      <c r="G78" s="48"/>
      <c r="H78" s="253">
        <f t="shared" si="15"/>
        <v>1.7919999999999998</v>
      </c>
      <c r="I78" s="253">
        <f>SUMIFS(IIEE_AATT_prod_intermedios,Años_datos,Año_anterior_seleccionado,Datos_periodo,Periodo_seleccionado)/1000</f>
        <v>3.0910000000000002</v>
      </c>
      <c r="J78" s="253">
        <f>SUMIFS(IIEE_neto_prod_intermedios,Años_datos,Año_anterior_seleccionado,Datos_periodo,Periodo_seleccionado)/1000+SUMIFS(IIEE_neto_transporte,Años_datos,Año_anterior_seleccionado,Datos_periodo,Periodo_seleccionado)/1000</f>
        <v>4.883</v>
      </c>
      <c r="K78" s="48"/>
      <c r="L78" s="49">
        <f t="shared" si="12"/>
        <v>6.305803571428596</v>
      </c>
      <c r="M78" s="49">
        <f t="shared" si="13"/>
        <v>2.293671922998159</v>
      </c>
    </row>
    <row r="79" spans="2:13" ht="3" customHeight="1"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</row>
    <row r="80" spans="2:13" ht="15" customHeight="1">
      <c r="B80" s="54" t="s">
        <v>70</v>
      </c>
      <c r="C80" s="54"/>
      <c r="D80" s="255">
        <f>F80</f>
        <v>385.47300000000001</v>
      </c>
      <c r="E80" s="30"/>
      <c r="F80" s="255">
        <f>SUMIFS(Resto_ingresos_netos_trafico_exterior,Años_datos,Año_seleccionado,Datos_periodo,Periodo_seleccionado)/1000</f>
        <v>385.47300000000001</v>
      </c>
      <c r="G80" s="52"/>
      <c r="H80" s="255">
        <f>J80</f>
        <v>453.25299999999999</v>
      </c>
      <c r="I80" s="30"/>
      <c r="J80" s="255">
        <f>SUMIFS(Resto_ingresos_netos_trafico_exterior,Años_datos,Año_anterior_seleccionado,Datos_periodo,Periodo_seleccionado)/1000</f>
        <v>453.25299999999999</v>
      </c>
      <c r="K80" s="52"/>
      <c r="L80" s="52">
        <f>IF(H80=0,"-",IF(ABS((D80-H80)/ABS(H80))*100&gt;=100,"-",IF((D80/H80)&lt;0,"-",((D80-H80)/ABS(H80))*100)))</f>
        <v>-14.954120546361519</v>
      </c>
      <c r="M80" s="52">
        <f>IF(J80=0,"-",IF(ABS((F80-J80)/ABS(J80))*100&gt;=100,"-",IF((F80/J80)&lt;0,"-",((F80-J80)/ABS(J80))*100)))</f>
        <v>-14.954120546361519</v>
      </c>
    </row>
    <row r="81" spans="1:17" ht="15" customHeight="1">
      <c r="B81" s="54" t="s">
        <v>69</v>
      </c>
      <c r="C81" s="54"/>
      <c r="D81" s="255">
        <f>F81</f>
        <v>442.33699999999999</v>
      </c>
      <c r="E81" s="30"/>
      <c r="F81" s="255">
        <f>SUMIFS(Resto_ingresos_netos_primas_seguro,Años_datos,Año_seleccionado,Datos_periodo,Periodo_seleccionado)/1000</f>
        <v>442.33699999999999</v>
      </c>
      <c r="G81" s="52"/>
      <c r="H81" s="255">
        <f>J81</f>
        <v>402.59300000000002</v>
      </c>
      <c r="I81" s="30"/>
      <c r="J81" s="255">
        <f>SUMIFS(Resto_ingresos_netos_primas_seguro,Años_datos,Año_anterior_seleccionado,Datos_periodo,Periodo_seleccionado)/1000</f>
        <v>402.59300000000002</v>
      </c>
      <c r="K81" s="52"/>
      <c r="L81" s="52">
        <f>IF(H81=0,"-",IF(ABS((D81-H81)/ABS(H81))*100&gt;=100,"-",IF((D81/H81)&lt;0,"-",((D81-H81)/ABS(H81))*100)))</f>
        <v>9.8720047293420325</v>
      </c>
      <c r="M81" s="52">
        <f>IF(J81=0,"-",IF(ABS((F81-J81)/ABS(J81))*100&gt;=100,"-",IF((F81/J81)&lt;0,"-",((F81-J81)/ABS(J81))*100)))</f>
        <v>9.8720047293420325</v>
      </c>
    </row>
    <row r="82" spans="1:17" ht="15" customHeight="1">
      <c r="B82" s="29" t="s">
        <v>57</v>
      </c>
      <c r="C82" s="37"/>
      <c r="D82" s="250">
        <f>F82</f>
        <v>163.33699999999999</v>
      </c>
      <c r="E82" s="32"/>
      <c r="F82" s="253">
        <f>SUMIFS(Resto_ingresos_netos_Imp_activ_juego,Años_datos,Año_seleccionado,Datos_periodo,Periodo_seleccionado)/1000+SUMIFS(Resto_ingresos_netos_otros_CapII,Años_datos,Año_seleccionado,Datos_periodo,Periodo_seleccionado)/1000+SUMIFS(Resto_ingresos_netos_gases_fluorados,Años_datos,Año_seleccionado,Datos_periodo,Periodo_seleccionado)/1000+SUMIFS(Resto_ingresos_netos_Impuesto_Transacciones_Financieras,Años_datos,Año_seleccionado,Datos_periodo,Periodo_seleccionado)/1000+SUMIFS(Resto_ingresos_netos_Impuesto_Servicios_Digitales,Años_datos,Año_seleccionado,Datos_periodo,Periodo_seleccionado)/1000</f>
        <v>163.33699999999999</v>
      </c>
      <c r="G82" s="33"/>
      <c r="H82" s="250">
        <f>J82</f>
        <v>165.07400000000001</v>
      </c>
      <c r="I82" s="32"/>
      <c r="J82" s="253">
        <f>SUMIFS(Resto_ingresos_netos_Imp_activ_juego,Años_datos,Año_anterior_seleccionado,Datos_periodo,Periodo_seleccionado)/1000+SUMIFS(Resto_ingresos_netos_otros_CapII,Años_datos,Año_anterior_seleccionado,Datos_periodo,Periodo_seleccionado)/1000+SUMIFS(Resto_ingresos_netos_gases_fluorados,Años_datos,Año_anterior_seleccionado,Datos_periodo,Periodo_seleccionado)/1000+SUMIFS(Resto_ingresos_netos_Impuesto_Transacciones_Financieras,Años_datos,Año_anterior_seleccionado,Datos_periodo,Periodo_seleccionado)/1000+SUMIFS(Resto_ingresos_netos_Impuesto_Servicios_Digitales,Años_datos,Año_anterior_seleccionado,Datos_periodo,Periodo_seleccionado)/1000</f>
        <v>165.07400000000001</v>
      </c>
      <c r="K82" s="33"/>
      <c r="L82" s="38">
        <f>IF(H82=0,"-",IF(ABS((D82-H82)/ABS(H82))*100&gt;=100,"-",IF((D82/H82)&lt;0,"-",((D82-H82)/ABS(H82))*100)))</f>
        <v>-1.0522553521451126</v>
      </c>
      <c r="M82" s="34">
        <f>IF(J82=0,"-",IF(ABS((F82-J82)/ABS(J82))*100&gt;=100,"-",IF((F82/J82)&lt;0,"-",((F82-J82)/ABS(J82))*100)))</f>
        <v>-1.0522553521451126</v>
      </c>
    </row>
    <row r="83" spans="1:17" ht="3" customHeight="1">
      <c r="B83" s="37"/>
      <c r="C83" s="37"/>
      <c r="D83" s="32"/>
      <c r="E83" s="32"/>
      <c r="F83" s="32"/>
      <c r="G83" s="33"/>
      <c r="H83" s="32"/>
      <c r="I83" s="32"/>
      <c r="J83" s="32"/>
      <c r="K83" s="33"/>
      <c r="L83" s="38"/>
      <c r="M83" s="34"/>
    </row>
    <row r="84" spans="1:17" ht="15" customHeight="1">
      <c r="B84" s="39" t="s">
        <v>626</v>
      </c>
      <c r="C84" s="40"/>
      <c r="D84" s="251">
        <f>D66+D70+D80+D81+D82</f>
        <v>16538.46</v>
      </c>
      <c r="E84" s="252">
        <f>E66+E70</f>
        <v>9560.9539999999997</v>
      </c>
      <c r="F84" s="251">
        <f>F66+F70+F80+F81+F82</f>
        <v>26099.414000000001</v>
      </c>
      <c r="G84" s="42"/>
      <c r="H84" s="251">
        <f>H66+H70+H80+H81+H82</f>
        <v>15425.945000000003</v>
      </c>
      <c r="I84" s="252">
        <f>I66+I70</f>
        <v>9559.74</v>
      </c>
      <c r="J84" s="251">
        <f>J66+J70+J80+J81+J82</f>
        <v>24985.685000000005</v>
      </c>
      <c r="K84" s="42"/>
      <c r="L84" s="43">
        <f>IF(H84=0,"-",IF(ABS((D84-H84)/ABS(H84))*100&gt;=100,"-",IF((D84/H84)&lt;0,"-",((D84-H84)/ABS(H84))*100)))</f>
        <v>7.2119730752313425</v>
      </c>
      <c r="M84" s="43">
        <f>IF(J84=0,"-",IF(ABS((F84-J84)/ABS(J84))*100&gt;=100,"-",IF((F84/J84)&lt;0,"-",((F84-J84)/ABS(J84))*100)))</f>
        <v>4.4574683463751166</v>
      </c>
    </row>
    <row r="85" spans="1:17" ht="6" customHeight="1">
      <c r="B85" s="40"/>
      <c r="C85" s="40"/>
      <c r="D85" s="55"/>
      <c r="E85" s="55"/>
      <c r="F85" s="55"/>
      <c r="G85" s="42"/>
      <c r="H85" s="55"/>
      <c r="I85" s="55"/>
      <c r="J85" s="55"/>
      <c r="K85" s="42"/>
      <c r="L85" s="42"/>
      <c r="M85" s="42"/>
      <c r="N85" s="67"/>
    </row>
    <row r="86" spans="1:17" ht="15" customHeight="1">
      <c r="B86" s="39" t="s">
        <v>71</v>
      </c>
      <c r="C86" s="40"/>
      <c r="D86" s="252">
        <f>F86</f>
        <v>222.26300000000001</v>
      </c>
      <c r="E86" s="41"/>
      <c r="F86" s="251">
        <f>SUMIFS(Resto_ingresos_netos_otros_CapIII,Años_datos,Año_seleccionado,Datos_periodo,Periodo_seleccionado)/1000+SUMIFS(Resto_ingresos_netos_tasas,Años_datos,Año_seleccionado,Datos_periodo,Periodo_seleccionado)/1000</f>
        <v>222.26300000000001</v>
      </c>
      <c r="G86" s="42"/>
      <c r="H86" s="252">
        <f>J86</f>
        <v>250.36799999999999</v>
      </c>
      <c r="I86" s="41"/>
      <c r="J86" s="251">
        <f>SUMIFS(Resto_ingresos_netos_otros_CapIII,Años_datos,Año_anterior_seleccionado,Datos_periodo,Periodo_seleccionado)/1000+SUMIFS(Resto_ingresos_netos_tasas,Años_datos,Año_anterior_seleccionado,Datos_periodo,Periodo_seleccionado)/1000</f>
        <v>250.36799999999999</v>
      </c>
      <c r="K86" s="42"/>
      <c r="L86" s="43">
        <f>IF(H86=0,"-",IF(ABS((D86-H86)/ABS(H86))*100&gt;=100,"-",IF((D86/H86)&lt;0,"-",((D86-H86)/ABS(H86))*100)))</f>
        <v>-11.225476099182</v>
      </c>
      <c r="M86" s="43">
        <f>IF(J86=0,"-",IF(ABS((F86-J86)/ABS(J86))*100&gt;=100,"-",IF((F86/J86)&lt;0,"-",((F86-J86)/ABS(J86))*100)))</f>
        <v>-11.225476099182</v>
      </c>
    </row>
    <row r="87" spans="1:17" ht="6" customHeight="1">
      <c r="B87" s="56"/>
      <c r="C87" s="56"/>
      <c r="D87" s="35"/>
      <c r="E87" s="35"/>
      <c r="F87" s="35"/>
      <c r="G87" s="27"/>
      <c r="H87" s="35"/>
      <c r="I87" s="35"/>
      <c r="J87" s="35"/>
      <c r="K87" s="27"/>
      <c r="L87" s="57"/>
      <c r="M87" s="57"/>
    </row>
    <row r="88" spans="1:17" ht="18" customHeight="1">
      <c r="B88" s="58" t="s">
        <v>72</v>
      </c>
      <c r="C88" s="59"/>
      <c r="D88" s="256">
        <f>IF(D64+D84+D86=F88-E88,F88-E88,"REVISAR")</f>
        <v>26407.844000000005</v>
      </c>
      <c r="E88" s="256">
        <f>IF(E64+E84=SUMIFS(Ingresos_totales_AATT,Años_datos,Año_seleccionado,Datos_periodo,Periodo_seleccionado)/1000,E64+E84,"REVISAR")</f>
        <v>19309.260999999999</v>
      </c>
      <c r="F88" s="256">
        <f>IF(F64+F84+F86=SUMIFS(Ingresos_netos_totales,Años_datos,Año_seleccionado,Datos_periodo,Periodo_seleccionado)/1000,F64+F84+F86,"REVISAR")</f>
        <v>45717.105000000003</v>
      </c>
      <c r="G88" s="60"/>
      <c r="H88" s="256">
        <f>IF(H64+H84+H86=J88-I88,J88-I88,"REVISAR")</f>
        <v>24031.627000000008</v>
      </c>
      <c r="I88" s="256">
        <f>IF(I64+I84=SUMIFS(Ingresos_totales_AATT,Años_datos,Año_anterior_seleccionado,Datos_periodo,Periodo_seleccionado)/1000,I64+I84,"REVISAR")</f>
        <v>19016.142</v>
      </c>
      <c r="J88" s="256">
        <f>IF(J64+J84+J86=SUMIFS(Ingresos_netos_totales,Años_datos,Año_anterior_seleccionado,Datos_periodo,Periodo_seleccionado)/1000,J64+J84+J86,"REVISAR")</f>
        <v>43047.769000000008</v>
      </c>
      <c r="K88" s="60"/>
      <c r="L88" s="61">
        <f>IF(H88=0,"-",IF(ABS((D88-H88)/ABS(H88))*100&gt;=100,"-",IF((D88/H88)&lt;0,"-",((D88-H88)/ABS(H88))*100)))</f>
        <v>9.8878740086969401</v>
      </c>
      <c r="M88" s="61">
        <f>IF(J88=0,"-",IF(ABS((F88-J88)/ABS(J88))*100&gt;=100,"-",IF((F88/J88)&lt;0,"-",((F88-J88)/ABS(J88))*100)))</f>
        <v>6.2008695502895756</v>
      </c>
    </row>
    <row r="89" spans="1:17" customFormat="1" ht="4.5" customHeight="1">
      <c r="B89" s="68"/>
      <c r="C89" s="69"/>
      <c r="D89" s="68"/>
      <c r="E89" s="68"/>
      <c r="F89" s="68"/>
      <c r="G89" s="69"/>
      <c r="H89" s="68"/>
      <c r="I89" s="68"/>
      <c r="J89" s="68"/>
      <c r="K89" s="68"/>
      <c r="L89" s="68"/>
      <c r="M89" s="68"/>
    </row>
    <row r="90" spans="1:17" ht="15.75" customHeight="1">
      <c r="B90" s="54"/>
      <c r="C90" s="54"/>
      <c r="D90" s="255"/>
      <c r="E90" s="30"/>
      <c r="F90" s="255"/>
      <c r="G90" s="52"/>
      <c r="H90" s="255"/>
      <c r="I90" s="30"/>
      <c r="J90" s="255"/>
      <c r="K90" s="52"/>
      <c r="L90" s="52"/>
      <c r="M90" s="52"/>
    </row>
    <row r="91" spans="1:17" ht="32.4" customHeight="1">
      <c r="A91" s="318"/>
      <c r="B91" s="319" t="str">
        <f>CONCATENATE("TAX REVENUE MONTHLY REPORT. ",$Q$4," ",$Q$3)</f>
        <v>TAX REVENUE MONTHLY REPORT. FEBRUARY 2024</v>
      </c>
      <c r="C91" s="320"/>
      <c r="D91" s="321"/>
      <c r="E91" s="321"/>
      <c r="F91" s="321"/>
      <c r="G91" s="322"/>
      <c r="H91" s="321"/>
      <c r="I91" s="321"/>
      <c r="J91" s="321"/>
      <c r="K91" s="321"/>
      <c r="L91" s="321"/>
      <c r="M91" s="323" t="s">
        <v>74</v>
      </c>
      <c r="N91" s="318"/>
    </row>
    <row r="92" spans="1:17" ht="12.6">
      <c r="B92" s="70"/>
      <c r="C92" s="71"/>
      <c r="G92" s="67"/>
      <c r="H92" s="65"/>
      <c r="I92" s="65"/>
      <c r="J92" s="65"/>
      <c r="K92" s="65"/>
      <c r="L92" s="65"/>
      <c r="O92" s="72"/>
    </row>
    <row r="93" spans="1:17" ht="12.6" hidden="1">
      <c r="C93" s="67"/>
      <c r="G93" s="67"/>
      <c r="H93" s="65"/>
      <c r="I93" s="65"/>
      <c r="J93" s="65"/>
      <c r="K93" s="65"/>
      <c r="L93" s="65"/>
    </row>
    <row r="94" spans="1:17" ht="12.6" hidden="1">
      <c r="G94" s="67"/>
      <c r="H94" s="65"/>
      <c r="I94" s="65"/>
      <c r="J94" s="65"/>
      <c r="K94" s="65"/>
      <c r="L94" s="65"/>
    </row>
    <row r="95" spans="1:17" ht="13.8" hidden="1">
      <c r="G95" s="67"/>
      <c r="H95" s="73"/>
      <c r="I95" s="73"/>
      <c r="J95" s="73"/>
      <c r="K95" s="73"/>
      <c r="L95" s="65"/>
      <c r="O95" s="74" t="s">
        <v>229</v>
      </c>
      <c r="P95" s="75" t="s">
        <v>230</v>
      </c>
      <c r="Q95" s="75" t="s">
        <v>231</v>
      </c>
    </row>
    <row r="96" spans="1:17" ht="15" hidden="1" customHeight="1">
      <c r="G96" s="67"/>
      <c r="H96" s="73"/>
      <c r="I96" s="73"/>
      <c r="J96" s="73"/>
      <c r="K96" s="73"/>
      <c r="L96" s="65"/>
      <c r="O96" s="76">
        <v>1996</v>
      </c>
      <c r="P96" s="77" t="s">
        <v>217</v>
      </c>
      <c r="Q96" s="78">
        <v>1</v>
      </c>
    </row>
    <row r="97" spans="7:17" ht="15" hidden="1" customHeight="1">
      <c r="G97" s="67"/>
      <c r="H97" s="73"/>
      <c r="I97" s="73"/>
      <c r="J97" s="73"/>
      <c r="K97" s="73"/>
      <c r="L97" s="65"/>
      <c r="O97" s="76">
        <v>1997</v>
      </c>
      <c r="P97" s="77" t="s">
        <v>218</v>
      </c>
      <c r="Q97" s="78">
        <v>2</v>
      </c>
    </row>
    <row r="98" spans="7:17" ht="15" hidden="1" customHeight="1">
      <c r="G98" s="67"/>
      <c r="H98" s="73"/>
      <c r="I98" s="73"/>
      <c r="J98" s="73"/>
      <c r="K98" s="73"/>
      <c r="L98" s="65"/>
      <c r="O98" s="76">
        <v>1998</v>
      </c>
      <c r="P98" s="77" t="s">
        <v>219</v>
      </c>
      <c r="Q98" s="78">
        <v>3</v>
      </c>
    </row>
    <row r="99" spans="7:17" ht="15" hidden="1" customHeight="1">
      <c r="G99" s="67"/>
      <c r="H99" s="73"/>
      <c r="I99" s="73"/>
      <c r="J99" s="73"/>
      <c r="K99" s="73"/>
      <c r="L99" s="65"/>
      <c r="O99" s="76">
        <v>1999</v>
      </c>
      <c r="P99" s="77" t="s">
        <v>220</v>
      </c>
      <c r="Q99" s="78">
        <v>4</v>
      </c>
    </row>
    <row r="100" spans="7:17" ht="15" hidden="1" customHeight="1">
      <c r="G100" s="67"/>
      <c r="H100" s="73"/>
      <c r="I100" s="73"/>
      <c r="J100" s="73"/>
      <c r="K100" s="73"/>
      <c r="L100" s="65"/>
      <c r="O100" s="76">
        <v>2000</v>
      </c>
      <c r="P100" s="77" t="s">
        <v>221</v>
      </c>
      <c r="Q100" s="78">
        <v>5</v>
      </c>
    </row>
    <row r="101" spans="7:17" ht="15" hidden="1" customHeight="1">
      <c r="G101" s="67"/>
      <c r="H101" s="73"/>
      <c r="I101" s="73"/>
      <c r="J101" s="73"/>
      <c r="K101" s="73"/>
      <c r="L101" s="65"/>
      <c r="O101" s="76">
        <v>2001</v>
      </c>
      <c r="P101" s="77" t="s">
        <v>222</v>
      </c>
      <c r="Q101" s="78">
        <v>6</v>
      </c>
    </row>
    <row r="102" spans="7:17" ht="15" hidden="1" customHeight="1">
      <c r="G102" s="67"/>
      <c r="H102" s="73"/>
      <c r="I102" s="73"/>
      <c r="J102" s="73"/>
      <c r="K102" s="73"/>
      <c r="L102" s="65"/>
      <c r="O102" s="76">
        <v>2002</v>
      </c>
      <c r="P102" s="77" t="s">
        <v>223</v>
      </c>
      <c r="Q102" s="78">
        <v>7</v>
      </c>
    </row>
    <row r="103" spans="7:17" ht="15" hidden="1" customHeight="1">
      <c r="G103" s="67"/>
      <c r="H103" s="73"/>
      <c r="I103" s="73"/>
      <c r="J103" s="73"/>
      <c r="K103" s="73"/>
      <c r="L103" s="65"/>
      <c r="O103" s="76">
        <v>2003</v>
      </c>
      <c r="P103" s="77" t="s">
        <v>224</v>
      </c>
      <c r="Q103" s="78">
        <v>8</v>
      </c>
    </row>
    <row r="104" spans="7:17" ht="15" hidden="1" customHeight="1">
      <c r="G104" s="67"/>
      <c r="H104" s="73"/>
      <c r="I104" s="73"/>
      <c r="J104" s="73"/>
      <c r="K104" s="73"/>
      <c r="L104" s="65"/>
      <c r="O104" s="76">
        <v>2004</v>
      </c>
      <c r="P104" s="77" t="s">
        <v>225</v>
      </c>
      <c r="Q104" s="78">
        <v>9</v>
      </c>
    </row>
    <row r="105" spans="7:17" ht="15" hidden="1" customHeight="1">
      <c r="G105" s="67"/>
      <c r="H105" s="73"/>
      <c r="I105" s="73"/>
      <c r="J105" s="73"/>
      <c r="K105" s="73"/>
      <c r="L105" s="65"/>
      <c r="O105" s="76">
        <v>2005</v>
      </c>
      <c r="P105" s="77" t="s">
        <v>226</v>
      </c>
      <c r="Q105" s="78">
        <v>10</v>
      </c>
    </row>
    <row r="106" spans="7:17" ht="15" hidden="1" customHeight="1">
      <c r="G106" s="67"/>
      <c r="H106" s="73"/>
      <c r="I106" s="73"/>
      <c r="J106" s="73"/>
      <c r="K106" s="73"/>
      <c r="L106" s="65"/>
      <c r="O106" s="76">
        <v>2006</v>
      </c>
      <c r="P106" s="77" t="s">
        <v>227</v>
      </c>
      <c r="Q106" s="78">
        <v>11</v>
      </c>
    </row>
    <row r="107" spans="7:17" ht="15" hidden="1" customHeight="1">
      <c r="G107" s="67"/>
      <c r="H107" s="73"/>
      <c r="I107" s="73"/>
      <c r="J107" s="73"/>
      <c r="K107" s="73"/>
      <c r="L107" s="65"/>
      <c r="O107" s="76">
        <v>2007</v>
      </c>
      <c r="P107" s="77" t="s">
        <v>228</v>
      </c>
      <c r="Q107" s="78">
        <v>12</v>
      </c>
    </row>
    <row r="108" spans="7:17" ht="15" hidden="1" customHeight="1">
      <c r="G108" s="67"/>
      <c r="H108" s="73"/>
      <c r="I108" s="73"/>
      <c r="J108" s="73"/>
      <c r="K108" s="73"/>
      <c r="L108" s="65"/>
      <c r="O108" s="76">
        <v>2008</v>
      </c>
      <c r="P108" s="79"/>
    </row>
    <row r="109" spans="7:17" ht="15" hidden="1" customHeight="1">
      <c r="G109" s="67"/>
      <c r="H109" s="73"/>
      <c r="I109" s="73"/>
      <c r="J109" s="73"/>
      <c r="K109" s="73"/>
      <c r="L109" s="65"/>
      <c r="O109" s="76">
        <v>2009</v>
      </c>
      <c r="P109" s="79"/>
    </row>
    <row r="110" spans="7:17" ht="15" hidden="1" customHeight="1">
      <c r="H110" s="73"/>
      <c r="I110" s="73"/>
      <c r="J110" s="73"/>
      <c r="K110" s="73"/>
      <c r="L110" s="65"/>
      <c r="O110" s="76">
        <v>2010</v>
      </c>
      <c r="P110" s="79"/>
    </row>
    <row r="111" spans="7:17" ht="15" hidden="1" customHeight="1">
      <c r="H111" s="73"/>
      <c r="I111" s="73"/>
      <c r="J111" s="73"/>
      <c r="K111" s="73"/>
      <c r="L111" s="65"/>
      <c r="O111" s="76">
        <v>2011</v>
      </c>
      <c r="P111" s="79"/>
    </row>
    <row r="112" spans="7:17" ht="15" hidden="1" customHeight="1">
      <c r="H112" s="73"/>
      <c r="I112" s="73"/>
      <c r="J112" s="73"/>
      <c r="K112" s="73"/>
      <c r="L112" s="65"/>
      <c r="O112" s="76">
        <v>2012</v>
      </c>
      <c r="P112" s="79"/>
    </row>
    <row r="113" spans="8:16" ht="15" hidden="1" customHeight="1">
      <c r="H113" s="73"/>
      <c r="I113" s="73"/>
      <c r="J113" s="73"/>
      <c r="K113" s="73"/>
      <c r="L113" s="65"/>
      <c r="O113" s="76">
        <v>2013</v>
      </c>
      <c r="P113" s="79"/>
    </row>
    <row r="114" spans="8:16" ht="15" hidden="1" customHeight="1">
      <c r="H114" s="73"/>
      <c r="I114" s="73"/>
      <c r="J114" s="73"/>
      <c r="K114" s="73"/>
      <c r="L114" s="65"/>
      <c r="O114" s="76">
        <v>2014</v>
      </c>
      <c r="P114" s="79"/>
    </row>
    <row r="115" spans="8:16" ht="15" hidden="1" customHeight="1">
      <c r="H115" s="73"/>
      <c r="I115" s="73"/>
      <c r="J115" s="73"/>
      <c r="K115" s="73"/>
      <c r="L115" s="65"/>
      <c r="O115" s="76">
        <v>2015</v>
      </c>
      <c r="P115" s="79"/>
    </row>
    <row r="116" spans="8:16" ht="15" hidden="1" customHeight="1">
      <c r="H116" s="73"/>
      <c r="I116" s="73"/>
      <c r="J116" s="73"/>
      <c r="K116" s="73"/>
      <c r="L116" s="65"/>
      <c r="O116" s="76">
        <v>2016</v>
      </c>
      <c r="P116" s="79"/>
    </row>
    <row r="117" spans="8:16" ht="15" hidden="1" customHeight="1">
      <c r="H117" s="73"/>
      <c r="I117" s="73"/>
      <c r="J117" s="73"/>
      <c r="K117" s="73"/>
      <c r="L117" s="65"/>
      <c r="O117" s="76">
        <v>2017</v>
      </c>
      <c r="P117" s="79"/>
    </row>
    <row r="118" spans="8:16" ht="15" hidden="1" customHeight="1">
      <c r="H118" s="73"/>
      <c r="I118" s="73"/>
      <c r="J118" s="73"/>
      <c r="K118" s="73"/>
      <c r="L118" s="65"/>
      <c r="O118" s="76">
        <v>2018</v>
      </c>
      <c r="P118" s="79"/>
    </row>
    <row r="119" spans="8:16" ht="15" hidden="1" customHeight="1">
      <c r="H119" s="73"/>
      <c r="I119" s="73"/>
      <c r="J119" s="73"/>
      <c r="K119" s="73"/>
      <c r="L119" s="65"/>
      <c r="O119" s="76">
        <v>2019</v>
      </c>
      <c r="P119" s="79"/>
    </row>
    <row r="120" spans="8:16" ht="15" hidden="1" customHeight="1">
      <c r="H120" s="73"/>
      <c r="I120" s="73"/>
      <c r="J120" s="73"/>
      <c r="K120" s="73"/>
      <c r="L120" s="65"/>
      <c r="O120" s="76">
        <v>2020</v>
      </c>
      <c r="P120" s="79"/>
    </row>
    <row r="121" spans="8:16" ht="15" hidden="1" customHeight="1">
      <c r="H121" s="73"/>
      <c r="I121" s="73"/>
      <c r="J121" s="73"/>
      <c r="K121" s="73"/>
      <c r="L121" s="65"/>
      <c r="O121" s="76">
        <v>2021</v>
      </c>
      <c r="P121" s="79"/>
    </row>
    <row r="122" spans="8:16" ht="15" hidden="1" customHeight="1">
      <c r="H122" s="73"/>
      <c r="I122" s="73"/>
      <c r="J122" s="73"/>
      <c r="K122" s="73"/>
      <c r="L122" s="65"/>
      <c r="O122" s="76">
        <v>2022</v>
      </c>
      <c r="P122" s="79"/>
    </row>
    <row r="123" spans="8:16" ht="15" hidden="1" customHeight="1">
      <c r="H123" s="73"/>
      <c r="I123" s="73"/>
      <c r="J123" s="73"/>
      <c r="K123" s="73"/>
      <c r="L123" s="65"/>
      <c r="O123" s="76">
        <v>2023</v>
      </c>
      <c r="P123" s="79"/>
    </row>
    <row r="124" spans="8:16" ht="15" hidden="1" customHeight="1">
      <c r="H124" s="73"/>
      <c r="I124" s="73"/>
      <c r="J124" s="73"/>
      <c r="K124" s="73"/>
      <c r="L124" s="65"/>
      <c r="O124" s="76">
        <v>2024</v>
      </c>
    </row>
    <row r="125" spans="8:16" ht="15" hidden="1" customHeight="1">
      <c r="H125" s="73"/>
      <c r="I125" s="73"/>
      <c r="J125" s="73"/>
      <c r="K125" s="73"/>
      <c r="L125" s="65"/>
      <c r="O125" s="80"/>
    </row>
    <row r="126" spans="8:16" ht="15" hidden="1" customHeight="1">
      <c r="H126" s="65"/>
      <c r="I126" s="65"/>
      <c r="J126" s="65"/>
      <c r="K126" s="65"/>
      <c r="L126" s="65"/>
      <c r="O126" s="80"/>
    </row>
    <row r="127" spans="8:16" ht="15" hidden="1" customHeight="1">
      <c r="H127" s="65"/>
      <c r="I127" s="65"/>
      <c r="J127" s="65"/>
      <c r="K127" s="65"/>
      <c r="L127" s="65"/>
      <c r="O127" s="80"/>
    </row>
    <row r="128" spans="8:16" ht="15" hidden="1" customHeight="1">
      <c r="H128" s="65"/>
      <c r="I128" s="65"/>
      <c r="J128" s="65"/>
      <c r="K128" s="65"/>
      <c r="L128" s="65"/>
      <c r="O128" s="81"/>
    </row>
    <row r="129" spans="8:15" ht="15" hidden="1" customHeight="1">
      <c r="H129" s="65"/>
      <c r="I129" s="65"/>
      <c r="J129" s="65"/>
      <c r="K129" s="65"/>
      <c r="L129" s="65"/>
      <c r="O129" s="81"/>
    </row>
    <row r="130" spans="8:15" ht="15" hidden="1" customHeight="1">
      <c r="H130" s="65"/>
      <c r="I130" s="65"/>
      <c r="J130" s="65"/>
      <c r="K130" s="65"/>
      <c r="L130" s="65"/>
      <c r="O130" s="81"/>
    </row>
    <row r="131" spans="8:15" ht="15" hidden="1" customHeight="1">
      <c r="H131" s="65"/>
      <c r="I131" s="65"/>
      <c r="J131" s="65"/>
      <c r="K131" s="65"/>
      <c r="L131" s="65"/>
      <c r="O131" s="81"/>
    </row>
    <row r="132" spans="8:15" ht="15" hidden="1" customHeight="1">
      <c r="H132" s="65"/>
      <c r="I132" s="65"/>
      <c r="J132" s="65"/>
      <c r="K132" s="65"/>
      <c r="L132" s="65"/>
    </row>
    <row r="133" spans="8:15" ht="15" hidden="1" customHeight="1">
      <c r="H133" s="65"/>
      <c r="I133" s="65"/>
      <c r="J133" s="65"/>
      <c r="K133" s="65"/>
      <c r="L133" s="65"/>
    </row>
    <row r="134" spans="8:15" ht="15" hidden="1" customHeight="1">
      <c r="H134" s="65"/>
      <c r="I134" s="65"/>
      <c r="J134" s="65"/>
      <c r="K134" s="65"/>
      <c r="L134" s="65"/>
    </row>
    <row r="135" spans="8:15" ht="15" hidden="1" customHeight="1">
      <c r="H135" s="65"/>
      <c r="I135" s="65"/>
      <c r="J135" s="65"/>
      <c r="K135" s="65"/>
      <c r="L135" s="65"/>
    </row>
    <row r="136" spans="8:15" ht="15" hidden="1" customHeight="1">
      <c r="H136" s="65"/>
      <c r="I136" s="65"/>
      <c r="J136" s="65"/>
      <c r="K136" s="65"/>
      <c r="L136" s="65"/>
    </row>
    <row r="137" spans="8:15" ht="15" hidden="1" customHeight="1">
      <c r="H137" s="65"/>
      <c r="I137" s="65"/>
      <c r="J137" s="65"/>
      <c r="K137" s="65"/>
      <c r="L137" s="65"/>
    </row>
    <row r="138" spans="8:15" ht="15" hidden="1" customHeight="1">
      <c r="H138" s="65"/>
      <c r="I138" s="65"/>
      <c r="J138" s="65"/>
      <c r="K138" s="65"/>
      <c r="L138" s="65"/>
    </row>
    <row r="139" spans="8:15" ht="15" hidden="1" customHeight="1">
      <c r="H139" s="65"/>
      <c r="I139" s="65"/>
      <c r="J139" s="65"/>
      <c r="K139" s="65"/>
      <c r="L139" s="65"/>
    </row>
    <row r="140" spans="8:15" ht="15" hidden="1" customHeight="1">
      <c r="H140" s="65"/>
      <c r="I140" s="65"/>
      <c r="J140" s="65"/>
      <c r="K140" s="65"/>
      <c r="L140" s="65"/>
    </row>
    <row r="141" spans="8:15" ht="15" hidden="1" customHeight="1">
      <c r="H141" s="65"/>
      <c r="I141" s="65"/>
      <c r="J141" s="65"/>
      <c r="K141" s="65"/>
      <c r="L141" s="65"/>
    </row>
    <row r="142" spans="8:15" ht="15" hidden="1" customHeight="1">
      <c r="H142" s="65"/>
      <c r="I142" s="65"/>
      <c r="J142" s="65"/>
      <c r="K142" s="65"/>
      <c r="L142" s="65"/>
    </row>
    <row r="143" spans="8:15" ht="15" hidden="1" customHeight="1">
      <c r="H143" s="65"/>
      <c r="I143" s="65"/>
      <c r="J143" s="65"/>
      <c r="K143" s="65"/>
      <c r="L143" s="65"/>
    </row>
    <row r="144" spans="8:15" ht="15" hidden="1" customHeight="1">
      <c r="H144" s="65"/>
      <c r="I144" s="65"/>
      <c r="J144" s="65"/>
      <c r="K144" s="65"/>
      <c r="L144" s="65"/>
    </row>
    <row r="145" spans="8:12" ht="15" hidden="1" customHeight="1">
      <c r="H145" s="65"/>
      <c r="I145" s="65"/>
      <c r="J145" s="65"/>
      <c r="K145" s="65"/>
      <c r="L145" s="65"/>
    </row>
    <row r="146" spans="8:12" ht="15" hidden="1" customHeight="1">
      <c r="H146" s="65"/>
      <c r="I146" s="65"/>
      <c r="J146" s="65"/>
      <c r="K146" s="65"/>
      <c r="L146" s="65"/>
    </row>
    <row r="147" spans="8:12" ht="15" hidden="1" customHeight="1">
      <c r="H147" s="65"/>
      <c r="I147" s="65"/>
      <c r="J147" s="65"/>
      <c r="K147" s="65"/>
      <c r="L147" s="65"/>
    </row>
    <row r="148" spans="8:12" ht="15" hidden="1" customHeight="1">
      <c r="H148" s="65"/>
      <c r="I148" s="65"/>
      <c r="J148" s="65"/>
      <c r="K148" s="65"/>
      <c r="L148" s="65"/>
    </row>
    <row r="149" spans="8:12" ht="15" hidden="1" customHeight="1">
      <c r="H149" s="65"/>
      <c r="I149" s="65"/>
      <c r="J149" s="65"/>
      <c r="K149" s="65"/>
      <c r="L149" s="65"/>
    </row>
    <row r="150" spans="8:12" ht="15" hidden="1" customHeight="1">
      <c r="H150" s="65"/>
      <c r="I150" s="65"/>
      <c r="J150" s="65"/>
      <c r="K150" s="65"/>
      <c r="L150" s="65"/>
    </row>
    <row r="151" spans="8:12" ht="15" hidden="1" customHeight="1">
      <c r="H151" s="65"/>
      <c r="I151" s="65"/>
      <c r="J151" s="65"/>
      <c r="K151" s="65"/>
      <c r="L151" s="65"/>
    </row>
    <row r="152" spans="8:12" ht="15" hidden="1" customHeight="1">
      <c r="H152" s="65"/>
      <c r="I152" s="65"/>
      <c r="J152" s="65"/>
      <c r="K152" s="65"/>
      <c r="L152" s="65"/>
    </row>
    <row r="153" spans="8:12" ht="15" hidden="1" customHeight="1">
      <c r="H153" s="65"/>
      <c r="I153" s="65"/>
      <c r="J153" s="65"/>
      <c r="K153" s="65"/>
      <c r="L153" s="65"/>
    </row>
    <row r="154" spans="8:12" ht="15" hidden="1" customHeight="1">
      <c r="H154" s="65"/>
      <c r="I154" s="65"/>
      <c r="J154" s="65"/>
      <c r="K154" s="65"/>
      <c r="L154" s="65"/>
    </row>
    <row r="155" spans="8:12" ht="15" hidden="1" customHeight="1">
      <c r="H155" s="65"/>
      <c r="I155" s="65"/>
      <c r="J155" s="65"/>
      <c r="K155" s="65"/>
      <c r="L155" s="65"/>
    </row>
    <row r="156" spans="8:12" ht="15" hidden="1" customHeight="1">
      <c r="H156" s="65"/>
      <c r="I156" s="65"/>
      <c r="J156" s="65"/>
      <c r="K156" s="65"/>
      <c r="L156" s="65"/>
    </row>
    <row r="157" spans="8:12" ht="15" hidden="1" customHeight="1">
      <c r="H157" s="65"/>
      <c r="I157" s="65"/>
      <c r="J157" s="65"/>
      <c r="K157" s="65"/>
      <c r="L157" s="65"/>
    </row>
    <row r="158" spans="8:12" ht="15" hidden="1" customHeight="1">
      <c r="H158" s="65"/>
      <c r="I158" s="65"/>
      <c r="J158" s="65"/>
      <c r="K158" s="65"/>
      <c r="L158" s="65"/>
    </row>
    <row r="159" spans="8:12" ht="15" hidden="1" customHeight="1">
      <c r="H159" s="65"/>
      <c r="I159" s="65"/>
      <c r="J159" s="65"/>
      <c r="K159" s="65"/>
      <c r="L159" s="65"/>
    </row>
    <row r="160" spans="8:12" ht="15" hidden="1" customHeight="1">
      <c r="H160" s="65"/>
      <c r="I160" s="65"/>
      <c r="J160" s="65"/>
      <c r="K160" s="65"/>
      <c r="L160" s="65"/>
    </row>
    <row r="161" spans="8:12" ht="15" hidden="1" customHeight="1">
      <c r="H161" s="65"/>
      <c r="I161" s="65"/>
      <c r="J161" s="65"/>
      <c r="K161" s="65"/>
      <c r="L161" s="65"/>
    </row>
    <row r="162" spans="8:12" ht="15" hidden="1" customHeight="1">
      <c r="H162" s="65"/>
      <c r="I162" s="65"/>
      <c r="J162" s="65"/>
      <c r="K162" s="65"/>
      <c r="L162" s="65"/>
    </row>
    <row r="163" spans="8:12" ht="15" hidden="1" customHeight="1">
      <c r="H163" s="65"/>
      <c r="I163" s="65"/>
      <c r="J163" s="65"/>
      <c r="K163" s="65"/>
      <c r="L163" s="65"/>
    </row>
    <row r="164" spans="8:12" ht="15" hidden="1" customHeight="1">
      <c r="H164" s="65"/>
      <c r="I164" s="65"/>
      <c r="J164" s="65"/>
      <c r="K164" s="65"/>
      <c r="L164" s="65"/>
    </row>
    <row r="165" spans="8:12" ht="15" hidden="1" customHeight="1">
      <c r="H165" s="65"/>
      <c r="I165" s="65"/>
      <c r="J165" s="65"/>
      <c r="K165" s="65"/>
      <c r="L165" s="65"/>
    </row>
    <row r="166" spans="8:12" ht="15" hidden="1" customHeight="1">
      <c r="H166" s="65"/>
      <c r="I166" s="65"/>
      <c r="J166" s="65"/>
      <c r="K166" s="65"/>
      <c r="L166" s="65"/>
    </row>
    <row r="167" spans="8:12" ht="15" hidden="1" customHeight="1">
      <c r="H167" s="65"/>
      <c r="I167" s="65"/>
      <c r="J167" s="65"/>
      <c r="K167" s="65"/>
      <c r="L167" s="65"/>
    </row>
    <row r="168" spans="8:12" ht="15" hidden="1" customHeight="1">
      <c r="H168" s="65"/>
      <c r="I168" s="65"/>
      <c r="J168" s="65"/>
      <c r="K168" s="65"/>
      <c r="L168" s="65"/>
    </row>
    <row r="169" spans="8:12" ht="15" hidden="1" customHeight="1">
      <c r="H169" s="65"/>
      <c r="I169" s="65"/>
      <c r="J169" s="65"/>
      <c r="K169" s="65"/>
      <c r="L169" s="65"/>
    </row>
    <row r="170" spans="8:12" ht="15" hidden="1" customHeight="1">
      <c r="H170" s="65"/>
      <c r="I170" s="65"/>
      <c r="J170" s="65"/>
      <c r="K170" s="65"/>
      <c r="L170" s="65"/>
    </row>
    <row r="171" spans="8:12" ht="15" hidden="1" customHeight="1">
      <c r="H171" s="65"/>
      <c r="I171" s="65"/>
      <c r="J171" s="65"/>
      <c r="K171" s="65"/>
      <c r="L171" s="65"/>
    </row>
    <row r="172" spans="8:12" ht="15" hidden="1" customHeight="1">
      <c r="H172" s="65"/>
      <c r="I172" s="65"/>
      <c r="J172" s="65"/>
      <c r="K172" s="65"/>
      <c r="L172" s="65"/>
    </row>
    <row r="173" spans="8:12" ht="15" hidden="1" customHeight="1">
      <c r="H173" s="65"/>
      <c r="I173" s="65"/>
      <c r="J173" s="65"/>
      <c r="K173" s="65"/>
      <c r="L173" s="65"/>
    </row>
    <row r="174" spans="8:12" ht="15" hidden="1" customHeight="1">
      <c r="H174" s="65"/>
      <c r="I174" s="65"/>
      <c r="J174" s="65"/>
      <c r="K174" s="65"/>
      <c r="L174" s="65"/>
    </row>
    <row r="175" spans="8:12" ht="15" hidden="1" customHeight="1">
      <c r="H175" s="65"/>
      <c r="I175" s="65"/>
      <c r="J175" s="65"/>
      <c r="K175" s="65"/>
      <c r="L175" s="65"/>
    </row>
    <row r="176" spans="8:12" ht="15" hidden="1" customHeight="1">
      <c r="H176" s="65"/>
      <c r="I176" s="65"/>
      <c r="J176" s="65"/>
      <c r="K176" s="65"/>
      <c r="L176" s="65"/>
    </row>
    <row r="177" spans="8:12" ht="15" hidden="1" customHeight="1">
      <c r="H177" s="65"/>
      <c r="I177" s="65"/>
      <c r="J177" s="65"/>
      <c r="K177" s="65"/>
      <c r="L177" s="65"/>
    </row>
    <row r="178" spans="8:12" ht="15" hidden="1" customHeight="1">
      <c r="H178" s="65"/>
      <c r="I178" s="65"/>
      <c r="J178" s="65"/>
      <c r="K178" s="65"/>
      <c r="L178" s="65"/>
    </row>
    <row r="179" spans="8:12" ht="15" hidden="1" customHeight="1">
      <c r="H179" s="65"/>
      <c r="I179" s="65"/>
      <c r="J179" s="65"/>
      <c r="K179" s="65"/>
      <c r="L179" s="65"/>
    </row>
    <row r="180" spans="8:12" ht="15" hidden="1" customHeight="1">
      <c r="H180" s="65"/>
      <c r="I180" s="65"/>
      <c r="J180" s="65"/>
      <c r="K180" s="65"/>
      <c r="L180" s="65"/>
    </row>
    <row r="181" spans="8:12" ht="15" hidden="1" customHeight="1">
      <c r="H181" s="65"/>
      <c r="I181" s="65"/>
      <c r="J181" s="65"/>
      <c r="K181" s="65"/>
      <c r="L181" s="65"/>
    </row>
    <row r="182" spans="8:12" ht="15" hidden="1" customHeight="1">
      <c r="H182" s="65"/>
      <c r="I182" s="65"/>
      <c r="J182" s="65"/>
      <c r="K182" s="65"/>
      <c r="L182" s="65"/>
    </row>
    <row r="183" spans="8:12" ht="15" hidden="1" customHeight="1">
      <c r="H183" s="65"/>
      <c r="I183" s="65"/>
      <c r="J183" s="65"/>
      <c r="K183" s="65"/>
      <c r="L183" s="65"/>
    </row>
    <row r="184" spans="8:12" ht="15" hidden="1" customHeight="1">
      <c r="H184" s="65"/>
      <c r="I184" s="65"/>
      <c r="J184" s="65"/>
      <c r="K184" s="65"/>
      <c r="L184" s="65"/>
    </row>
    <row r="185" spans="8:12" ht="15" hidden="1" customHeight="1">
      <c r="H185" s="65"/>
      <c r="I185" s="65"/>
      <c r="J185" s="65"/>
      <c r="K185" s="65"/>
      <c r="L185" s="65"/>
    </row>
    <row r="186" spans="8:12" ht="15" hidden="1" customHeight="1">
      <c r="H186" s="65"/>
      <c r="I186" s="65"/>
      <c r="J186" s="65"/>
      <c r="K186" s="65"/>
      <c r="L186" s="65"/>
    </row>
    <row r="187" spans="8:12" ht="15" hidden="1" customHeight="1">
      <c r="H187" s="65"/>
      <c r="I187" s="65"/>
      <c r="J187" s="65"/>
      <c r="K187" s="65"/>
      <c r="L187" s="65"/>
    </row>
    <row r="188" spans="8:12" ht="15" hidden="1" customHeight="1">
      <c r="H188" s="65"/>
      <c r="I188" s="65"/>
      <c r="J188" s="65"/>
      <c r="K188" s="65"/>
      <c r="L188" s="65"/>
    </row>
    <row r="189" spans="8:12" ht="15" hidden="1" customHeight="1">
      <c r="H189" s="65"/>
      <c r="I189" s="65"/>
      <c r="J189" s="65"/>
      <c r="K189" s="65"/>
      <c r="L189" s="65"/>
    </row>
    <row r="190" spans="8:12" ht="15" hidden="1" customHeight="1">
      <c r="H190" s="65"/>
      <c r="I190" s="65"/>
      <c r="J190" s="65"/>
      <c r="K190" s="65"/>
      <c r="L190" s="65"/>
    </row>
    <row r="191" spans="8:12" ht="15" hidden="1" customHeight="1">
      <c r="H191" s="65"/>
      <c r="I191" s="65"/>
      <c r="J191" s="65"/>
      <c r="K191" s="65"/>
      <c r="L191" s="65"/>
    </row>
    <row r="192" spans="8:12" ht="15" hidden="1" customHeight="1">
      <c r="H192" s="65"/>
      <c r="I192" s="65"/>
      <c r="J192" s="65"/>
      <c r="K192" s="65"/>
      <c r="L192" s="65"/>
    </row>
    <row r="193" spans="8:12" ht="15" hidden="1" customHeight="1">
      <c r="H193" s="65"/>
      <c r="I193" s="65"/>
      <c r="J193" s="65"/>
      <c r="K193" s="65"/>
      <c r="L193" s="65"/>
    </row>
    <row r="194" spans="8:12" ht="15" hidden="1" customHeight="1">
      <c r="H194" s="65"/>
      <c r="I194" s="65"/>
      <c r="J194" s="65"/>
      <c r="K194" s="65"/>
      <c r="L194" s="65"/>
    </row>
    <row r="195" spans="8:12" ht="15" hidden="1" customHeight="1">
      <c r="H195" s="65"/>
      <c r="I195" s="65"/>
      <c r="J195" s="65"/>
      <c r="K195" s="65"/>
      <c r="L195" s="65"/>
    </row>
    <row r="196" spans="8:12" ht="15" hidden="1" customHeight="1">
      <c r="H196" s="65"/>
      <c r="I196" s="65"/>
      <c r="J196" s="65"/>
      <c r="K196" s="65"/>
      <c r="L196" s="65"/>
    </row>
    <row r="197" spans="8:12" ht="15" hidden="1" customHeight="1">
      <c r="H197" s="65"/>
      <c r="I197" s="65"/>
      <c r="J197" s="65"/>
      <c r="K197" s="65"/>
      <c r="L197" s="65"/>
    </row>
    <row r="198" spans="8:12" ht="15" hidden="1" customHeight="1">
      <c r="H198" s="65"/>
      <c r="I198" s="65"/>
      <c r="J198" s="65"/>
      <c r="K198" s="65"/>
      <c r="L198" s="65"/>
    </row>
    <row r="199" spans="8:12" ht="15" hidden="1" customHeight="1">
      <c r="H199" s="65"/>
      <c r="I199" s="65"/>
      <c r="J199" s="65"/>
      <c r="K199" s="65"/>
      <c r="L199" s="65"/>
    </row>
    <row r="200" spans="8:12" ht="15" hidden="1" customHeight="1">
      <c r="H200" s="65"/>
      <c r="I200" s="65"/>
      <c r="J200" s="65"/>
      <c r="K200" s="65"/>
      <c r="L200" s="65"/>
    </row>
    <row r="201" spans="8:12" ht="15" hidden="1" customHeight="1">
      <c r="H201" s="65"/>
      <c r="I201" s="65"/>
      <c r="J201" s="65"/>
      <c r="K201" s="65"/>
      <c r="L201" s="65"/>
    </row>
    <row r="202" spans="8:12" ht="15" hidden="1" customHeight="1">
      <c r="H202" s="65"/>
      <c r="I202" s="65"/>
      <c r="J202" s="65"/>
      <c r="K202" s="65"/>
      <c r="L202" s="65"/>
    </row>
    <row r="203" spans="8:12" ht="15" hidden="1" customHeight="1">
      <c r="H203" s="65"/>
      <c r="I203" s="65"/>
      <c r="J203" s="65"/>
      <c r="K203" s="65"/>
      <c r="L203" s="65"/>
    </row>
    <row r="204" spans="8:12" ht="15" hidden="1" customHeight="1">
      <c r="H204" s="65"/>
      <c r="I204" s="65"/>
      <c r="J204" s="65"/>
      <c r="K204" s="65"/>
      <c r="L204" s="65"/>
    </row>
    <row r="205" spans="8:12" ht="15" hidden="1" customHeight="1">
      <c r="H205" s="65"/>
      <c r="I205" s="65"/>
      <c r="J205" s="65"/>
      <c r="K205" s="65"/>
      <c r="L205" s="65"/>
    </row>
    <row r="206" spans="8:12" ht="15" hidden="1" customHeight="1">
      <c r="H206" s="65"/>
      <c r="I206" s="65"/>
      <c r="J206" s="65"/>
      <c r="K206" s="65"/>
      <c r="L206" s="65"/>
    </row>
    <row r="207" spans="8:12" ht="15" hidden="1" customHeight="1">
      <c r="H207" s="65"/>
      <c r="I207" s="65"/>
      <c r="J207" s="65"/>
      <c r="K207" s="65"/>
      <c r="L207" s="65"/>
    </row>
    <row r="208" spans="8:12" ht="15" hidden="1" customHeight="1">
      <c r="H208" s="65"/>
      <c r="I208" s="65"/>
      <c r="J208" s="65"/>
      <c r="K208" s="65"/>
      <c r="L208" s="65"/>
    </row>
    <row r="209" spans="8:12" ht="15" hidden="1" customHeight="1">
      <c r="H209" s="65"/>
      <c r="I209" s="65"/>
      <c r="J209" s="65"/>
      <c r="K209" s="65"/>
      <c r="L209" s="65"/>
    </row>
    <row r="210" spans="8:12" ht="15" hidden="1" customHeight="1">
      <c r="H210" s="65"/>
      <c r="I210" s="65"/>
      <c r="J210" s="65"/>
      <c r="K210" s="65"/>
      <c r="L210" s="65"/>
    </row>
    <row r="211" spans="8:12" ht="15" hidden="1" customHeight="1">
      <c r="H211" s="65"/>
      <c r="I211" s="65"/>
      <c r="J211" s="65"/>
      <c r="K211" s="65"/>
      <c r="L211" s="65"/>
    </row>
    <row r="212" spans="8:12" ht="15" hidden="1" customHeight="1">
      <c r="H212" s="65"/>
      <c r="I212" s="65"/>
      <c r="J212" s="65"/>
      <c r="K212" s="65"/>
      <c r="L212" s="65"/>
    </row>
    <row r="213" spans="8:12" ht="15" hidden="1" customHeight="1">
      <c r="H213" s="65"/>
      <c r="I213" s="65"/>
      <c r="J213" s="65"/>
      <c r="K213" s="65"/>
      <c r="L213" s="65"/>
    </row>
    <row r="214" spans="8:12" ht="15" hidden="1" customHeight="1">
      <c r="H214" s="65"/>
      <c r="I214" s="65"/>
      <c r="J214" s="65"/>
      <c r="K214" s="65"/>
      <c r="L214" s="65"/>
    </row>
    <row r="215" spans="8:12" ht="15" hidden="1" customHeight="1">
      <c r="H215" s="65"/>
      <c r="I215" s="65"/>
      <c r="J215" s="65"/>
      <c r="K215" s="65"/>
      <c r="L215" s="65"/>
    </row>
    <row r="216" spans="8:12" ht="15" hidden="1" customHeight="1">
      <c r="H216" s="65"/>
      <c r="I216" s="65"/>
      <c r="J216" s="65"/>
      <c r="K216" s="65"/>
      <c r="L216" s="65"/>
    </row>
    <row r="217" spans="8:12" ht="15" hidden="1" customHeight="1">
      <c r="H217" s="65"/>
      <c r="I217" s="65"/>
      <c r="J217" s="65"/>
      <c r="K217" s="65"/>
      <c r="L217" s="65"/>
    </row>
    <row r="218" spans="8:12" ht="15" hidden="1" customHeight="1">
      <c r="H218" s="65"/>
      <c r="I218" s="65"/>
      <c r="J218" s="65"/>
      <c r="K218" s="65"/>
      <c r="L218" s="65"/>
    </row>
    <row r="219" spans="8:12" ht="15" hidden="1" customHeight="1">
      <c r="H219" s="65"/>
      <c r="I219" s="65"/>
      <c r="J219" s="65"/>
      <c r="K219" s="65"/>
      <c r="L219" s="65"/>
    </row>
    <row r="220" spans="8:12" ht="15" hidden="1" customHeight="1">
      <c r="H220" s="65"/>
      <c r="I220" s="65"/>
      <c r="J220" s="65"/>
      <c r="K220" s="65"/>
      <c r="L220" s="65"/>
    </row>
    <row r="221" spans="8:12" ht="15" hidden="1" customHeight="1">
      <c r="H221" s="65"/>
      <c r="I221" s="65"/>
      <c r="J221" s="65"/>
      <c r="K221" s="65"/>
      <c r="L221" s="65"/>
    </row>
    <row r="222" spans="8:12" ht="15" hidden="1" customHeight="1">
      <c r="H222" s="65"/>
      <c r="I222" s="65"/>
      <c r="J222" s="65"/>
      <c r="K222" s="65"/>
      <c r="L222" s="65"/>
    </row>
    <row r="223" spans="8:12" ht="15" hidden="1" customHeight="1">
      <c r="H223" s="65"/>
      <c r="I223" s="65"/>
      <c r="J223" s="65"/>
      <c r="K223" s="65"/>
      <c r="L223" s="65"/>
    </row>
    <row r="224" spans="8:12" ht="15" hidden="1" customHeight="1">
      <c r="H224" s="65"/>
      <c r="I224" s="65"/>
      <c r="J224" s="65"/>
      <c r="K224" s="65"/>
      <c r="L224" s="65"/>
    </row>
    <row r="225" spans="8:12" ht="15" hidden="1" customHeight="1">
      <c r="H225" s="65"/>
      <c r="I225" s="65"/>
      <c r="J225" s="65"/>
      <c r="K225" s="65"/>
      <c r="L225" s="65"/>
    </row>
    <row r="226" spans="8:12" ht="15" hidden="1" customHeight="1">
      <c r="H226" s="65"/>
      <c r="I226" s="65"/>
      <c r="J226" s="65"/>
      <c r="K226" s="65"/>
      <c r="L226" s="65"/>
    </row>
    <row r="227" spans="8:12" ht="15" hidden="1" customHeight="1">
      <c r="H227" s="65"/>
      <c r="I227" s="65"/>
      <c r="J227" s="65"/>
      <c r="K227" s="65"/>
      <c r="L227" s="65"/>
    </row>
    <row r="228" spans="8:12" ht="15" hidden="1" customHeight="1">
      <c r="H228" s="65"/>
      <c r="I228" s="65"/>
      <c r="J228" s="65"/>
      <c r="K228" s="65"/>
      <c r="L228" s="65"/>
    </row>
    <row r="229" spans="8:12" ht="15" hidden="1" customHeight="1">
      <c r="H229" s="65"/>
      <c r="I229" s="65"/>
      <c r="J229" s="65"/>
      <c r="K229" s="65"/>
      <c r="L229" s="65"/>
    </row>
    <row r="230" spans="8:12" ht="15" hidden="1" customHeight="1">
      <c r="H230" s="65"/>
      <c r="I230" s="65"/>
      <c r="J230" s="65"/>
      <c r="K230" s="65"/>
      <c r="L230" s="65"/>
    </row>
    <row r="231" spans="8:12" ht="15" hidden="1" customHeight="1">
      <c r="H231" s="65"/>
      <c r="I231" s="65"/>
      <c r="J231" s="65"/>
      <c r="K231" s="65"/>
      <c r="L231" s="65"/>
    </row>
    <row r="232" spans="8:12" ht="15" hidden="1" customHeight="1">
      <c r="H232" s="65"/>
      <c r="I232" s="65"/>
      <c r="J232" s="65"/>
      <c r="K232" s="65"/>
      <c r="L232" s="65"/>
    </row>
    <row r="233" spans="8:12" ht="15" hidden="1" customHeight="1">
      <c r="H233" s="65"/>
      <c r="I233" s="65"/>
      <c r="J233" s="65"/>
      <c r="K233" s="65"/>
      <c r="L233" s="65"/>
    </row>
    <row r="234" spans="8:12" ht="15" hidden="1" customHeight="1">
      <c r="H234" s="65"/>
      <c r="I234" s="65"/>
      <c r="J234" s="65"/>
      <c r="K234" s="65"/>
      <c r="L234" s="65"/>
    </row>
    <row r="235" spans="8:12" ht="15" hidden="1" customHeight="1">
      <c r="H235" s="65"/>
      <c r="I235" s="65"/>
      <c r="J235" s="65"/>
      <c r="K235" s="65"/>
      <c r="L235" s="65"/>
    </row>
    <row r="236" spans="8:12" ht="15" hidden="1" customHeight="1">
      <c r="H236" s="65"/>
      <c r="I236" s="65"/>
      <c r="J236" s="65"/>
      <c r="K236" s="65"/>
      <c r="L236" s="65"/>
    </row>
    <row r="237" spans="8:12" ht="15" hidden="1" customHeight="1">
      <c r="H237" s="65"/>
      <c r="I237" s="65"/>
      <c r="J237" s="65"/>
      <c r="K237" s="65"/>
      <c r="L237" s="65"/>
    </row>
    <row r="238" spans="8:12" ht="15" hidden="1" customHeight="1">
      <c r="H238" s="65"/>
      <c r="I238" s="65"/>
      <c r="J238" s="65"/>
      <c r="K238" s="65"/>
      <c r="L238" s="65"/>
    </row>
    <row r="239" spans="8:12" ht="15" hidden="1" customHeight="1">
      <c r="H239" s="65"/>
      <c r="I239" s="65"/>
      <c r="J239" s="65"/>
      <c r="K239" s="65"/>
      <c r="L239" s="65"/>
    </row>
    <row r="240" spans="8:12" ht="15" hidden="1" customHeight="1">
      <c r="H240" s="65"/>
      <c r="I240" s="65"/>
      <c r="J240" s="65"/>
      <c r="K240" s="65"/>
      <c r="L240" s="65"/>
    </row>
    <row r="241" spans="8:12" ht="15" hidden="1" customHeight="1">
      <c r="H241" s="65"/>
      <c r="I241" s="65"/>
      <c r="J241" s="65"/>
      <c r="K241" s="65"/>
      <c r="L241" s="65"/>
    </row>
    <row r="242" spans="8:12" ht="15" hidden="1" customHeight="1">
      <c r="H242" s="65"/>
      <c r="I242" s="65"/>
      <c r="J242" s="65"/>
      <c r="K242" s="65"/>
      <c r="L242" s="65"/>
    </row>
    <row r="243" spans="8:12" ht="15" hidden="1" customHeight="1">
      <c r="H243" s="65"/>
      <c r="I243" s="65"/>
      <c r="J243" s="65"/>
      <c r="K243" s="65"/>
      <c r="L243" s="65"/>
    </row>
    <row r="244" spans="8:12" ht="15" hidden="1" customHeight="1">
      <c r="H244" s="65"/>
      <c r="I244" s="65"/>
      <c r="J244" s="65"/>
      <c r="K244" s="65"/>
      <c r="L244" s="65"/>
    </row>
    <row r="245" spans="8:12" ht="15" hidden="1" customHeight="1">
      <c r="H245" s="65"/>
      <c r="I245" s="65"/>
      <c r="J245" s="65"/>
      <c r="K245" s="65"/>
      <c r="L245" s="65"/>
    </row>
    <row r="246" spans="8:12" ht="15" hidden="1" customHeight="1">
      <c r="H246" s="65"/>
      <c r="I246" s="65"/>
      <c r="J246" s="65"/>
      <c r="K246" s="65"/>
      <c r="L246" s="65"/>
    </row>
    <row r="247" spans="8:12" ht="15" hidden="1" customHeight="1">
      <c r="H247" s="65"/>
      <c r="I247" s="65"/>
      <c r="J247" s="65"/>
      <c r="K247" s="65"/>
      <c r="L247" s="65"/>
    </row>
    <row r="248" spans="8:12" ht="15" hidden="1" customHeight="1">
      <c r="H248" s="65"/>
      <c r="I248" s="65"/>
      <c r="J248" s="65"/>
      <c r="K248" s="65"/>
      <c r="L248" s="65"/>
    </row>
    <row r="249" spans="8:12" ht="15" hidden="1" customHeight="1">
      <c r="H249" s="65"/>
      <c r="I249" s="65"/>
      <c r="J249" s="65"/>
      <c r="K249" s="65"/>
      <c r="L249" s="65"/>
    </row>
    <row r="250" spans="8:12" ht="15" hidden="1" customHeight="1">
      <c r="H250" s="65"/>
      <c r="I250" s="65"/>
      <c r="J250" s="65"/>
      <c r="K250" s="65"/>
      <c r="L250" s="65"/>
    </row>
    <row r="251" spans="8:12" ht="15" hidden="1" customHeight="1">
      <c r="H251" s="65"/>
      <c r="I251" s="65"/>
      <c r="J251" s="65"/>
      <c r="K251" s="65"/>
      <c r="L251" s="65"/>
    </row>
    <row r="252" spans="8:12" ht="15" hidden="1" customHeight="1">
      <c r="H252" s="65"/>
      <c r="I252" s="65"/>
      <c r="J252" s="65"/>
      <c r="K252" s="65"/>
      <c r="L252" s="65"/>
    </row>
    <row r="253" spans="8:12" ht="15" hidden="1" customHeight="1">
      <c r="H253" s="65"/>
      <c r="I253" s="65"/>
      <c r="J253" s="65"/>
      <c r="K253" s="65"/>
      <c r="L253" s="65"/>
    </row>
    <row r="254" spans="8:12" ht="15" hidden="1" customHeight="1">
      <c r="H254" s="65"/>
      <c r="I254" s="65"/>
      <c r="J254" s="65"/>
      <c r="K254" s="65"/>
      <c r="L254" s="65"/>
    </row>
    <row r="255" spans="8:12" ht="15" hidden="1" customHeight="1">
      <c r="H255" s="65"/>
      <c r="I255" s="65"/>
      <c r="J255" s="65"/>
      <c r="K255" s="65"/>
      <c r="L255" s="65"/>
    </row>
    <row r="256" spans="8:12" ht="15" hidden="1" customHeight="1">
      <c r="H256" s="65"/>
      <c r="I256" s="65"/>
      <c r="J256" s="65"/>
      <c r="K256" s="65"/>
      <c r="L256" s="65"/>
    </row>
    <row r="257" spans="8:12" ht="15" hidden="1" customHeight="1">
      <c r="H257" s="65"/>
      <c r="I257" s="65"/>
      <c r="J257" s="65"/>
      <c r="K257" s="65"/>
      <c r="L257" s="65"/>
    </row>
    <row r="258" spans="8:12" ht="15" hidden="1" customHeight="1">
      <c r="H258" s="65"/>
      <c r="I258" s="65"/>
      <c r="J258" s="65"/>
      <c r="K258" s="65"/>
      <c r="L258" s="65"/>
    </row>
    <row r="259" spans="8:12" ht="15" hidden="1" customHeight="1">
      <c r="H259" s="65"/>
      <c r="I259" s="65"/>
      <c r="J259" s="65"/>
      <c r="K259" s="65"/>
      <c r="L259" s="65"/>
    </row>
    <row r="260" spans="8:12" ht="15" hidden="1" customHeight="1">
      <c r="H260" s="65"/>
      <c r="I260" s="65"/>
      <c r="J260" s="65"/>
      <c r="K260" s="65"/>
      <c r="L260" s="65"/>
    </row>
    <row r="261" spans="8:12" ht="15" hidden="1" customHeight="1">
      <c r="H261" s="65"/>
      <c r="I261" s="65"/>
      <c r="J261" s="65"/>
      <c r="K261" s="65"/>
      <c r="L261" s="65"/>
    </row>
    <row r="262" spans="8:12" ht="15" hidden="1" customHeight="1">
      <c r="H262" s="65"/>
      <c r="I262" s="65"/>
      <c r="J262" s="65"/>
      <c r="K262" s="65"/>
      <c r="L262" s="65"/>
    </row>
    <row r="263" spans="8:12" ht="15" hidden="1" customHeight="1">
      <c r="H263" s="65"/>
      <c r="I263" s="65"/>
      <c r="J263" s="65"/>
      <c r="K263" s="65"/>
      <c r="L263" s="65"/>
    </row>
    <row r="264" spans="8:12" ht="15" hidden="1" customHeight="1">
      <c r="H264" s="65"/>
      <c r="I264" s="65"/>
      <c r="J264" s="65"/>
      <c r="K264" s="65"/>
      <c r="L264" s="65"/>
    </row>
    <row r="265" spans="8:12" ht="15" hidden="1" customHeight="1">
      <c r="H265" s="65"/>
      <c r="I265" s="65"/>
      <c r="J265" s="65"/>
      <c r="K265" s="65"/>
      <c r="L265" s="65"/>
    </row>
    <row r="266" spans="8:12" ht="15" hidden="1" customHeight="1">
      <c r="H266" s="65"/>
      <c r="I266" s="65"/>
      <c r="J266" s="65"/>
      <c r="K266" s="65"/>
      <c r="L266" s="65"/>
    </row>
    <row r="267" spans="8:12" ht="15" hidden="1" customHeight="1">
      <c r="H267" s="65"/>
      <c r="I267" s="65"/>
      <c r="J267" s="65"/>
      <c r="K267" s="65"/>
      <c r="L267" s="65"/>
    </row>
    <row r="268" spans="8:12" ht="15" hidden="1" customHeight="1">
      <c r="H268" s="65"/>
      <c r="I268" s="65"/>
      <c r="J268" s="65"/>
      <c r="K268" s="65"/>
      <c r="L268" s="65"/>
    </row>
    <row r="269" spans="8:12" ht="15" hidden="1" customHeight="1">
      <c r="H269" s="65"/>
      <c r="I269" s="65"/>
      <c r="J269" s="65"/>
      <c r="K269" s="65"/>
      <c r="L269" s="65"/>
    </row>
    <row r="270" spans="8:12" ht="15" hidden="1" customHeight="1">
      <c r="H270" s="65"/>
      <c r="I270" s="65"/>
      <c r="J270" s="65"/>
      <c r="K270" s="65"/>
      <c r="L270" s="65"/>
    </row>
    <row r="271" spans="8:12" ht="15" hidden="1" customHeight="1">
      <c r="H271" s="65"/>
      <c r="I271" s="65"/>
      <c r="J271" s="65"/>
      <c r="K271" s="65"/>
      <c r="L271" s="65"/>
    </row>
    <row r="272" spans="8:12" ht="15" hidden="1" customHeight="1">
      <c r="H272" s="65"/>
      <c r="I272" s="65"/>
      <c r="J272" s="65"/>
      <c r="K272" s="65"/>
      <c r="L272" s="65"/>
    </row>
    <row r="273" spans="8:12" ht="15" hidden="1" customHeight="1">
      <c r="H273" s="65"/>
      <c r="I273" s="65"/>
      <c r="J273" s="65"/>
      <c r="K273" s="65"/>
      <c r="L273" s="65"/>
    </row>
    <row r="274" spans="8:12" ht="15" hidden="1" customHeight="1">
      <c r="H274" s="65"/>
      <c r="I274" s="65"/>
      <c r="J274" s="65"/>
      <c r="K274" s="65"/>
      <c r="L274" s="65"/>
    </row>
    <row r="275" spans="8:12" ht="15" hidden="1" customHeight="1">
      <c r="H275" s="65"/>
      <c r="I275" s="65"/>
      <c r="J275" s="65"/>
      <c r="K275" s="65"/>
      <c r="L275" s="65"/>
    </row>
    <row r="276" spans="8:12" ht="15" hidden="1" customHeight="1">
      <c r="H276" s="65"/>
      <c r="I276" s="65"/>
      <c r="J276" s="65"/>
      <c r="K276" s="65"/>
      <c r="L276" s="65"/>
    </row>
    <row r="277" spans="8:12" ht="15" hidden="1" customHeight="1">
      <c r="H277" s="65"/>
      <c r="I277" s="65"/>
      <c r="J277" s="65"/>
      <c r="K277" s="65"/>
      <c r="L277" s="65"/>
    </row>
    <row r="278" spans="8:12" ht="15" hidden="1" customHeight="1">
      <c r="H278" s="65"/>
      <c r="I278" s="65"/>
      <c r="J278" s="65"/>
      <c r="K278" s="65"/>
      <c r="L278" s="65"/>
    </row>
    <row r="279" spans="8:12" ht="15" hidden="1" customHeight="1">
      <c r="H279" s="65"/>
      <c r="I279" s="65"/>
      <c r="J279" s="65"/>
      <c r="K279" s="65"/>
      <c r="L279" s="65"/>
    </row>
    <row r="280" spans="8:12" ht="15" hidden="1" customHeight="1">
      <c r="H280" s="65"/>
      <c r="I280" s="65"/>
      <c r="J280" s="65"/>
      <c r="K280" s="65"/>
      <c r="L280" s="65"/>
    </row>
    <row r="281" spans="8:12" ht="15" hidden="1" customHeight="1">
      <c r="H281" s="65"/>
      <c r="I281" s="65"/>
      <c r="J281" s="65"/>
      <c r="K281" s="65"/>
      <c r="L281" s="65"/>
    </row>
    <row r="282" spans="8:12" ht="15" hidden="1" customHeight="1">
      <c r="H282" s="65"/>
      <c r="I282" s="65"/>
      <c r="J282" s="65"/>
      <c r="K282" s="65"/>
      <c r="L282" s="65"/>
    </row>
    <row r="283" spans="8:12" ht="15" hidden="1" customHeight="1">
      <c r="H283" s="65"/>
      <c r="I283" s="65"/>
      <c r="J283" s="65"/>
      <c r="K283" s="65"/>
      <c r="L283" s="65"/>
    </row>
    <row r="284" spans="8:12" ht="15" hidden="1" customHeight="1">
      <c r="H284" s="65"/>
      <c r="I284" s="65"/>
      <c r="J284" s="65"/>
      <c r="K284" s="65"/>
      <c r="L284" s="65"/>
    </row>
    <row r="285" spans="8:12" ht="15" hidden="1" customHeight="1">
      <c r="H285" s="65"/>
      <c r="I285" s="65"/>
      <c r="J285" s="65"/>
      <c r="K285" s="65"/>
      <c r="L285" s="65"/>
    </row>
    <row r="286" spans="8:12" ht="15" hidden="1" customHeight="1">
      <c r="H286" s="65"/>
      <c r="I286" s="65"/>
      <c r="J286" s="65"/>
      <c r="K286" s="65"/>
      <c r="L286" s="65"/>
    </row>
    <row r="287" spans="8:12" ht="15" hidden="1" customHeight="1">
      <c r="H287" s="65"/>
      <c r="I287" s="65"/>
      <c r="J287" s="65"/>
      <c r="K287" s="65"/>
      <c r="L287" s="65"/>
    </row>
    <row r="288" spans="8:12" ht="15" hidden="1" customHeight="1">
      <c r="H288" s="65"/>
      <c r="I288" s="65"/>
      <c r="J288" s="65"/>
      <c r="K288" s="65"/>
      <c r="L288" s="65"/>
    </row>
    <row r="289" spans="8:12" ht="15" hidden="1" customHeight="1">
      <c r="H289" s="65"/>
      <c r="I289" s="65"/>
      <c r="J289" s="65"/>
      <c r="K289" s="65"/>
      <c r="L289" s="65"/>
    </row>
    <row r="290" spans="8:12" ht="15" hidden="1" customHeight="1">
      <c r="H290" s="65"/>
      <c r="I290" s="65"/>
      <c r="J290" s="65"/>
      <c r="K290" s="65"/>
      <c r="L290" s="65"/>
    </row>
    <row r="291" spans="8:12" ht="15" hidden="1" customHeight="1">
      <c r="H291" s="65"/>
      <c r="I291" s="65"/>
      <c r="J291" s="65"/>
      <c r="K291" s="65"/>
      <c r="L291" s="65"/>
    </row>
    <row r="292" spans="8:12" ht="15" hidden="1" customHeight="1">
      <c r="H292" s="65"/>
      <c r="I292" s="65"/>
      <c r="J292" s="65"/>
      <c r="K292" s="65"/>
      <c r="L292" s="65"/>
    </row>
    <row r="293" spans="8:12" ht="15" hidden="1" customHeight="1">
      <c r="H293" s="65"/>
      <c r="I293" s="65"/>
      <c r="J293" s="65"/>
      <c r="K293" s="65"/>
      <c r="L293" s="65"/>
    </row>
    <row r="294" spans="8:12" ht="15" hidden="1" customHeight="1">
      <c r="H294" s="65"/>
      <c r="I294" s="65"/>
      <c r="J294" s="65"/>
      <c r="K294" s="65"/>
      <c r="L294" s="65"/>
    </row>
    <row r="295" spans="8:12" ht="15" hidden="1" customHeight="1">
      <c r="H295" s="65"/>
      <c r="I295" s="65"/>
      <c r="J295" s="65"/>
      <c r="K295" s="65"/>
      <c r="L295" s="65"/>
    </row>
    <row r="296" spans="8:12" ht="15" hidden="1" customHeight="1">
      <c r="H296" s="65"/>
      <c r="I296" s="65"/>
      <c r="J296" s="65"/>
      <c r="K296" s="65"/>
      <c r="L296" s="65"/>
    </row>
    <row r="297" spans="8:12" ht="15" hidden="1" customHeight="1">
      <c r="H297" s="65"/>
      <c r="I297" s="65"/>
      <c r="J297" s="65"/>
      <c r="K297" s="65"/>
      <c r="L297" s="65"/>
    </row>
    <row r="298" spans="8:12" ht="15" hidden="1" customHeight="1">
      <c r="H298" s="65"/>
      <c r="I298" s="65"/>
      <c r="J298" s="65"/>
      <c r="K298" s="65"/>
      <c r="L298" s="65"/>
    </row>
    <row r="299" spans="8:12" ht="15" hidden="1" customHeight="1">
      <c r="H299" s="65"/>
      <c r="I299" s="65"/>
      <c r="J299" s="65"/>
      <c r="K299" s="65"/>
      <c r="L299" s="65"/>
    </row>
    <row r="300" spans="8:12" ht="15" hidden="1" customHeight="1">
      <c r="H300" s="65"/>
      <c r="I300" s="65"/>
      <c r="J300" s="65"/>
      <c r="K300" s="65"/>
      <c r="L300" s="65"/>
    </row>
    <row r="301" spans="8:12" ht="15" hidden="1" customHeight="1">
      <c r="H301" s="65"/>
      <c r="I301" s="65"/>
      <c r="J301" s="65"/>
      <c r="K301" s="65"/>
      <c r="L301" s="65"/>
    </row>
    <row r="302" spans="8:12" ht="15" hidden="1" customHeight="1">
      <c r="H302" s="65"/>
      <c r="I302" s="65"/>
      <c r="J302" s="65"/>
      <c r="K302" s="65"/>
      <c r="L302" s="65"/>
    </row>
    <row r="303" spans="8:12" ht="15" hidden="1" customHeight="1">
      <c r="H303" s="65"/>
      <c r="I303" s="65"/>
      <c r="J303" s="65"/>
      <c r="K303" s="65"/>
      <c r="L303" s="65"/>
    </row>
    <row r="304" spans="8:12" ht="15" hidden="1" customHeight="1">
      <c r="H304" s="65"/>
      <c r="I304" s="65"/>
      <c r="J304" s="65"/>
      <c r="K304" s="65"/>
      <c r="L304" s="65"/>
    </row>
    <row r="305" spans="8:12" ht="15" hidden="1" customHeight="1">
      <c r="H305" s="65"/>
      <c r="I305" s="65"/>
      <c r="J305" s="65"/>
      <c r="K305" s="65"/>
      <c r="L305" s="65"/>
    </row>
    <row r="306" spans="8:12" ht="15" hidden="1" customHeight="1">
      <c r="H306" s="65"/>
      <c r="I306" s="65"/>
      <c r="J306" s="65"/>
      <c r="K306" s="65"/>
      <c r="L306" s="65"/>
    </row>
    <row r="307" spans="8:12" ht="15" hidden="1" customHeight="1">
      <c r="H307" s="65"/>
      <c r="I307" s="65"/>
      <c r="J307" s="65"/>
      <c r="K307" s="65"/>
      <c r="L307" s="65"/>
    </row>
    <row r="308" spans="8:12" ht="15" hidden="1" customHeight="1">
      <c r="H308" s="65"/>
      <c r="I308" s="65"/>
      <c r="J308" s="65"/>
      <c r="K308" s="65"/>
      <c r="L308" s="65"/>
    </row>
    <row r="309" spans="8:12" ht="15" hidden="1" customHeight="1">
      <c r="H309" s="65"/>
      <c r="I309" s="65"/>
      <c r="J309" s="65"/>
      <c r="K309" s="65"/>
      <c r="L309" s="65"/>
    </row>
    <row r="310" spans="8:12" ht="15" hidden="1" customHeight="1">
      <c r="H310" s="65"/>
      <c r="I310" s="65"/>
      <c r="J310" s="65"/>
      <c r="K310" s="65"/>
      <c r="L310" s="65"/>
    </row>
    <row r="311" spans="8:12" ht="15" hidden="1" customHeight="1">
      <c r="H311" s="65"/>
      <c r="I311" s="65"/>
      <c r="J311" s="65"/>
      <c r="K311" s="65"/>
      <c r="L311" s="65"/>
    </row>
    <row r="312" spans="8:12" ht="15" hidden="1" customHeight="1">
      <c r="H312" s="65"/>
      <c r="I312" s="65"/>
      <c r="J312" s="65"/>
      <c r="K312" s="65"/>
      <c r="L312" s="65"/>
    </row>
    <row r="313" spans="8:12" ht="15" hidden="1" customHeight="1">
      <c r="H313" s="65"/>
      <c r="I313" s="65"/>
      <c r="J313" s="65"/>
      <c r="K313" s="65"/>
      <c r="L313" s="65"/>
    </row>
    <row r="314" spans="8:12" ht="15" hidden="1" customHeight="1">
      <c r="H314" s="65"/>
      <c r="I314" s="65"/>
      <c r="J314" s="65"/>
      <c r="K314" s="65"/>
      <c r="L314" s="65"/>
    </row>
    <row r="315" spans="8:12" ht="15" hidden="1" customHeight="1">
      <c r="H315" s="65"/>
      <c r="I315" s="65"/>
      <c r="J315" s="65"/>
      <c r="K315" s="65"/>
      <c r="L315" s="65"/>
    </row>
    <row r="316" spans="8:12" ht="15" hidden="1" customHeight="1">
      <c r="H316" s="65"/>
      <c r="I316" s="65"/>
      <c r="J316" s="65"/>
      <c r="K316" s="65"/>
      <c r="L316" s="65"/>
    </row>
    <row r="317" spans="8:12" ht="15" hidden="1" customHeight="1">
      <c r="H317" s="65"/>
      <c r="I317" s="65"/>
      <c r="J317" s="65"/>
      <c r="K317" s="65"/>
      <c r="L317" s="65"/>
    </row>
    <row r="318" spans="8:12" ht="15" hidden="1" customHeight="1">
      <c r="H318" s="65"/>
      <c r="I318" s="65"/>
      <c r="J318" s="65"/>
      <c r="K318" s="65"/>
      <c r="L318" s="65"/>
    </row>
    <row r="319" spans="8:12" ht="15" hidden="1" customHeight="1">
      <c r="H319" s="65"/>
      <c r="I319" s="65"/>
      <c r="J319" s="65"/>
      <c r="K319" s="65"/>
      <c r="L319" s="65"/>
    </row>
    <row r="320" spans="8:12" ht="15" hidden="1" customHeight="1">
      <c r="H320" s="65"/>
      <c r="I320" s="65"/>
      <c r="J320" s="65"/>
      <c r="K320" s="65"/>
      <c r="L320" s="65"/>
    </row>
    <row r="321" spans="8:12" ht="12.6" hidden="1">
      <c r="H321" s="65"/>
      <c r="I321" s="65"/>
      <c r="J321" s="65"/>
      <c r="K321" s="65"/>
      <c r="L321" s="65"/>
    </row>
    <row r="322" spans="8:12" ht="12.6" hidden="1">
      <c r="H322" s="65"/>
      <c r="I322" s="65"/>
      <c r="J322" s="65"/>
      <c r="K322" s="65"/>
      <c r="L322" s="65"/>
    </row>
    <row r="323" spans="8:12" ht="12.6" hidden="1">
      <c r="H323" s="65"/>
      <c r="I323" s="65"/>
      <c r="J323" s="65"/>
      <c r="K323" s="65"/>
      <c r="L323" s="65"/>
    </row>
    <row r="324" spans="8:12" ht="12.6" hidden="1">
      <c r="H324" s="65"/>
      <c r="I324" s="65"/>
      <c r="J324" s="65"/>
      <c r="K324" s="65"/>
      <c r="L324" s="65"/>
    </row>
    <row r="325" spans="8:12" ht="12.6" hidden="1">
      <c r="H325" s="65"/>
      <c r="I325" s="65"/>
      <c r="J325" s="65"/>
      <c r="K325" s="65"/>
      <c r="L325" s="65"/>
    </row>
    <row r="326" spans="8:12" ht="12.6" hidden="1">
      <c r="H326" s="65"/>
      <c r="I326" s="65"/>
      <c r="J326" s="65"/>
      <c r="K326" s="65"/>
      <c r="L326" s="65"/>
    </row>
    <row r="327" spans="8:12" ht="12.6" hidden="1">
      <c r="H327" s="65"/>
      <c r="I327" s="65"/>
      <c r="J327" s="65"/>
      <c r="K327" s="65"/>
      <c r="L327" s="65"/>
    </row>
    <row r="328" spans="8:12" ht="12.6" hidden="1">
      <c r="H328" s="65"/>
      <c r="I328" s="65"/>
      <c r="J328" s="65"/>
      <c r="K328" s="65"/>
      <c r="L328" s="65"/>
    </row>
    <row r="329" spans="8:12" ht="12.6" hidden="1">
      <c r="H329" s="65"/>
      <c r="I329" s="65"/>
      <c r="J329" s="65"/>
      <c r="K329" s="65"/>
      <c r="L329" s="65"/>
    </row>
    <row r="330" spans="8:12" ht="12.6" hidden="1">
      <c r="H330" s="65"/>
      <c r="I330" s="65"/>
      <c r="J330" s="65"/>
      <c r="K330" s="65"/>
      <c r="L330" s="65"/>
    </row>
    <row r="331" spans="8:12" ht="12.6" hidden="1">
      <c r="H331" s="65"/>
      <c r="I331" s="65"/>
      <c r="J331" s="65"/>
      <c r="K331" s="65"/>
      <c r="L331" s="65"/>
    </row>
    <row r="332" spans="8:12" ht="12.6" hidden="1">
      <c r="H332" s="65"/>
      <c r="I332" s="65"/>
      <c r="J332" s="65"/>
      <c r="K332" s="65"/>
      <c r="L332" s="65"/>
    </row>
    <row r="333" spans="8:12" ht="12.6" hidden="1">
      <c r="H333" s="65"/>
      <c r="I333" s="65"/>
      <c r="J333" s="65"/>
      <c r="K333" s="65"/>
      <c r="L333" s="65"/>
    </row>
    <row r="334" spans="8:12" ht="12.6" hidden="1">
      <c r="H334" s="65"/>
      <c r="I334" s="65"/>
      <c r="J334" s="65"/>
      <c r="K334" s="65"/>
      <c r="L334" s="65"/>
    </row>
    <row r="335" spans="8:12" ht="12.6" hidden="1">
      <c r="H335" s="65"/>
      <c r="I335" s="65"/>
      <c r="J335" s="65"/>
      <c r="K335" s="65"/>
      <c r="L335" s="65"/>
    </row>
    <row r="336" spans="8:12" ht="12.6" hidden="1">
      <c r="H336" s="65"/>
      <c r="I336" s="65"/>
      <c r="J336" s="65"/>
      <c r="K336" s="65"/>
      <c r="L336" s="65"/>
    </row>
    <row r="337" spans="8:12" ht="12.6" hidden="1">
      <c r="H337" s="65"/>
      <c r="I337" s="65"/>
      <c r="J337" s="65"/>
      <c r="K337" s="65"/>
      <c r="L337" s="65"/>
    </row>
    <row r="338" spans="8:12" ht="12.6" hidden="1">
      <c r="H338" s="65"/>
      <c r="I338" s="65"/>
      <c r="J338" s="65"/>
      <c r="K338" s="65"/>
      <c r="L338" s="65"/>
    </row>
    <row r="339" spans="8:12" ht="12.6" hidden="1">
      <c r="H339" s="65"/>
      <c r="I339" s="65"/>
      <c r="J339" s="65"/>
      <c r="K339" s="65"/>
      <c r="L339" s="65"/>
    </row>
    <row r="340" spans="8:12" ht="12.6" hidden="1">
      <c r="H340" s="65"/>
      <c r="I340" s="65"/>
      <c r="J340" s="65"/>
      <c r="K340" s="65"/>
      <c r="L340" s="65"/>
    </row>
    <row r="341" spans="8:12" ht="12.6" hidden="1">
      <c r="H341" s="65"/>
      <c r="I341" s="65"/>
      <c r="J341" s="65"/>
      <c r="K341" s="65"/>
      <c r="L341" s="65"/>
    </row>
    <row r="342" spans="8:12" ht="12.6" hidden="1">
      <c r="H342" s="65"/>
      <c r="I342" s="65"/>
      <c r="J342" s="65"/>
      <c r="K342" s="65"/>
      <c r="L342" s="65"/>
    </row>
    <row r="343" spans="8:12" ht="12.6" hidden="1">
      <c r="H343" s="65"/>
      <c r="I343" s="65"/>
      <c r="J343" s="65"/>
      <c r="K343" s="65"/>
      <c r="L343" s="65"/>
    </row>
    <row r="344" spans="8:12" ht="12.6" hidden="1">
      <c r="H344" s="65"/>
      <c r="I344" s="65"/>
      <c r="J344" s="65"/>
      <c r="K344" s="65"/>
      <c r="L344" s="65"/>
    </row>
    <row r="345" spans="8:12" ht="12.6" hidden="1">
      <c r="H345" s="65"/>
      <c r="I345" s="65"/>
      <c r="J345" s="65"/>
      <c r="K345" s="65"/>
      <c r="L345" s="65"/>
    </row>
    <row r="346" spans="8:12" ht="12.6" hidden="1">
      <c r="H346" s="65"/>
      <c r="I346" s="65"/>
      <c r="J346" s="65"/>
      <c r="K346" s="65"/>
      <c r="L346" s="65"/>
    </row>
    <row r="347" spans="8:12" ht="12.6" hidden="1">
      <c r="H347" s="65"/>
      <c r="I347" s="65"/>
      <c r="J347" s="65"/>
      <c r="K347" s="65"/>
      <c r="L347" s="65"/>
    </row>
    <row r="348" spans="8:12" ht="12.6" hidden="1">
      <c r="H348" s="65"/>
      <c r="I348" s="65"/>
      <c r="J348" s="65"/>
      <c r="K348" s="65"/>
      <c r="L348" s="65"/>
    </row>
    <row r="349" spans="8:12" ht="12.6" hidden="1">
      <c r="H349" s="65"/>
      <c r="I349" s="65"/>
      <c r="J349" s="65"/>
      <c r="K349" s="65"/>
      <c r="L349" s="65"/>
    </row>
    <row r="350" spans="8:12" ht="12.6" hidden="1">
      <c r="H350" s="65"/>
      <c r="I350" s="65"/>
      <c r="J350" s="65"/>
      <c r="K350" s="65"/>
      <c r="L350" s="65"/>
    </row>
    <row r="351" spans="8:12" ht="12.6" hidden="1">
      <c r="H351" s="65"/>
      <c r="I351" s="65"/>
      <c r="J351" s="65"/>
      <c r="K351" s="65"/>
      <c r="L351" s="65"/>
    </row>
    <row r="352" spans="8:12" ht="12.6" hidden="1">
      <c r="H352" s="65"/>
      <c r="I352" s="65"/>
      <c r="J352" s="65"/>
      <c r="K352" s="65"/>
      <c r="L352" s="65"/>
    </row>
    <row r="353" spans="8:12" ht="12.6" hidden="1">
      <c r="H353" s="65"/>
      <c r="I353" s="65"/>
      <c r="J353" s="65"/>
      <c r="K353" s="65"/>
      <c r="L353" s="65"/>
    </row>
    <row r="354" spans="8:12" ht="12.6" hidden="1">
      <c r="H354" s="65"/>
      <c r="I354" s="65"/>
      <c r="J354" s="65"/>
      <c r="K354" s="65"/>
      <c r="L354" s="65"/>
    </row>
    <row r="355" spans="8:12" ht="12.6" hidden="1">
      <c r="H355" s="65"/>
      <c r="I355" s="65"/>
      <c r="J355" s="65"/>
      <c r="K355" s="65"/>
      <c r="L355" s="65"/>
    </row>
    <row r="356" spans="8:12" ht="12.6" hidden="1">
      <c r="H356" s="65"/>
      <c r="I356" s="65"/>
      <c r="J356" s="65"/>
      <c r="K356" s="65"/>
      <c r="L356" s="65"/>
    </row>
    <row r="357" spans="8:12" ht="12.6" hidden="1">
      <c r="H357" s="65"/>
      <c r="I357" s="65"/>
      <c r="J357" s="65"/>
      <c r="K357" s="65"/>
      <c r="L357" s="65"/>
    </row>
    <row r="358" spans="8:12" ht="12.6" hidden="1">
      <c r="H358" s="65"/>
      <c r="I358" s="65"/>
      <c r="J358" s="65"/>
      <c r="K358" s="65"/>
      <c r="L358" s="65"/>
    </row>
    <row r="359" spans="8:12" ht="12.6" hidden="1">
      <c r="H359" s="65"/>
      <c r="I359" s="65"/>
      <c r="J359" s="65"/>
      <c r="K359" s="65"/>
      <c r="L359" s="65"/>
    </row>
    <row r="360" spans="8:12" ht="12.6" hidden="1">
      <c r="H360" s="65"/>
      <c r="I360" s="65"/>
      <c r="J360" s="65"/>
      <c r="K360" s="65"/>
      <c r="L360" s="65"/>
    </row>
    <row r="361" spans="8:12" ht="12.6" hidden="1">
      <c r="H361" s="65"/>
      <c r="I361" s="65"/>
      <c r="J361" s="65"/>
      <c r="K361" s="65"/>
      <c r="L361" s="65"/>
    </row>
    <row r="362" spans="8:12" ht="12.6" hidden="1">
      <c r="H362" s="65"/>
      <c r="I362" s="65"/>
      <c r="J362" s="65"/>
      <c r="K362" s="65"/>
      <c r="L362" s="65"/>
    </row>
    <row r="363" spans="8:12" ht="12.6" hidden="1">
      <c r="H363" s="65"/>
      <c r="I363" s="65"/>
      <c r="J363" s="65"/>
      <c r="K363" s="65"/>
      <c r="L363" s="65"/>
    </row>
    <row r="364" spans="8:12" ht="12.6" hidden="1">
      <c r="H364" s="65"/>
      <c r="I364" s="65"/>
      <c r="J364" s="65"/>
      <c r="K364" s="65"/>
      <c r="L364" s="65"/>
    </row>
    <row r="365" spans="8:12" ht="12.6" hidden="1">
      <c r="H365" s="65"/>
      <c r="I365" s="65"/>
      <c r="J365" s="65"/>
      <c r="K365" s="65"/>
      <c r="L365" s="65"/>
    </row>
    <row r="366" spans="8:12" ht="12.6" hidden="1">
      <c r="H366" s="65"/>
      <c r="I366" s="65"/>
      <c r="J366" s="65"/>
      <c r="K366" s="65"/>
      <c r="L366" s="65"/>
    </row>
    <row r="367" spans="8:12" ht="12.6" hidden="1">
      <c r="H367" s="65"/>
      <c r="I367" s="65"/>
      <c r="J367" s="65"/>
      <c r="K367" s="65"/>
      <c r="L367" s="65"/>
    </row>
    <row r="368" spans="8:12" ht="12.6" hidden="1">
      <c r="H368" s="65"/>
      <c r="I368" s="65"/>
      <c r="J368" s="65"/>
      <c r="K368" s="65"/>
      <c r="L368" s="65"/>
    </row>
    <row r="369" spans="8:12" ht="12.6" hidden="1">
      <c r="H369" s="65"/>
      <c r="I369" s="65"/>
      <c r="J369" s="65"/>
      <c r="K369" s="65"/>
      <c r="L369" s="65"/>
    </row>
    <row r="370" spans="8:12" ht="12.6" hidden="1">
      <c r="H370" s="65"/>
      <c r="I370" s="65"/>
      <c r="J370" s="65"/>
      <c r="K370" s="65"/>
      <c r="L370" s="65"/>
    </row>
    <row r="371" spans="8:12" ht="12.6" hidden="1">
      <c r="H371" s="65"/>
      <c r="I371" s="65"/>
      <c r="J371" s="65"/>
      <c r="K371" s="65"/>
      <c r="L371" s="65"/>
    </row>
    <row r="372" spans="8:12" ht="12.6" hidden="1">
      <c r="H372" s="65"/>
      <c r="I372" s="65"/>
      <c r="J372" s="65"/>
      <c r="K372" s="65"/>
      <c r="L372" s="65"/>
    </row>
    <row r="373" spans="8:12" ht="12.6" hidden="1">
      <c r="H373" s="65"/>
      <c r="I373" s="65"/>
      <c r="J373" s="65"/>
      <c r="K373" s="65"/>
      <c r="L373" s="65"/>
    </row>
    <row r="374" spans="8:12" ht="12.6" hidden="1">
      <c r="H374" s="65"/>
      <c r="I374" s="65"/>
      <c r="J374" s="65"/>
      <c r="K374" s="65"/>
      <c r="L374" s="65"/>
    </row>
    <row r="375" spans="8:12" ht="12.6" hidden="1">
      <c r="H375" s="65"/>
      <c r="I375" s="65"/>
      <c r="J375" s="65"/>
      <c r="K375" s="65"/>
      <c r="L375" s="65"/>
    </row>
    <row r="376" spans="8:12" ht="12.6" hidden="1">
      <c r="H376" s="65"/>
      <c r="I376" s="65"/>
      <c r="J376" s="65"/>
      <c r="K376" s="65"/>
      <c r="L376" s="65"/>
    </row>
    <row r="377" spans="8:12" ht="12.6" hidden="1">
      <c r="H377" s="65"/>
      <c r="I377" s="65"/>
      <c r="J377" s="65"/>
      <c r="K377" s="65"/>
      <c r="L377" s="65"/>
    </row>
    <row r="378" spans="8:12" ht="12.6" hidden="1">
      <c r="H378" s="65"/>
      <c r="I378" s="65"/>
      <c r="J378" s="65"/>
      <c r="K378" s="65"/>
      <c r="L378" s="65"/>
    </row>
    <row r="379" spans="8:12" ht="12.6" hidden="1">
      <c r="H379" s="65"/>
      <c r="I379" s="65"/>
      <c r="J379" s="65"/>
      <c r="K379" s="65"/>
      <c r="L379" s="65"/>
    </row>
    <row r="380" spans="8:12" ht="12.6" hidden="1">
      <c r="H380" s="65"/>
      <c r="I380" s="65"/>
      <c r="J380" s="65"/>
      <c r="K380" s="65"/>
      <c r="L380" s="65"/>
    </row>
    <row r="381" spans="8:12" ht="12.6" hidden="1">
      <c r="H381" s="65"/>
      <c r="I381" s="65"/>
      <c r="J381" s="65"/>
      <c r="K381" s="65"/>
      <c r="L381" s="65"/>
    </row>
    <row r="382" spans="8:12" ht="12.6" hidden="1">
      <c r="H382" s="65"/>
      <c r="I382" s="65"/>
      <c r="J382" s="65"/>
      <c r="K382" s="65"/>
      <c r="L382" s="65"/>
    </row>
    <row r="383" spans="8:12" ht="12.6" hidden="1">
      <c r="H383" s="65"/>
      <c r="I383" s="65"/>
      <c r="J383" s="65"/>
      <c r="K383" s="65"/>
      <c r="L383" s="65"/>
    </row>
    <row r="384" spans="8:12" ht="12.6" hidden="1">
      <c r="H384" s="65"/>
      <c r="I384" s="65"/>
      <c r="J384" s="65"/>
      <c r="K384" s="65"/>
      <c r="L384" s="65"/>
    </row>
    <row r="385" spans="8:12" ht="12.6" hidden="1">
      <c r="H385" s="65"/>
      <c r="I385" s="65"/>
      <c r="J385" s="65"/>
      <c r="K385" s="65"/>
      <c r="L385" s="65"/>
    </row>
    <row r="386" spans="8:12" ht="12.6" hidden="1">
      <c r="H386" s="65"/>
      <c r="I386" s="65"/>
      <c r="J386" s="65"/>
      <c r="K386" s="65"/>
      <c r="L386" s="65"/>
    </row>
    <row r="387" spans="8:12" ht="12.6" hidden="1">
      <c r="H387" s="65"/>
      <c r="I387" s="65"/>
      <c r="J387" s="65"/>
      <c r="K387" s="65"/>
      <c r="L387" s="65"/>
    </row>
    <row r="388" spans="8:12" ht="12.6" hidden="1">
      <c r="H388" s="65"/>
      <c r="I388" s="65"/>
      <c r="J388" s="65"/>
      <c r="K388" s="65"/>
      <c r="L388" s="65"/>
    </row>
    <row r="389" spans="8:12" ht="12.6" hidden="1">
      <c r="H389" s="65"/>
      <c r="I389" s="65"/>
      <c r="J389" s="65"/>
      <c r="K389" s="65"/>
      <c r="L389" s="65"/>
    </row>
    <row r="390" spans="8:12" ht="12.6" hidden="1">
      <c r="H390" s="65"/>
      <c r="I390" s="65"/>
      <c r="J390" s="65"/>
      <c r="K390" s="65"/>
      <c r="L390" s="65"/>
    </row>
    <row r="391" spans="8:12" ht="12.6" hidden="1">
      <c r="H391" s="65"/>
      <c r="I391" s="65"/>
      <c r="J391" s="65"/>
      <c r="K391" s="65"/>
      <c r="L391" s="65"/>
    </row>
    <row r="392" spans="8:12" ht="12.6" hidden="1">
      <c r="H392" s="65"/>
      <c r="I392" s="65"/>
      <c r="J392" s="65"/>
      <c r="K392" s="65"/>
      <c r="L392" s="65"/>
    </row>
    <row r="393" spans="8:12" ht="12.6" hidden="1">
      <c r="H393" s="65"/>
      <c r="I393" s="65"/>
      <c r="J393" s="65"/>
      <c r="K393" s="65"/>
      <c r="L393" s="65"/>
    </row>
    <row r="394" spans="8:12" ht="12.6" hidden="1">
      <c r="H394" s="65"/>
      <c r="I394" s="65"/>
      <c r="J394" s="65"/>
      <c r="K394" s="65"/>
      <c r="L394" s="65"/>
    </row>
    <row r="395" spans="8:12" ht="12.6" hidden="1">
      <c r="H395" s="65"/>
      <c r="I395" s="65"/>
      <c r="J395" s="65"/>
      <c r="K395" s="65"/>
      <c r="L395" s="65"/>
    </row>
    <row r="396" spans="8:12" ht="12.6" hidden="1">
      <c r="H396" s="65"/>
      <c r="I396" s="65"/>
      <c r="J396" s="65"/>
      <c r="K396" s="65"/>
      <c r="L396" s="65"/>
    </row>
    <row r="397" spans="8:12" ht="12.6" hidden="1">
      <c r="H397" s="65"/>
      <c r="I397" s="65"/>
      <c r="J397" s="65"/>
      <c r="K397" s="65"/>
      <c r="L397" s="65"/>
    </row>
    <row r="398" spans="8:12" ht="12.6" hidden="1">
      <c r="H398" s="65"/>
      <c r="I398" s="65"/>
      <c r="J398" s="65"/>
      <c r="K398" s="65"/>
      <c r="L398" s="65"/>
    </row>
    <row r="399" spans="8:12" ht="12.6" hidden="1">
      <c r="H399" s="65"/>
      <c r="I399" s="65"/>
      <c r="J399" s="65"/>
      <c r="K399" s="65"/>
      <c r="L399" s="65"/>
    </row>
    <row r="400" spans="8:12" ht="12.6" hidden="1">
      <c r="H400" s="65"/>
      <c r="I400" s="65"/>
      <c r="J400" s="65"/>
      <c r="K400" s="65"/>
      <c r="L400" s="65"/>
    </row>
    <row r="401" spans="8:12" ht="12.6" hidden="1">
      <c r="H401" s="65"/>
      <c r="I401" s="65"/>
      <c r="J401" s="65"/>
      <c r="K401" s="65"/>
      <c r="L401" s="65"/>
    </row>
    <row r="402" spans="8:12" ht="12.6" hidden="1">
      <c r="H402" s="65"/>
      <c r="I402" s="65"/>
      <c r="J402" s="65"/>
      <c r="K402" s="65"/>
      <c r="L402" s="65"/>
    </row>
    <row r="403" spans="8:12" ht="12.6" hidden="1">
      <c r="H403" s="65"/>
      <c r="I403" s="65"/>
      <c r="J403" s="65"/>
      <c r="K403" s="65"/>
      <c r="L403" s="65"/>
    </row>
    <row r="404" spans="8:12" ht="12.6" hidden="1">
      <c r="H404" s="65"/>
      <c r="I404" s="65"/>
      <c r="J404" s="65"/>
      <c r="K404" s="65"/>
      <c r="L404" s="65"/>
    </row>
    <row r="405" spans="8:12" ht="12.6" hidden="1">
      <c r="H405" s="65"/>
      <c r="I405" s="65"/>
      <c r="J405" s="65"/>
      <c r="K405" s="65"/>
      <c r="L405" s="65"/>
    </row>
    <row r="406" spans="8:12" ht="12.6" hidden="1">
      <c r="H406" s="65"/>
      <c r="I406" s="65"/>
      <c r="J406" s="65"/>
      <c r="K406" s="65"/>
      <c r="L406" s="65"/>
    </row>
    <row r="407" spans="8:12" ht="12.6" hidden="1">
      <c r="H407" s="65"/>
      <c r="I407" s="65"/>
      <c r="J407" s="65"/>
      <c r="K407" s="65"/>
      <c r="L407" s="65"/>
    </row>
    <row r="408" spans="8:12" ht="12.6" hidden="1">
      <c r="H408" s="65"/>
      <c r="I408" s="65"/>
      <c r="J408" s="65"/>
      <c r="K408" s="65"/>
      <c r="L408" s="65"/>
    </row>
    <row r="409" spans="8:12" ht="12.6" hidden="1">
      <c r="H409" s="65"/>
      <c r="I409" s="65"/>
      <c r="J409" s="65"/>
      <c r="K409" s="65"/>
      <c r="L409" s="65"/>
    </row>
    <row r="410" spans="8:12" ht="12.6" hidden="1">
      <c r="H410" s="65"/>
      <c r="I410" s="65"/>
      <c r="J410" s="65"/>
      <c r="K410" s="65"/>
      <c r="L410" s="65"/>
    </row>
    <row r="411" spans="8:12" ht="12.6" hidden="1">
      <c r="H411" s="65"/>
      <c r="I411" s="65"/>
      <c r="J411" s="65"/>
      <c r="K411" s="65"/>
      <c r="L411" s="65"/>
    </row>
    <row r="412" spans="8:12" ht="12.6" hidden="1">
      <c r="H412" s="65"/>
      <c r="I412" s="65"/>
      <c r="J412" s="65"/>
      <c r="K412" s="65"/>
      <c r="L412" s="65"/>
    </row>
    <row r="413" spans="8:12" ht="12.6" hidden="1">
      <c r="H413" s="65"/>
      <c r="I413" s="65"/>
      <c r="J413" s="65"/>
      <c r="K413" s="65"/>
      <c r="L413" s="65"/>
    </row>
    <row r="414" spans="8:12" ht="12.6" hidden="1">
      <c r="H414" s="65"/>
      <c r="I414" s="65"/>
      <c r="J414" s="65"/>
      <c r="K414" s="65"/>
      <c r="L414" s="65"/>
    </row>
    <row r="415" spans="8:12" ht="12.6" hidden="1">
      <c r="H415" s="65"/>
      <c r="I415" s="65"/>
      <c r="J415" s="65"/>
      <c r="K415" s="65"/>
      <c r="L415" s="65"/>
    </row>
    <row r="416" spans="8:12" ht="12.6" hidden="1">
      <c r="H416" s="65"/>
      <c r="I416" s="65"/>
      <c r="J416" s="65"/>
      <c r="K416" s="65"/>
      <c r="L416" s="65"/>
    </row>
    <row r="417" spans="8:12" ht="12.6" hidden="1">
      <c r="H417" s="65"/>
      <c r="I417" s="65"/>
      <c r="J417" s="65"/>
      <c r="K417" s="65"/>
      <c r="L417" s="65"/>
    </row>
    <row r="418" spans="8:12" ht="12.6" hidden="1">
      <c r="H418" s="65"/>
      <c r="I418" s="65"/>
      <c r="J418" s="65"/>
      <c r="K418" s="65"/>
      <c r="L418" s="65"/>
    </row>
    <row r="419" spans="8:12" ht="12.6" hidden="1">
      <c r="H419" s="65"/>
      <c r="I419" s="65"/>
      <c r="J419" s="65"/>
      <c r="K419" s="65"/>
      <c r="L419" s="65"/>
    </row>
    <row r="420" spans="8:12" ht="12.6" hidden="1">
      <c r="H420" s="65"/>
      <c r="I420" s="65"/>
      <c r="J420" s="65"/>
      <c r="K420" s="65"/>
      <c r="L420" s="65"/>
    </row>
    <row r="421" spans="8:12" ht="12.6" hidden="1">
      <c r="H421" s="65"/>
      <c r="I421" s="65"/>
      <c r="J421" s="65"/>
      <c r="K421" s="65"/>
      <c r="L421" s="65"/>
    </row>
    <row r="422" spans="8:12" ht="12.6" hidden="1">
      <c r="H422" s="65"/>
      <c r="I422" s="65"/>
      <c r="J422" s="65"/>
      <c r="K422" s="65"/>
      <c r="L422" s="65"/>
    </row>
    <row r="423" spans="8:12" ht="12.6" hidden="1">
      <c r="H423" s="65"/>
      <c r="I423" s="65"/>
      <c r="J423" s="65"/>
      <c r="K423" s="65"/>
      <c r="L423" s="65"/>
    </row>
    <row r="424" spans="8:12" ht="12.6" hidden="1">
      <c r="H424" s="65"/>
      <c r="I424" s="65"/>
      <c r="J424" s="65"/>
      <c r="K424" s="65"/>
      <c r="L424" s="65"/>
    </row>
    <row r="425" spans="8:12" ht="12.6" hidden="1">
      <c r="H425" s="65"/>
      <c r="I425" s="65"/>
      <c r="J425" s="65"/>
      <c r="K425" s="65"/>
      <c r="L425" s="65"/>
    </row>
    <row r="426" spans="8:12" ht="12.6" hidden="1">
      <c r="H426" s="65"/>
      <c r="I426" s="65"/>
      <c r="J426" s="65"/>
      <c r="K426" s="65"/>
      <c r="L426" s="65"/>
    </row>
    <row r="427" spans="8:12" ht="12.6" hidden="1">
      <c r="H427" s="65"/>
      <c r="I427" s="65"/>
      <c r="J427" s="65"/>
      <c r="K427" s="65"/>
      <c r="L427" s="65"/>
    </row>
    <row r="428" spans="8:12" ht="12.6" hidden="1">
      <c r="H428" s="65"/>
      <c r="I428" s="65"/>
      <c r="J428" s="65"/>
      <c r="K428" s="65"/>
      <c r="L428" s="65"/>
    </row>
    <row r="429" spans="8:12" ht="12.6" hidden="1">
      <c r="H429" s="65"/>
      <c r="I429" s="65"/>
      <c r="J429" s="65"/>
      <c r="K429" s="65"/>
      <c r="L429" s="65"/>
    </row>
    <row r="430" spans="8:12" ht="12.6" hidden="1">
      <c r="H430" s="65"/>
      <c r="I430" s="65"/>
      <c r="J430" s="65"/>
      <c r="K430" s="65"/>
      <c r="L430" s="65"/>
    </row>
    <row r="431" spans="8:12" ht="12.6" hidden="1">
      <c r="H431" s="65"/>
      <c r="I431" s="65"/>
      <c r="J431" s="65"/>
      <c r="K431" s="65"/>
      <c r="L431" s="65"/>
    </row>
    <row r="432" spans="8:12" ht="12.6" hidden="1">
      <c r="H432" s="65"/>
      <c r="I432" s="65"/>
      <c r="J432" s="65"/>
      <c r="K432" s="65"/>
      <c r="L432" s="65"/>
    </row>
    <row r="433" spans="8:12" ht="12.6" hidden="1">
      <c r="H433" s="65"/>
      <c r="I433" s="65"/>
      <c r="J433" s="65"/>
      <c r="K433" s="65"/>
      <c r="L433" s="65"/>
    </row>
    <row r="434" spans="8:12" ht="12.6" hidden="1">
      <c r="H434" s="65"/>
      <c r="I434" s="65"/>
      <c r="J434" s="65"/>
      <c r="K434" s="65"/>
      <c r="L434" s="65"/>
    </row>
    <row r="435" spans="8:12" ht="12.6" hidden="1">
      <c r="H435" s="65"/>
      <c r="I435" s="65"/>
      <c r="J435" s="65"/>
      <c r="K435" s="65"/>
      <c r="L435" s="65"/>
    </row>
    <row r="436" spans="8:12" ht="12.6" hidden="1">
      <c r="H436" s="65"/>
      <c r="I436" s="65"/>
      <c r="J436" s="65"/>
      <c r="K436" s="65"/>
      <c r="L436" s="65"/>
    </row>
    <row r="437" spans="8:12" ht="12.6" hidden="1">
      <c r="H437" s="65"/>
      <c r="I437" s="65"/>
      <c r="J437" s="65"/>
      <c r="K437" s="65"/>
      <c r="L437" s="65"/>
    </row>
    <row r="438" spans="8:12" ht="12.6" hidden="1">
      <c r="H438" s="65"/>
      <c r="I438" s="65"/>
      <c r="J438" s="65"/>
      <c r="K438" s="65"/>
      <c r="L438" s="65"/>
    </row>
    <row r="439" spans="8:12" ht="12.6" hidden="1">
      <c r="H439" s="65"/>
      <c r="I439" s="65"/>
      <c r="J439" s="65"/>
      <c r="K439" s="65"/>
      <c r="L439" s="65"/>
    </row>
    <row r="440" spans="8:12" ht="12.6" hidden="1">
      <c r="H440" s="65"/>
      <c r="I440" s="65"/>
      <c r="J440" s="65"/>
      <c r="K440" s="65"/>
      <c r="L440" s="65"/>
    </row>
    <row r="441" spans="8:12" ht="12.6" hidden="1">
      <c r="H441" s="65"/>
      <c r="I441" s="65"/>
      <c r="J441" s="65"/>
      <c r="K441" s="65"/>
      <c r="L441" s="65"/>
    </row>
    <row r="442" spans="8:12" ht="12.6" hidden="1">
      <c r="H442" s="65"/>
      <c r="I442" s="65"/>
      <c r="J442" s="65"/>
      <c r="K442" s="65"/>
      <c r="L442" s="65"/>
    </row>
    <row r="443" spans="8:12" ht="12.6" hidden="1">
      <c r="H443" s="65"/>
      <c r="I443" s="65"/>
      <c r="J443" s="65"/>
      <c r="K443" s="65"/>
      <c r="L443" s="65"/>
    </row>
    <row r="444" spans="8:12" ht="12.6" hidden="1">
      <c r="H444" s="65"/>
      <c r="I444" s="65"/>
      <c r="J444" s="65"/>
      <c r="K444" s="65"/>
      <c r="L444" s="65"/>
    </row>
    <row r="445" spans="8:12" ht="12.6" hidden="1">
      <c r="H445" s="65"/>
      <c r="I445" s="65"/>
      <c r="J445" s="65"/>
      <c r="K445" s="65"/>
      <c r="L445" s="65"/>
    </row>
    <row r="446" spans="8:12" ht="12.6" hidden="1">
      <c r="H446" s="65"/>
      <c r="I446" s="65"/>
      <c r="J446" s="65"/>
      <c r="K446" s="65"/>
      <c r="L446" s="65"/>
    </row>
    <row r="447" spans="8:12" ht="12.6" hidden="1">
      <c r="H447" s="65"/>
      <c r="I447" s="65"/>
      <c r="J447" s="65"/>
      <c r="K447" s="65"/>
      <c r="L447" s="65"/>
    </row>
    <row r="448" spans="8:12" ht="12.6" hidden="1">
      <c r="H448" s="65"/>
      <c r="I448" s="65"/>
      <c r="J448" s="65"/>
      <c r="K448" s="65"/>
      <c r="L448" s="65"/>
    </row>
    <row r="449" spans="8:12" ht="12.6" hidden="1">
      <c r="H449" s="65"/>
      <c r="I449" s="65"/>
      <c r="J449" s="65"/>
      <c r="K449" s="65"/>
      <c r="L449" s="65"/>
    </row>
    <row r="450" spans="8:12" ht="12.6" hidden="1">
      <c r="H450" s="65"/>
      <c r="I450" s="65"/>
      <c r="J450" s="65"/>
      <c r="K450" s="65"/>
      <c r="L450" s="65"/>
    </row>
    <row r="451" spans="8:12" ht="12.6" hidden="1">
      <c r="H451" s="65"/>
      <c r="I451" s="65"/>
      <c r="J451" s="65"/>
      <c r="K451" s="65"/>
      <c r="L451" s="65"/>
    </row>
    <row r="452" spans="8:12" ht="12.6" hidden="1">
      <c r="H452" s="65"/>
      <c r="I452" s="65"/>
      <c r="J452" s="65"/>
      <c r="K452" s="65"/>
      <c r="L452" s="65"/>
    </row>
    <row r="453" spans="8:12" ht="12.6" hidden="1">
      <c r="H453" s="65"/>
      <c r="I453" s="65"/>
      <c r="J453" s="65"/>
      <c r="K453" s="65"/>
      <c r="L453" s="65"/>
    </row>
    <row r="454" spans="8:12" ht="12.6" hidden="1">
      <c r="H454" s="65"/>
      <c r="I454" s="65"/>
      <c r="J454" s="65"/>
      <c r="K454" s="65"/>
      <c r="L454" s="65"/>
    </row>
    <row r="455" spans="8:12" ht="12.6" hidden="1">
      <c r="H455" s="65"/>
      <c r="I455" s="65"/>
      <c r="J455" s="65"/>
      <c r="K455" s="65"/>
      <c r="L455" s="65"/>
    </row>
    <row r="456" spans="8:12" ht="12.6" hidden="1">
      <c r="H456" s="65"/>
      <c r="I456" s="65"/>
      <c r="J456" s="65"/>
      <c r="K456" s="65"/>
      <c r="L456" s="65"/>
    </row>
    <row r="457" spans="8:12" ht="12.6" hidden="1">
      <c r="H457" s="65"/>
      <c r="I457" s="65"/>
      <c r="J457" s="65"/>
      <c r="K457" s="65"/>
      <c r="L457" s="65"/>
    </row>
    <row r="458" spans="8:12" ht="12.6" hidden="1">
      <c r="H458" s="65"/>
      <c r="I458" s="65"/>
      <c r="J458" s="65"/>
      <c r="K458" s="65"/>
      <c r="L458" s="65"/>
    </row>
    <row r="459" spans="8:12" ht="12.6" hidden="1">
      <c r="H459" s="65"/>
      <c r="I459" s="65"/>
      <c r="J459" s="65"/>
      <c r="K459" s="65"/>
      <c r="L459" s="65"/>
    </row>
    <row r="460" spans="8:12" ht="12.6" hidden="1">
      <c r="H460" s="65"/>
      <c r="I460" s="65"/>
      <c r="J460" s="65"/>
      <c r="K460" s="65"/>
      <c r="L460" s="65"/>
    </row>
    <row r="461" spans="8:12" ht="12.6" hidden="1">
      <c r="H461" s="65"/>
      <c r="I461" s="65"/>
      <c r="J461" s="65"/>
      <c r="K461" s="65"/>
      <c r="L461" s="65"/>
    </row>
    <row r="462" spans="8:12" ht="12.6" hidden="1">
      <c r="H462" s="65"/>
      <c r="I462" s="65"/>
      <c r="J462" s="65"/>
      <c r="K462" s="65"/>
      <c r="L462" s="65"/>
    </row>
    <row r="463" spans="8:12" ht="12.6" hidden="1">
      <c r="H463" s="65"/>
      <c r="I463" s="65"/>
      <c r="J463" s="65"/>
      <c r="K463" s="65"/>
      <c r="L463" s="65"/>
    </row>
    <row r="464" spans="8:12" ht="12.6" hidden="1">
      <c r="H464" s="65"/>
      <c r="I464" s="65"/>
      <c r="J464" s="65"/>
      <c r="K464" s="65"/>
      <c r="L464" s="65"/>
    </row>
    <row r="465" spans="8:12" ht="12.6" hidden="1">
      <c r="H465" s="65"/>
      <c r="I465" s="65"/>
      <c r="J465" s="65"/>
      <c r="K465" s="65"/>
      <c r="L465" s="65"/>
    </row>
    <row r="466" spans="8:12" ht="12.6" hidden="1">
      <c r="H466" s="65"/>
      <c r="I466" s="65"/>
      <c r="J466" s="65"/>
      <c r="K466" s="65"/>
      <c r="L466" s="65"/>
    </row>
    <row r="467" spans="8:12" ht="12.6" hidden="1">
      <c r="H467" s="65"/>
      <c r="I467" s="65"/>
      <c r="J467" s="65"/>
      <c r="K467" s="65"/>
      <c r="L467" s="65"/>
    </row>
    <row r="468" spans="8:12" ht="12.6" hidden="1">
      <c r="H468" s="65"/>
      <c r="I468" s="65"/>
      <c r="J468" s="65"/>
      <c r="K468" s="65"/>
      <c r="L468" s="65"/>
    </row>
    <row r="469" spans="8:12" ht="12.6" hidden="1">
      <c r="H469" s="65"/>
      <c r="I469" s="65"/>
      <c r="J469" s="65"/>
      <c r="K469" s="65"/>
      <c r="L469" s="65"/>
    </row>
    <row r="470" spans="8:12" ht="12.6" hidden="1">
      <c r="H470" s="65"/>
      <c r="I470" s="65"/>
      <c r="J470" s="65"/>
      <c r="K470" s="65"/>
      <c r="L470" s="65"/>
    </row>
    <row r="471" spans="8:12" ht="12.6" hidden="1">
      <c r="H471" s="65"/>
      <c r="I471" s="65"/>
      <c r="J471" s="65"/>
      <c r="K471" s="65"/>
      <c r="L471" s="65"/>
    </row>
    <row r="472" spans="8:12" ht="12.6" hidden="1">
      <c r="H472" s="65"/>
      <c r="I472" s="65"/>
      <c r="J472" s="65"/>
      <c r="K472" s="65"/>
      <c r="L472" s="65"/>
    </row>
    <row r="473" spans="8:12" ht="12.6" hidden="1">
      <c r="H473" s="65"/>
      <c r="I473" s="65"/>
      <c r="J473" s="65"/>
      <c r="K473" s="65"/>
      <c r="L473" s="65"/>
    </row>
    <row r="474" spans="8:12" ht="12.6" hidden="1">
      <c r="H474" s="65"/>
      <c r="I474" s="65"/>
      <c r="J474" s="65"/>
      <c r="K474" s="65"/>
      <c r="L474" s="65"/>
    </row>
    <row r="475" spans="8:12" ht="12.6" hidden="1">
      <c r="H475" s="65"/>
      <c r="I475" s="65"/>
      <c r="J475" s="65"/>
      <c r="K475" s="65"/>
      <c r="L475" s="65"/>
    </row>
    <row r="476" spans="8:12" ht="12.6" hidden="1">
      <c r="H476" s="65"/>
      <c r="I476" s="65"/>
      <c r="J476" s="65"/>
      <c r="K476" s="65"/>
      <c r="L476" s="65"/>
    </row>
    <row r="477" spans="8:12" ht="12.6" hidden="1">
      <c r="H477" s="65"/>
      <c r="I477" s="65"/>
      <c r="J477" s="65"/>
      <c r="K477" s="65"/>
      <c r="L477" s="65"/>
    </row>
    <row r="478" spans="8:12" ht="12.6" hidden="1">
      <c r="H478" s="65"/>
      <c r="I478" s="65"/>
      <c r="J478" s="65"/>
      <c r="K478" s="65"/>
      <c r="L478" s="65"/>
    </row>
    <row r="479" spans="8:12" ht="12.6" hidden="1">
      <c r="H479" s="65"/>
      <c r="I479" s="65"/>
      <c r="J479" s="65"/>
      <c r="K479" s="65"/>
      <c r="L479" s="65"/>
    </row>
    <row r="480" spans="8:12" ht="12.6" hidden="1">
      <c r="H480" s="65"/>
      <c r="I480" s="65"/>
      <c r="J480" s="65"/>
      <c r="K480" s="65"/>
      <c r="L480" s="65"/>
    </row>
    <row r="481" spans="8:12" ht="12.6" hidden="1">
      <c r="H481" s="65"/>
      <c r="I481" s="65"/>
      <c r="J481" s="65"/>
      <c r="K481" s="65"/>
      <c r="L481" s="65"/>
    </row>
    <row r="482" spans="8:12" ht="12.6" hidden="1">
      <c r="H482" s="65"/>
      <c r="I482" s="65"/>
      <c r="J482" s="65"/>
      <c r="K482" s="65"/>
      <c r="L482" s="65"/>
    </row>
    <row r="483" spans="8:12" ht="12.6" hidden="1">
      <c r="H483" s="65"/>
      <c r="I483" s="65"/>
      <c r="J483" s="65"/>
      <c r="K483" s="65"/>
      <c r="L483" s="65"/>
    </row>
    <row r="484" spans="8:12" ht="12.6" hidden="1">
      <c r="H484" s="65"/>
      <c r="I484" s="65"/>
      <c r="J484" s="65"/>
      <c r="K484" s="65"/>
      <c r="L484" s="65"/>
    </row>
    <row r="485" spans="8:12" ht="12.6" hidden="1">
      <c r="H485" s="65"/>
      <c r="I485" s="65"/>
      <c r="J485" s="65"/>
      <c r="K485" s="65"/>
      <c r="L485" s="65"/>
    </row>
    <row r="486" spans="8:12" ht="12.6" hidden="1">
      <c r="H486" s="65"/>
      <c r="I486" s="65"/>
      <c r="J486" s="65"/>
      <c r="K486" s="65"/>
      <c r="L486" s="65"/>
    </row>
    <row r="487" spans="8:12" ht="12.6" hidden="1">
      <c r="H487" s="65"/>
      <c r="I487" s="65"/>
      <c r="J487" s="65"/>
      <c r="K487" s="65"/>
      <c r="L487" s="65"/>
    </row>
    <row r="488" spans="8:12" ht="12.6" hidden="1">
      <c r="H488" s="65"/>
      <c r="I488" s="65"/>
      <c r="J488" s="65"/>
      <c r="K488" s="65"/>
      <c r="L488" s="65"/>
    </row>
    <row r="489" spans="8:12" ht="12.6" hidden="1">
      <c r="H489" s="65"/>
      <c r="I489" s="65"/>
      <c r="J489" s="65"/>
      <c r="K489" s="65"/>
      <c r="L489" s="65"/>
    </row>
    <row r="490" spans="8:12" ht="12.6" hidden="1">
      <c r="H490" s="65"/>
      <c r="I490" s="65"/>
      <c r="J490" s="65"/>
      <c r="K490" s="65"/>
      <c r="L490" s="65"/>
    </row>
    <row r="491" spans="8:12" ht="12.6" hidden="1">
      <c r="H491" s="65"/>
      <c r="I491" s="65"/>
      <c r="J491" s="65"/>
      <c r="K491" s="65"/>
      <c r="L491" s="65"/>
    </row>
    <row r="492" spans="8:12" ht="12.6" hidden="1">
      <c r="H492" s="65"/>
      <c r="I492" s="65"/>
      <c r="J492" s="65"/>
      <c r="K492" s="65"/>
      <c r="L492" s="65"/>
    </row>
    <row r="493" spans="8:12" ht="12.6" hidden="1">
      <c r="H493" s="65"/>
      <c r="I493" s="65"/>
      <c r="J493" s="65"/>
      <c r="K493" s="65"/>
      <c r="L493" s="65"/>
    </row>
    <row r="494" spans="8:12" ht="12.6" hidden="1">
      <c r="H494" s="65"/>
      <c r="I494" s="65"/>
      <c r="J494" s="65"/>
      <c r="K494" s="65"/>
      <c r="L494" s="65"/>
    </row>
    <row r="495" spans="8:12" ht="12.6" hidden="1">
      <c r="H495" s="65"/>
      <c r="I495" s="65"/>
      <c r="J495" s="65"/>
      <c r="K495" s="65"/>
      <c r="L495" s="65"/>
    </row>
    <row r="496" spans="8:12" ht="12.6" hidden="1">
      <c r="H496" s="65"/>
      <c r="I496" s="65"/>
      <c r="J496" s="65"/>
      <c r="K496" s="65"/>
      <c r="L496" s="65"/>
    </row>
    <row r="497" spans="8:12" ht="12.6" hidden="1">
      <c r="H497" s="65"/>
      <c r="I497" s="65"/>
      <c r="J497" s="65"/>
      <c r="K497" s="65"/>
      <c r="L497" s="65"/>
    </row>
    <row r="498" spans="8:12" ht="12.6" hidden="1">
      <c r="H498" s="65"/>
      <c r="I498" s="65"/>
      <c r="J498" s="65"/>
      <c r="K498" s="65"/>
      <c r="L498" s="65"/>
    </row>
    <row r="499" spans="8:12" ht="12.6" hidden="1">
      <c r="H499" s="65"/>
      <c r="I499" s="65"/>
      <c r="J499" s="65"/>
      <c r="K499" s="65"/>
      <c r="L499" s="65"/>
    </row>
    <row r="500" spans="8:12" ht="12.6" hidden="1">
      <c r="H500" s="65"/>
      <c r="I500" s="65"/>
      <c r="J500" s="65"/>
      <c r="K500" s="65"/>
      <c r="L500" s="65"/>
    </row>
    <row r="501" spans="8:12" ht="12.6" hidden="1">
      <c r="H501" s="65"/>
      <c r="I501" s="65"/>
      <c r="J501" s="65"/>
      <c r="K501" s="65"/>
      <c r="L501" s="65"/>
    </row>
    <row r="502" spans="8:12" ht="12.6" hidden="1">
      <c r="H502" s="65"/>
      <c r="I502" s="65"/>
      <c r="J502" s="65"/>
      <c r="K502" s="65"/>
      <c r="L502" s="65"/>
    </row>
    <row r="503" spans="8:12" ht="12.6" hidden="1">
      <c r="H503" s="65"/>
      <c r="I503" s="65"/>
      <c r="J503" s="65"/>
      <c r="K503" s="65"/>
      <c r="L503" s="65"/>
    </row>
    <row r="504" spans="8:12" ht="12.6" hidden="1">
      <c r="H504" s="65"/>
      <c r="I504" s="65"/>
      <c r="J504" s="65"/>
      <c r="K504" s="65"/>
      <c r="L504" s="65"/>
    </row>
    <row r="505" spans="8:12" ht="12.6" hidden="1">
      <c r="H505" s="65"/>
      <c r="I505" s="65"/>
      <c r="J505" s="65"/>
      <c r="K505" s="65"/>
      <c r="L505" s="65"/>
    </row>
    <row r="506" spans="8:12" ht="12.6" hidden="1">
      <c r="H506" s="65"/>
      <c r="I506" s="65"/>
      <c r="J506" s="65"/>
      <c r="K506" s="65"/>
      <c r="L506" s="65"/>
    </row>
    <row r="507" spans="8:12" ht="12.6" hidden="1">
      <c r="H507" s="65"/>
      <c r="I507" s="65"/>
      <c r="J507" s="65"/>
      <c r="K507" s="65"/>
      <c r="L507" s="65"/>
    </row>
    <row r="508" spans="8:12" ht="12.6" hidden="1">
      <c r="H508" s="65"/>
      <c r="I508" s="65"/>
      <c r="J508" s="65"/>
      <c r="K508" s="65"/>
      <c r="L508" s="65"/>
    </row>
    <row r="509" spans="8:12" ht="12.6" hidden="1">
      <c r="H509" s="65"/>
      <c r="I509" s="65"/>
      <c r="J509" s="65"/>
      <c r="K509" s="65"/>
      <c r="L509" s="65"/>
    </row>
    <row r="510" spans="8:12" ht="12.6" hidden="1">
      <c r="H510" s="65"/>
      <c r="I510" s="65"/>
      <c r="J510" s="65"/>
      <c r="K510" s="65"/>
      <c r="L510" s="65"/>
    </row>
    <row r="511" spans="8:12" ht="12.6" hidden="1">
      <c r="H511" s="65"/>
      <c r="I511" s="65"/>
      <c r="J511" s="65"/>
      <c r="K511" s="65"/>
      <c r="L511" s="65"/>
    </row>
    <row r="512" spans="8:12" ht="12.6" hidden="1">
      <c r="H512" s="65"/>
      <c r="I512" s="65"/>
      <c r="J512" s="65"/>
      <c r="K512" s="65"/>
      <c r="L512" s="65"/>
    </row>
    <row r="513" spans="8:12" ht="12.6" hidden="1">
      <c r="H513" s="65"/>
      <c r="I513" s="65"/>
      <c r="J513" s="65"/>
      <c r="K513" s="65"/>
      <c r="L513" s="65"/>
    </row>
    <row r="514" spans="8:12" ht="12.6" hidden="1">
      <c r="H514" s="65"/>
      <c r="I514" s="65"/>
      <c r="J514" s="65"/>
      <c r="K514" s="65"/>
      <c r="L514" s="65"/>
    </row>
    <row r="515" spans="8:12" ht="12.6" hidden="1">
      <c r="H515" s="65"/>
      <c r="I515" s="65"/>
      <c r="J515" s="65"/>
      <c r="K515" s="65"/>
      <c r="L515" s="65"/>
    </row>
    <row r="516" spans="8:12" ht="12.6" hidden="1">
      <c r="H516" s="65"/>
      <c r="I516" s="65"/>
      <c r="J516" s="65"/>
      <c r="K516" s="65"/>
      <c r="L516" s="65"/>
    </row>
    <row r="517" spans="8:12" ht="12.6" hidden="1">
      <c r="H517" s="65"/>
      <c r="I517" s="65"/>
      <c r="J517" s="65"/>
      <c r="K517" s="65"/>
      <c r="L517" s="65"/>
    </row>
    <row r="518" spans="8:12" ht="12.6" hidden="1">
      <c r="H518" s="65"/>
      <c r="I518" s="65"/>
      <c r="J518" s="65"/>
      <c r="K518" s="65"/>
      <c r="L518" s="65"/>
    </row>
    <row r="519" spans="8:12" ht="12.6" hidden="1">
      <c r="H519" s="65"/>
      <c r="I519" s="65"/>
      <c r="J519" s="65"/>
      <c r="K519" s="65"/>
      <c r="L519" s="65"/>
    </row>
    <row r="520" spans="8:12" ht="12.6" hidden="1">
      <c r="H520" s="65"/>
      <c r="I520" s="65"/>
      <c r="J520" s="65"/>
      <c r="K520" s="65"/>
      <c r="L520" s="65"/>
    </row>
    <row r="521" spans="8:12" ht="12.6" hidden="1">
      <c r="H521" s="65"/>
      <c r="I521" s="65"/>
      <c r="J521" s="65"/>
      <c r="K521" s="65"/>
      <c r="L521" s="65"/>
    </row>
    <row r="522" spans="8:12" ht="12.6" hidden="1">
      <c r="H522" s="65"/>
      <c r="I522" s="65"/>
      <c r="J522" s="65"/>
      <c r="K522" s="65"/>
      <c r="L522" s="65"/>
    </row>
    <row r="523" spans="8:12" ht="12.6" hidden="1">
      <c r="H523" s="65"/>
      <c r="I523" s="65"/>
      <c r="J523" s="65"/>
      <c r="K523" s="65"/>
      <c r="L523" s="65"/>
    </row>
    <row r="524" spans="8:12" ht="12.6" hidden="1">
      <c r="H524" s="65"/>
      <c r="I524" s="65"/>
      <c r="J524" s="65"/>
      <c r="K524" s="65"/>
      <c r="L524" s="65"/>
    </row>
    <row r="525" spans="8:12" ht="12.6" hidden="1">
      <c r="H525" s="65"/>
      <c r="I525" s="65"/>
      <c r="J525" s="65"/>
      <c r="K525" s="65"/>
      <c r="L525" s="65"/>
    </row>
    <row r="526" spans="8:12" ht="12.6" hidden="1">
      <c r="H526" s="65"/>
      <c r="I526" s="65"/>
      <c r="J526" s="65"/>
      <c r="K526" s="65"/>
      <c r="L526" s="65"/>
    </row>
    <row r="527" spans="8:12" ht="12.6" hidden="1">
      <c r="H527" s="65"/>
      <c r="I527" s="65"/>
      <c r="J527" s="65"/>
      <c r="K527" s="65"/>
      <c r="L527" s="65"/>
    </row>
    <row r="528" spans="8:12" ht="12.6" hidden="1">
      <c r="H528" s="65"/>
      <c r="I528" s="65"/>
      <c r="J528" s="65"/>
      <c r="K528" s="65"/>
      <c r="L528" s="65"/>
    </row>
    <row r="529" spans="8:12" ht="12.6" hidden="1">
      <c r="H529" s="65"/>
      <c r="I529" s="65"/>
      <c r="J529" s="65"/>
      <c r="K529" s="65"/>
      <c r="L529" s="65"/>
    </row>
    <row r="530" spans="8:12" ht="12.6" hidden="1">
      <c r="H530" s="65"/>
      <c r="I530" s="65"/>
      <c r="J530" s="65"/>
      <c r="K530" s="65"/>
      <c r="L530" s="65"/>
    </row>
    <row r="531" spans="8:12" ht="12.6" hidden="1">
      <c r="H531" s="65"/>
      <c r="I531" s="65"/>
      <c r="J531" s="65"/>
      <c r="K531" s="65"/>
      <c r="L531" s="65"/>
    </row>
    <row r="532" spans="8:12" ht="12.6" hidden="1">
      <c r="H532" s="65"/>
      <c r="I532" s="65"/>
      <c r="J532" s="65"/>
      <c r="K532" s="65"/>
      <c r="L532" s="65"/>
    </row>
    <row r="533" spans="8:12" ht="12.6" hidden="1">
      <c r="H533" s="65"/>
      <c r="I533" s="65"/>
      <c r="J533" s="65"/>
      <c r="K533" s="65"/>
      <c r="L533" s="65"/>
    </row>
    <row r="534" spans="8:12" ht="12.6" hidden="1">
      <c r="H534" s="65"/>
      <c r="I534" s="65"/>
      <c r="J534" s="65"/>
      <c r="K534" s="65"/>
      <c r="L534" s="65"/>
    </row>
    <row r="535" spans="8:12" ht="12.6" hidden="1">
      <c r="H535" s="65"/>
      <c r="I535" s="65"/>
      <c r="J535" s="65"/>
      <c r="K535" s="65"/>
      <c r="L535" s="65"/>
    </row>
    <row r="536" spans="8:12" ht="12.6" hidden="1">
      <c r="H536" s="65"/>
      <c r="I536" s="65"/>
      <c r="J536" s="65"/>
      <c r="K536" s="65"/>
      <c r="L536" s="65"/>
    </row>
    <row r="537" spans="8:12" ht="12.6" hidden="1">
      <c r="H537" s="65"/>
      <c r="I537" s="65"/>
      <c r="J537" s="65"/>
      <c r="K537" s="65"/>
      <c r="L537" s="65"/>
    </row>
    <row r="538" spans="8:12" ht="12.6" hidden="1">
      <c r="H538" s="65"/>
      <c r="I538" s="65"/>
      <c r="J538" s="65"/>
      <c r="K538" s="65"/>
      <c r="L538" s="65"/>
    </row>
    <row r="539" spans="8:12" ht="12.6" hidden="1">
      <c r="H539" s="65"/>
      <c r="I539" s="65"/>
      <c r="J539" s="65"/>
      <c r="K539" s="65"/>
      <c r="L539" s="65"/>
    </row>
    <row r="540" spans="8:12" ht="12.6" hidden="1">
      <c r="H540" s="65"/>
      <c r="I540" s="65"/>
      <c r="J540" s="65"/>
      <c r="K540" s="65"/>
      <c r="L540" s="65"/>
    </row>
    <row r="541" spans="8:12" ht="12.6" hidden="1">
      <c r="H541" s="65"/>
      <c r="I541" s="65"/>
      <c r="J541" s="65"/>
      <c r="K541" s="65"/>
      <c r="L541" s="65"/>
    </row>
    <row r="542" spans="8:12" ht="12.6" hidden="1">
      <c r="H542" s="65"/>
      <c r="I542" s="65"/>
      <c r="J542" s="65"/>
      <c r="K542" s="65"/>
      <c r="L542" s="65"/>
    </row>
    <row r="543" spans="8:12" ht="12.6" hidden="1">
      <c r="H543" s="65"/>
      <c r="I543" s="65"/>
      <c r="J543" s="65"/>
      <c r="K543" s="65"/>
      <c r="L543" s="65"/>
    </row>
    <row r="544" spans="8:12" ht="12.6" hidden="1">
      <c r="H544" s="65"/>
      <c r="I544" s="65"/>
      <c r="J544" s="65"/>
      <c r="K544" s="65"/>
      <c r="L544" s="65"/>
    </row>
    <row r="545" spans="8:12" ht="12.6" hidden="1">
      <c r="H545" s="65"/>
      <c r="I545" s="65"/>
      <c r="J545" s="65"/>
      <c r="K545" s="65"/>
      <c r="L545" s="65"/>
    </row>
    <row r="546" spans="8:12" ht="12.6" hidden="1">
      <c r="H546" s="65"/>
      <c r="I546" s="65"/>
      <c r="J546" s="65"/>
      <c r="K546" s="65"/>
      <c r="L546" s="65"/>
    </row>
    <row r="547" spans="8:12" ht="12.6" hidden="1">
      <c r="H547" s="65"/>
      <c r="I547" s="65"/>
      <c r="J547" s="65"/>
      <c r="K547" s="65"/>
      <c r="L547" s="65"/>
    </row>
    <row r="548" spans="8:12" ht="12.6" hidden="1">
      <c r="H548" s="65"/>
      <c r="I548" s="65"/>
      <c r="J548" s="65"/>
      <c r="K548" s="65"/>
      <c r="L548" s="65"/>
    </row>
    <row r="549" spans="8:12" ht="12.6" hidden="1">
      <c r="H549" s="65"/>
      <c r="I549" s="65"/>
      <c r="J549" s="65"/>
      <c r="K549" s="65"/>
      <c r="L549" s="65"/>
    </row>
    <row r="550" spans="8:12" ht="12.6" hidden="1">
      <c r="H550" s="65"/>
      <c r="I550" s="65"/>
      <c r="J550" s="65"/>
      <c r="K550" s="65"/>
      <c r="L550" s="65"/>
    </row>
    <row r="551" spans="8:12" ht="12.6" hidden="1">
      <c r="H551" s="65"/>
      <c r="I551" s="65"/>
      <c r="J551" s="65"/>
      <c r="K551" s="65"/>
      <c r="L551" s="65"/>
    </row>
    <row r="552" spans="8:12" ht="12.6" hidden="1">
      <c r="H552" s="65"/>
      <c r="I552" s="65"/>
      <c r="J552" s="65"/>
      <c r="K552" s="65"/>
      <c r="L552" s="65"/>
    </row>
    <row r="553" spans="8:12" ht="12.6" hidden="1">
      <c r="H553" s="65"/>
      <c r="I553" s="65"/>
      <c r="J553" s="65"/>
      <c r="K553" s="65"/>
      <c r="L553" s="65"/>
    </row>
    <row r="554" spans="8:12" ht="12.6" hidden="1">
      <c r="H554" s="65"/>
      <c r="I554" s="65"/>
      <c r="J554" s="65"/>
      <c r="K554" s="65"/>
      <c r="L554" s="65"/>
    </row>
    <row r="555" spans="8:12" ht="12.6" hidden="1">
      <c r="H555" s="65"/>
      <c r="I555" s="65"/>
      <c r="J555" s="65"/>
      <c r="K555" s="65"/>
      <c r="L555" s="65"/>
    </row>
    <row r="556" spans="8:12" ht="12.6" hidden="1">
      <c r="H556" s="65"/>
      <c r="I556" s="65"/>
      <c r="J556" s="65"/>
      <c r="K556" s="65"/>
      <c r="L556" s="65"/>
    </row>
    <row r="557" spans="8:12" ht="12.6" hidden="1">
      <c r="H557" s="65"/>
      <c r="I557" s="65"/>
      <c r="J557" s="65"/>
      <c r="K557" s="65"/>
      <c r="L557" s="65"/>
    </row>
    <row r="558" spans="8:12" ht="12.6" hidden="1">
      <c r="H558" s="65"/>
      <c r="I558" s="65"/>
      <c r="J558" s="65"/>
      <c r="K558" s="65"/>
      <c r="L558" s="65"/>
    </row>
    <row r="559" spans="8:12" ht="12.6" hidden="1">
      <c r="H559" s="65"/>
      <c r="I559" s="65"/>
      <c r="J559" s="65"/>
      <c r="K559" s="65"/>
      <c r="L559" s="65"/>
    </row>
    <row r="560" spans="8:12" ht="12.6" hidden="1">
      <c r="H560" s="65"/>
      <c r="I560" s="65"/>
      <c r="J560" s="65"/>
      <c r="K560" s="65"/>
      <c r="L560" s="65"/>
    </row>
    <row r="561" spans="8:12" ht="12.6" hidden="1">
      <c r="H561" s="65"/>
      <c r="I561" s="65"/>
      <c r="J561" s="65"/>
      <c r="K561" s="65"/>
      <c r="L561" s="65"/>
    </row>
    <row r="562" spans="8:12" ht="12.6" hidden="1">
      <c r="H562" s="65"/>
      <c r="I562" s="65"/>
      <c r="J562" s="65"/>
      <c r="K562" s="65"/>
      <c r="L562" s="65"/>
    </row>
    <row r="563" spans="8:12" ht="12.6" hidden="1">
      <c r="H563" s="65"/>
      <c r="I563" s="65"/>
      <c r="J563" s="65"/>
      <c r="K563" s="65"/>
      <c r="L563" s="65"/>
    </row>
    <row r="564" spans="8:12" ht="12.6" hidden="1">
      <c r="H564" s="65"/>
      <c r="I564" s="65"/>
      <c r="J564" s="65"/>
      <c r="K564" s="65"/>
      <c r="L564" s="65"/>
    </row>
    <row r="565" spans="8:12" ht="12.6" hidden="1">
      <c r="H565" s="65"/>
      <c r="I565" s="65"/>
      <c r="J565" s="65"/>
      <c r="K565" s="65"/>
      <c r="L565" s="65"/>
    </row>
    <row r="566" spans="8:12" ht="12.6" hidden="1">
      <c r="H566" s="65"/>
      <c r="I566" s="65"/>
      <c r="J566" s="65"/>
      <c r="K566" s="65"/>
      <c r="L566" s="65"/>
    </row>
    <row r="567" spans="8:12" ht="12.6" hidden="1">
      <c r="H567" s="65"/>
      <c r="I567" s="65"/>
      <c r="J567" s="65"/>
      <c r="K567" s="65"/>
      <c r="L567" s="65"/>
    </row>
    <row r="568" spans="8:12" ht="12.6" hidden="1">
      <c r="H568" s="65"/>
      <c r="I568" s="65"/>
      <c r="J568" s="65"/>
      <c r="K568" s="65"/>
      <c r="L568" s="65"/>
    </row>
    <row r="569" spans="8:12" ht="12.6" hidden="1">
      <c r="H569" s="65"/>
      <c r="I569" s="65"/>
      <c r="J569" s="65"/>
      <c r="K569" s="65"/>
      <c r="L569" s="65"/>
    </row>
    <row r="570" spans="8:12" ht="12.6" hidden="1">
      <c r="H570" s="65"/>
      <c r="I570" s="65"/>
      <c r="J570" s="65"/>
      <c r="K570" s="65"/>
      <c r="L570" s="65"/>
    </row>
    <row r="571" spans="8:12" ht="12.6" hidden="1">
      <c r="H571" s="65"/>
      <c r="I571" s="65"/>
      <c r="J571" s="65"/>
      <c r="K571" s="65"/>
      <c r="L571" s="65"/>
    </row>
    <row r="572" spans="8:12" ht="12.6" hidden="1">
      <c r="H572" s="65"/>
      <c r="I572" s="65"/>
      <c r="J572" s="65"/>
      <c r="K572" s="65"/>
      <c r="L572" s="65"/>
    </row>
    <row r="573" spans="8:12" ht="12.6" hidden="1">
      <c r="H573" s="65"/>
      <c r="I573" s="65"/>
      <c r="J573" s="65"/>
      <c r="K573" s="65"/>
      <c r="L573" s="65"/>
    </row>
    <row r="574" spans="8:12" ht="12.6" hidden="1">
      <c r="H574" s="65"/>
      <c r="I574" s="65"/>
      <c r="J574" s="65"/>
      <c r="K574" s="65"/>
      <c r="L574" s="65"/>
    </row>
    <row r="575" spans="8:12" ht="12.6" hidden="1">
      <c r="H575" s="65"/>
      <c r="I575" s="65"/>
      <c r="J575" s="65"/>
      <c r="K575" s="65"/>
      <c r="L575" s="65"/>
    </row>
    <row r="576" spans="8:12" ht="12.6" hidden="1">
      <c r="H576" s="65"/>
      <c r="I576" s="65"/>
      <c r="J576" s="65"/>
      <c r="K576" s="65"/>
      <c r="L576" s="65"/>
    </row>
    <row r="577" spans="8:12" ht="12.6" hidden="1">
      <c r="H577" s="65"/>
      <c r="I577" s="65"/>
      <c r="J577" s="65"/>
      <c r="K577" s="65"/>
      <c r="L577" s="65"/>
    </row>
    <row r="578" spans="8:12" ht="12.6" hidden="1">
      <c r="H578" s="65"/>
      <c r="I578" s="65"/>
      <c r="J578" s="65"/>
      <c r="K578" s="65"/>
      <c r="L578" s="65"/>
    </row>
    <row r="579" spans="8:12" ht="12.6" hidden="1">
      <c r="H579" s="65"/>
      <c r="I579" s="65"/>
      <c r="J579" s="65"/>
      <c r="K579" s="65"/>
      <c r="L579" s="65"/>
    </row>
    <row r="580" spans="8:12" ht="12.6" hidden="1">
      <c r="H580" s="65"/>
      <c r="I580" s="65"/>
      <c r="J580" s="65"/>
      <c r="K580" s="65"/>
      <c r="L580" s="65"/>
    </row>
    <row r="581" spans="8:12" ht="12.6" hidden="1">
      <c r="H581" s="65"/>
      <c r="I581" s="65"/>
      <c r="J581" s="65"/>
      <c r="K581" s="65"/>
      <c r="L581" s="65"/>
    </row>
    <row r="582" spans="8:12" ht="12.6" hidden="1">
      <c r="H582" s="65"/>
      <c r="I582" s="65"/>
      <c r="J582" s="65"/>
      <c r="K582" s="65"/>
      <c r="L582" s="65"/>
    </row>
    <row r="583" spans="8:12" ht="12.6" hidden="1">
      <c r="H583" s="65"/>
      <c r="I583" s="65"/>
      <c r="J583" s="65"/>
      <c r="K583" s="65"/>
      <c r="L583" s="65"/>
    </row>
    <row r="584" spans="8:12" ht="12.6" hidden="1">
      <c r="H584" s="65"/>
      <c r="I584" s="65"/>
      <c r="J584" s="65"/>
      <c r="K584" s="65"/>
      <c r="L584" s="65"/>
    </row>
    <row r="585" spans="8:12" ht="12.6" hidden="1">
      <c r="H585" s="65"/>
      <c r="I585" s="65"/>
      <c r="J585" s="65"/>
      <c r="K585" s="65"/>
      <c r="L585" s="65"/>
    </row>
    <row r="586" spans="8:12" ht="12.6" hidden="1">
      <c r="H586" s="65"/>
      <c r="I586" s="65"/>
      <c r="J586" s="65"/>
      <c r="K586" s="65"/>
      <c r="L586" s="65"/>
    </row>
    <row r="587" spans="8:12" ht="12.6" hidden="1">
      <c r="H587" s="65"/>
      <c r="I587" s="65"/>
      <c r="J587" s="65"/>
      <c r="K587" s="65"/>
      <c r="L587" s="65"/>
    </row>
    <row r="588" spans="8:12" ht="12.6" hidden="1">
      <c r="H588" s="65"/>
      <c r="I588" s="65"/>
      <c r="J588" s="65"/>
      <c r="K588" s="65"/>
      <c r="L588" s="65"/>
    </row>
    <row r="589" spans="8:12" ht="12.6" hidden="1">
      <c r="H589" s="65"/>
      <c r="I589" s="65"/>
      <c r="J589" s="65"/>
      <c r="K589" s="65"/>
      <c r="L589" s="65"/>
    </row>
    <row r="590" spans="8:12" ht="12.6" hidden="1">
      <c r="H590" s="65"/>
      <c r="I590" s="65"/>
      <c r="J590" s="65"/>
      <c r="K590" s="65"/>
      <c r="L590" s="65"/>
    </row>
    <row r="591" spans="8:12" ht="12.6" hidden="1">
      <c r="H591" s="65"/>
      <c r="I591" s="65"/>
      <c r="J591" s="65"/>
      <c r="K591" s="65"/>
      <c r="L591" s="65"/>
    </row>
    <row r="592" spans="8:12" ht="12.6" hidden="1">
      <c r="H592" s="65"/>
      <c r="I592" s="65"/>
      <c r="J592" s="65"/>
      <c r="K592" s="65"/>
      <c r="L592" s="65"/>
    </row>
    <row r="593" spans="8:12" ht="12.6" hidden="1">
      <c r="H593" s="65"/>
      <c r="I593" s="65"/>
      <c r="J593" s="65"/>
      <c r="K593" s="65"/>
      <c r="L593" s="65"/>
    </row>
    <row r="594" spans="8:12" ht="12.6" hidden="1">
      <c r="H594" s="65"/>
      <c r="I594" s="65"/>
      <c r="J594" s="65"/>
      <c r="K594" s="65"/>
      <c r="L594" s="65"/>
    </row>
    <row r="595" spans="8:12" ht="12.6" hidden="1">
      <c r="H595" s="65"/>
      <c r="I595" s="65"/>
      <c r="J595" s="65"/>
      <c r="K595" s="65"/>
      <c r="L595" s="65"/>
    </row>
    <row r="596" spans="8:12" ht="12.6" hidden="1">
      <c r="H596" s="65"/>
      <c r="I596" s="65"/>
      <c r="J596" s="65"/>
      <c r="K596" s="65"/>
      <c r="L596" s="65"/>
    </row>
    <row r="597" spans="8:12" ht="12.6" hidden="1">
      <c r="H597" s="65"/>
      <c r="I597" s="65"/>
      <c r="J597" s="65"/>
      <c r="K597" s="65"/>
      <c r="L597" s="65"/>
    </row>
    <row r="598" spans="8:12" ht="12.6" hidden="1">
      <c r="H598" s="65"/>
      <c r="I598" s="65"/>
      <c r="J598" s="65"/>
      <c r="K598" s="65"/>
      <c r="L598" s="65"/>
    </row>
    <row r="599" spans="8:12" ht="12.6" hidden="1">
      <c r="H599" s="65"/>
      <c r="I599" s="65"/>
      <c r="J599" s="65"/>
      <c r="K599" s="65"/>
      <c r="L599" s="65"/>
    </row>
    <row r="600" spans="8:12" ht="12.6" hidden="1">
      <c r="H600" s="65"/>
      <c r="I600" s="65"/>
      <c r="J600" s="65"/>
      <c r="K600" s="65"/>
      <c r="L600" s="65"/>
    </row>
    <row r="601" spans="8:12" ht="12.6" hidden="1">
      <c r="H601" s="65"/>
      <c r="I601" s="65"/>
      <c r="J601" s="65"/>
      <c r="K601" s="65"/>
      <c r="L601" s="65"/>
    </row>
    <row r="602" spans="8:12" ht="12.6" hidden="1">
      <c r="H602" s="65"/>
      <c r="I602" s="65"/>
      <c r="J602" s="65"/>
      <c r="K602" s="65"/>
      <c r="L602" s="65"/>
    </row>
    <row r="603" spans="8:12" ht="12.6" hidden="1">
      <c r="H603" s="65"/>
      <c r="I603" s="65"/>
      <c r="J603" s="65"/>
      <c r="K603" s="65"/>
      <c r="L603" s="65"/>
    </row>
    <row r="604" spans="8:12" ht="12.6" hidden="1">
      <c r="H604" s="65"/>
      <c r="I604" s="65"/>
      <c r="J604" s="65"/>
      <c r="K604" s="65"/>
      <c r="L604" s="65"/>
    </row>
    <row r="605" spans="8:12" ht="12.6" hidden="1">
      <c r="H605" s="65"/>
      <c r="I605" s="65"/>
      <c r="J605" s="65"/>
      <c r="K605" s="65"/>
      <c r="L605" s="65"/>
    </row>
    <row r="606" spans="8:12" ht="12.6" hidden="1">
      <c r="H606" s="65"/>
      <c r="I606" s="65"/>
      <c r="J606" s="65"/>
      <c r="K606" s="65"/>
      <c r="L606" s="65"/>
    </row>
    <row r="607" spans="8:12" ht="12.6" hidden="1">
      <c r="H607" s="65"/>
      <c r="I607" s="65"/>
      <c r="J607" s="65"/>
      <c r="K607" s="65"/>
      <c r="L607" s="65"/>
    </row>
    <row r="608" spans="8:12" ht="12.6" hidden="1">
      <c r="H608" s="65"/>
      <c r="I608" s="65"/>
      <c r="J608" s="65"/>
      <c r="K608" s="65"/>
      <c r="L608" s="65"/>
    </row>
    <row r="609" spans="8:12" ht="12.6" hidden="1">
      <c r="H609" s="65"/>
      <c r="I609" s="65"/>
      <c r="J609" s="65"/>
      <c r="K609" s="65"/>
      <c r="L609" s="65"/>
    </row>
    <row r="610" spans="8:12" ht="12.6" hidden="1">
      <c r="H610" s="65"/>
      <c r="I610" s="65"/>
      <c r="J610" s="65"/>
      <c r="K610" s="65"/>
      <c r="L610" s="65"/>
    </row>
    <row r="611" spans="8:12" ht="12.6" hidden="1">
      <c r="H611" s="65"/>
      <c r="I611" s="65"/>
      <c r="J611" s="65"/>
      <c r="K611" s="65"/>
      <c r="L611" s="65"/>
    </row>
    <row r="612" spans="8:12" ht="12.6" hidden="1">
      <c r="H612" s="65"/>
      <c r="I612" s="65"/>
      <c r="J612" s="65"/>
      <c r="K612" s="65"/>
      <c r="L612" s="65"/>
    </row>
    <row r="613" spans="8:12" ht="12.6" hidden="1">
      <c r="H613" s="65"/>
      <c r="I613" s="65"/>
      <c r="J613" s="65"/>
      <c r="K613" s="65"/>
      <c r="L613" s="65"/>
    </row>
    <row r="614" spans="8:12" ht="12.6" hidden="1">
      <c r="H614" s="65"/>
      <c r="I614" s="65"/>
      <c r="J614" s="65"/>
      <c r="K614" s="65"/>
      <c r="L614" s="65"/>
    </row>
    <row r="615" spans="8:12" ht="12.6" hidden="1">
      <c r="H615" s="65"/>
      <c r="I615" s="65"/>
      <c r="J615" s="65"/>
      <c r="K615" s="65"/>
      <c r="L615" s="65"/>
    </row>
    <row r="616" spans="8:12" ht="12.6" hidden="1">
      <c r="H616" s="65"/>
      <c r="I616" s="65"/>
      <c r="J616" s="65"/>
      <c r="K616" s="65"/>
      <c r="L616" s="65"/>
    </row>
    <row r="617" spans="8:12" ht="12.6" hidden="1">
      <c r="H617" s="65"/>
      <c r="I617" s="65"/>
      <c r="J617" s="65"/>
      <c r="K617" s="65"/>
      <c r="L617" s="65"/>
    </row>
    <row r="618" spans="8:12" ht="12.6" hidden="1">
      <c r="H618" s="65"/>
      <c r="I618" s="65"/>
      <c r="J618" s="65"/>
      <c r="K618" s="65"/>
      <c r="L618" s="65"/>
    </row>
    <row r="619" spans="8:12" ht="12.6" hidden="1"/>
    <row r="620" spans="8:12" ht="12.6" hidden="1"/>
    <row r="621" spans="8:12" ht="12.6" hidden="1"/>
    <row r="622" spans="8:12" ht="12.6" hidden="1"/>
    <row r="623" spans="8:12" ht="12.6" hidden="1"/>
    <row r="624" spans="8:12" ht="12.75" hidden="1" customHeight="1"/>
    <row r="625" ht="12.75" hidden="1" customHeight="1"/>
    <row r="626" ht="12.75" hidden="1" customHeight="1"/>
    <row r="627" ht="12.75" hidden="1" customHeight="1"/>
  </sheetData>
  <dataConsolidate/>
  <mergeCells count="12">
    <mergeCell ref="B11:B12"/>
    <mergeCell ref="B51:B52"/>
    <mergeCell ref="D51:F51"/>
    <mergeCell ref="H51:J51"/>
    <mergeCell ref="L51:M51"/>
    <mergeCell ref="B3:M3"/>
    <mergeCell ref="B4:M4"/>
    <mergeCell ref="B5:M5"/>
    <mergeCell ref="B6:M6"/>
    <mergeCell ref="D10:F10"/>
    <mergeCell ref="H10:J10"/>
    <mergeCell ref="L10:M10"/>
  </mergeCells>
  <printOptions horizontalCentered="1" verticalCentered="1"/>
  <pageMargins left="0.19685039370078741" right="0.19685039370078741" top="0.98425196850393704" bottom="0.19685039370078741" header="0" footer="0"/>
  <pageSetup paperSize="9" scale="65" orientation="portrait" r:id="rId1"/>
  <headerFooter>
    <oddHeader>&amp;L
     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4</xdr:col>
                    <xdr:colOff>502920</xdr:colOff>
                    <xdr:row>7</xdr:row>
                    <xdr:rowOff>22860</xdr:rowOff>
                  </from>
                  <to>
                    <xdr:col>5</xdr:col>
                    <xdr:colOff>426720</xdr:colOff>
                    <xdr:row>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Drop Down 2">
              <controlPr defaultSize="0" autoLine="0" autoPict="0">
                <anchor moveWithCells="1">
                  <from>
                    <xdr:col>6</xdr:col>
                    <xdr:colOff>99060</xdr:colOff>
                    <xdr:row>7</xdr:row>
                    <xdr:rowOff>22860</xdr:rowOff>
                  </from>
                  <to>
                    <xdr:col>7</xdr:col>
                    <xdr:colOff>899160</xdr:colOff>
                    <xdr:row>7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588"/>
  <sheetViews>
    <sheetView showGridLines="0" showRowColHeaders="0" showRuler="0" zoomScaleNormal="100" workbookViewId="0"/>
  </sheetViews>
  <sheetFormatPr baseColWidth="10" defaultColWidth="0" defaultRowHeight="12.75" customHeight="1" zeroHeight="1"/>
  <cols>
    <col min="1" max="1" width="1.90625" style="2" customWidth="1"/>
    <col min="2" max="2" width="8.7265625" style="2" customWidth="1"/>
    <col min="3" max="7" width="8.08984375" style="2" customWidth="1"/>
    <col min="8" max="8" width="9.08984375" style="2" customWidth="1"/>
    <col min="9" max="9" width="1.36328125" style="2" customWidth="1"/>
    <col min="10" max="14" width="8.08984375" style="2" customWidth="1"/>
    <col min="15" max="15" width="9.08984375" style="2" customWidth="1"/>
    <col min="16" max="16" width="1.90625" style="2" customWidth="1"/>
    <col min="17" max="17" width="20.08984375" style="2" hidden="1" customWidth="1"/>
    <col min="18" max="18" width="5.7265625" style="2" hidden="1" customWidth="1"/>
    <col min="19" max="19" width="11" style="2" hidden="1" customWidth="1"/>
    <col min="20" max="20" width="9.90625" style="2" hidden="1" customWidth="1"/>
    <col min="21" max="28" width="11" style="2" hidden="1" customWidth="1"/>
    <col min="29" max="29" width="2.26953125" style="2" hidden="1" customWidth="1"/>
    <col min="30" max="16384" width="11" style="2" hidden="1"/>
  </cols>
  <sheetData>
    <row r="1" spans="1:19" ht="5.0999999999999996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spans="1:19" ht="5.0999999999999996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2"/>
    </row>
    <row r="3" spans="1:19" ht="18" customHeight="1">
      <c r="B3" s="327" t="s">
        <v>75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</row>
    <row r="4" spans="1:19" ht="18" customHeight="1">
      <c r="B4" s="327" t="s">
        <v>76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</row>
    <row r="5" spans="1:19" ht="16.2" customHeight="1">
      <c r="B5" s="336" t="s">
        <v>77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6" spans="1:19" s="65" customFormat="1" ht="9.75" customHeight="1" thickBot="1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9" s="65" customFormat="1" ht="18.899999999999999" customHeight="1" thickTop="1" thickBot="1">
      <c r="B7" s="112"/>
      <c r="C7" s="112"/>
      <c r="D7" s="112"/>
      <c r="E7"/>
      <c r="F7"/>
      <c r="G7" s="113" t="s">
        <v>78</v>
      </c>
      <c r="H7" s="114"/>
      <c r="I7" s="114"/>
      <c r="J7" s="115"/>
      <c r="K7" s="112"/>
      <c r="L7" s="112"/>
      <c r="M7" s="112"/>
      <c r="N7" s="112"/>
      <c r="O7" s="112"/>
      <c r="Q7" s="6" t="s">
        <v>79</v>
      </c>
      <c r="R7" s="7">
        <v>29</v>
      </c>
      <c r="S7" s="7">
        <f>INDEX(Años,R7)</f>
        <v>2024</v>
      </c>
    </row>
    <row r="8" spans="1:19" s="65" customFormat="1" ht="14.4" customHeight="1" thickTop="1">
      <c r="B8" s="112"/>
      <c r="C8" s="112"/>
      <c r="D8" s="112"/>
      <c r="G8"/>
      <c r="H8"/>
      <c r="I8" s="112"/>
      <c r="J8" s="112"/>
      <c r="K8" s="112"/>
      <c r="L8" s="112"/>
      <c r="M8" s="112"/>
      <c r="N8" s="112"/>
      <c r="O8" s="112"/>
      <c r="Q8" s="6" t="s">
        <v>80</v>
      </c>
      <c r="S8" s="7" t="str">
        <f>INDEX(V117:V128,MATCH(1,S117:S128,0))</f>
        <v>FEBRUARY</v>
      </c>
    </row>
    <row r="9" spans="1:19" ht="14.4" customHeight="1" thickBot="1">
      <c r="B9" s="116"/>
      <c r="C9" s="334" t="s">
        <v>81</v>
      </c>
      <c r="D9" s="335"/>
      <c r="E9" s="335"/>
      <c r="F9" s="335"/>
      <c r="G9" s="335"/>
      <c r="H9" s="335"/>
      <c r="I9" s="17"/>
      <c r="J9" s="334" t="s">
        <v>73</v>
      </c>
      <c r="K9" s="334"/>
      <c r="L9" s="334"/>
      <c r="M9" s="334"/>
      <c r="N9" s="334"/>
      <c r="O9" s="334"/>
      <c r="Q9" s="6" t="s">
        <v>82</v>
      </c>
      <c r="R9" s="10"/>
      <c r="S9" s="11">
        <f>S7-1</f>
        <v>2023</v>
      </c>
    </row>
    <row r="10" spans="1:19" ht="6" customHeight="1">
      <c r="B10" s="116"/>
      <c r="C10" s="117"/>
      <c r="D10" s="118"/>
      <c r="E10" s="118"/>
      <c r="F10" s="118"/>
      <c r="G10" s="118"/>
      <c r="H10" s="118"/>
      <c r="I10" s="118"/>
      <c r="J10" s="117"/>
      <c r="K10" s="117"/>
      <c r="L10" s="117"/>
      <c r="M10" s="117"/>
      <c r="N10" s="117"/>
      <c r="O10" s="117"/>
    </row>
    <row r="11" spans="1:19" ht="12" customHeight="1">
      <c r="B11" s="119"/>
      <c r="C11" s="120" t="s">
        <v>83</v>
      </c>
      <c r="D11" s="120" t="s">
        <v>84</v>
      </c>
      <c r="E11" s="120" t="s">
        <v>85</v>
      </c>
      <c r="F11" s="120" t="s">
        <v>86</v>
      </c>
      <c r="G11" s="120" t="s">
        <v>57</v>
      </c>
      <c r="H11" s="121" t="s">
        <v>87</v>
      </c>
      <c r="I11" s="20"/>
      <c r="J11" s="120" t="s">
        <v>83</v>
      </c>
      <c r="K11" s="120" t="s">
        <v>84</v>
      </c>
      <c r="L11" s="120" t="s">
        <v>85</v>
      </c>
      <c r="M11" s="120" t="s">
        <v>86</v>
      </c>
      <c r="N11" s="120" t="s">
        <v>57</v>
      </c>
      <c r="O11" s="121" t="s">
        <v>87</v>
      </c>
    </row>
    <row r="12" spans="1:19" ht="6" customHeight="1">
      <c r="B12" s="122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</row>
    <row r="13" spans="1:19" ht="13.5" customHeight="1" thickBot="1">
      <c r="B13" s="124">
        <f>Año_anterior_seleccionado_C.1.2</f>
        <v>2023</v>
      </c>
      <c r="C13" s="125"/>
      <c r="D13" s="125"/>
      <c r="E13" s="125"/>
      <c r="F13" s="125"/>
      <c r="G13" s="125"/>
      <c r="H13" s="126"/>
      <c r="I13" s="127"/>
      <c r="J13" s="125"/>
      <c r="K13" s="125"/>
      <c r="L13" s="125"/>
      <c r="M13" s="125"/>
      <c r="N13" s="125"/>
      <c r="O13" s="126"/>
    </row>
    <row r="14" spans="1:19" ht="6" customHeight="1">
      <c r="B14" s="128"/>
      <c r="C14" s="125"/>
      <c r="D14" s="125"/>
      <c r="E14" s="125"/>
      <c r="F14" s="125"/>
      <c r="G14" s="125"/>
      <c r="H14" s="126"/>
      <c r="I14" s="127"/>
      <c r="J14" s="125"/>
      <c r="K14" s="125"/>
      <c r="L14" s="125"/>
      <c r="M14" s="125"/>
      <c r="N14" s="125"/>
      <c r="O14" s="126"/>
    </row>
    <row r="15" spans="1:19" ht="12" customHeight="1">
      <c r="B15" s="128" t="s">
        <v>88</v>
      </c>
      <c r="C15" s="258">
        <f>W105</f>
        <v>15682.742</v>
      </c>
      <c r="D15" s="258">
        <f t="shared" ref="D15:H15" si="0">X105</f>
        <v>-5926.5659999999998</v>
      </c>
      <c r="E15" s="258">
        <f t="shared" si="0"/>
        <v>5103.5680000000002</v>
      </c>
      <c r="F15" s="258">
        <f t="shared" si="0"/>
        <v>1652.1020000000001</v>
      </c>
      <c r="G15" s="258">
        <f t="shared" si="0"/>
        <v>1060.4580000000024</v>
      </c>
      <c r="H15" s="259">
        <f t="shared" si="0"/>
        <v>17572.304</v>
      </c>
      <c r="I15" s="127"/>
      <c r="J15" s="258">
        <f t="shared" ref="J15:O26" si="1">AD105</f>
        <v>15682.742</v>
      </c>
      <c r="K15" s="258">
        <f t="shared" si="1"/>
        <v>-5926.5659999999998</v>
      </c>
      <c r="L15" s="258">
        <f t="shared" si="1"/>
        <v>5103.5680000000002</v>
      </c>
      <c r="M15" s="258">
        <f t="shared" si="1"/>
        <v>1652.1020000000001</v>
      </c>
      <c r="N15" s="258">
        <f t="shared" si="1"/>
        <v>1060.4580000000024</v>
      </c>
      <c r="O15" s="259">
        <f t="shared" si="1"/>
        <v>17572.304</v>
      </c>
      <c r="Q15"/>
      <c r="R15"/>
    </row>
    <row r="16" spans="1:19" ht="12" customHeight="1">
      <c r="B16" s="128" t="s">
        <v>89</v>
      </c>
      <c r="C16" s="258">
        <f t="shared" ref="C16:H26" si="2">W106</f>
        <v>7444.1689999999999</v>
      </c>
      <c r="D16" s="258">
        <f t="shared" si="2"/>
        <v>-102.017</v>
      </c>
      <c r="E16" s="258">
        <f t="shared" si="2"/>
        <v>15782.743</v>
      </c>
      <c r="F16" s="258">
        <f t="shared" si="2"/>
        <v>1426.3520000000001</v>
      </c>
      <c r="G16" s="258">
        <f t="shared" si="2"/>
        <v>924.21800000000076</v>
      </c>
      <c r="H16" s="259">
        <f t="shared" si="2"/>
        <v>25475.465</v>
      </c>
      <c r="I16" s="127"/>
      <c r="J16" s="258">
        <f t="shared" si="1"/>
        <v>23126.911</v>
      </c>
      <c r="K16" s="258">
        <f t="shared" si="1"/>
        <v>-6028.5829999999996</v>
      </c>
      <c r="L16" s="258">
        <f t="shared" si="1"/>
        <v>20886.311000000002</v>
      </c>
      <c r="M16" s="258">
        <f t="shared" si="1"/>
        <v>3078.4540000000002</v>
      </c>
      <c r="N16" s="258">
        <f t="shared" si="1"/>
        <v>1984.6760000000031</v>
      </c>
      <c r="O16" s="259">
        <f t="shared" si="1"/>
        <v>43047.769</v>
      </c>
    </row>
    <row r="17" spans="2:26" ht="12" customHeight="1">
      <c r="B17" s="128" t="s">
        <v>90</v>
      </c>
      <c r="C17" s="258">
        <f t="shared" si="2"/>
        <v>6610.5479999999998</v>
      </c>
      <c r="D17" s="258">
        <f t="shared" si="2"/>
        <v>-91.105999999999995</v>
      </c>
      <c r="E17" s="258">
        <f t="shared" si="2"/>
        <v>4387.8519999999999</v>
      </c>
      <c r="F17" s="258">
        <f t="shared" si="2"/>
        <v>1499.35</v>
      </c>
      <c r="G17" s="258">
        <f t="shared" si="2"/>
        <v>695.67900000000009</v>
      </c>
      <c r="H17" s="259">
        <f t="shared" si="2"/>
        <v>13102.323</v>
      </c>
      <c r="I17" s="127"/>
      <c r="J17" s="258">
        <f t="shared" si="1"/>
        <v>29737.458999999999</v>
      </c>
      <c r="K17" s="258">
        <f t="shared" si="1"/>
        <v>-6119.6889999999994</v>
      </c>
      <c r="L17" s="258">
        <f t="shared" si="1"/>
        <v>25274.163</v>
      </c>
      <c r="M17" s="258">
        <f t="shared" si="1"/>
        <v>4577.8040000000001</v>
      </c>
      <c r="N17" s="258">
        <f t="shared" si="1"/>
        <v>2680.3550000000032</v>
      </c>
      <c r="O17" s="259">
        <f t="shared" si="1"/>
        <v>56150.092000000004</v>
      </c>
      <c r="S17" s="10"/>
    </row>
    <row r="18" spans="2:26" ht="12" customHeight="1">
      <c r="B18" s="128" t="s">
        <v>91</v>
      </c>
      <c r="C18" s="258">
        <f t="shared" si="2"/>
        <v>11873.834000000001</v>
      </c>
      <c r="D18" s="258">
        <f t="shared" si="2"/>
        <v>9263.0040000000008</v>
      </c>
      <c r="E18" s="258">
        <f t="shared" si="2"/>
        <v>10111.011</v>
      </c>
      <c r="F18" s="258">
        <f t="shared" si="2"/>
        <v>2032.5809999999999</v>
      </c>
      <c r="G18" s="258">
        <f t="shared" si="2"/>
        <v>1248.0659999999989</v>
      </c>
      <c r="H18" s="259">
        <f t="shared" si="2"/>
        <v>34528.495999999999</v>
      </c>
      <c r="I18" s="127"/>
      <c r="J18" s="258">
        <f t="shared" si="1"/>
        <v>41611.292999999998</v>
      </c>
      <c r="K18" s="258">
        <f t="shared" si="1"/>
        <v>3143.3150000000014</v>
      </c>
      <c r="L18" s="258">
        <f t="shared" si="1"/>
        <v>35385.173999999999</v>
      </c>
      <c r="M18" s="258">
        <f t="shared" si="1"/>
        <v>6610.3850000000002</v>
      </c>
      <c r="N18" s="258">
        <f t="shared" si="1"/>
        <v>3928.4210000000021</v>
      </c>
      <c r="O18" s="259">
        <f t="shared" si="1"/>
        <v>90678.588000000003</v>
      </c>
      <c r="Q18"/>
      <c r="R18"/>
      <c r="S18"/>
    </row>
    <row r="19" spans="2:26" ht="12" customHeight="1">
      <c r="B19" s="128" t="s">
        <v>92</v>
      </c>
      <c r="C19" s="258">
        <f t="shared" si="2"/>
        <v>4494.5540000000001</v>
      </c>
      <c r="D19" s="258">
        <f t="shared" si="2"/>
        <v>-651.59400000000005</v>
      </c>
      <c r="E19" s="258">
        <f t="shared" si="2"/>
        <v>4093.221</v>
      </c>
      <c r="F19" s="258">
        <f t="shared" si="2"/>
        <v>1603.8420000000001</v>
      </c>
      <c r="G19" s="258">
        <f t="shared" si="2"/>
        <v>979.96699999999873</v>
      </c>
      <c r="H19" s="259">
        <f t="shared" si="2"/>
        <v>10519.99</v>
      </c>
      <c r="I19" s="127"/>
      <c r="J19" s="258">
        <f t="shared" si="1"/>
        <v>46105.846999999994</v>
      </c>
      <c r="K19" s="258">
        <f t="shared" si="1"/>
        <v>2491.7210000000014</v>
      </c>
      <c r="L19" s="258">
        <f t="shared" si="1"/>
        <v>39478.394999999997</v>
      </c>
      <c r="M19" s="258">
        <f t="shared" si="1"/>
        <v>8214.2270000000008</v>
      </c>
      <c r="N19" s="258">
        <f t="shared" si="1"/>
        <v>4908.3880000000008</v>
      </c>
      <c r="O19" s="259">
        <f t="shared" si="1"/>
        <v>101198.57800000001</v>
      </c>
      <c r="Q19"/>
      <c r="R19"/>
      <c r="S19"/>
    </row>
    <row r="20" spans="2:26" ht="12" customHeight="1">
      <c r="B20" s="128" t="s">
        <v>93</v>
      </c>
      <c r="C20" s="258">
        <f t="shared" si="2"/>
        <v>3825.453</v>
      </c>
      <c r="D20" s="258">
        <f t="shared" si="2"/>
        <v>296.28399999999999</v>
      </c>
      <c r="E20" s="258">
        <f t="shared" si="2"/>
        <v>2979.4029999999998</v>
      </c>
      <c r="F20" s="258">
        <f t="shared" si="2"/>
        <v>1746.2950000000001</v>
      </c>
      <c r="G20" s="258">
        <f t="shared" si="2"/>
        <v>996.54800000000068</v>
      </c>
      <c r="H20" s="259">
        <f t="shared" si="2"/>
        <v>9843.9830000000002</v>
      </c>
      <c r="I20" s="127"/>
      <c r="J20" s="258">
        <f t="shared" si="1"/>
        <v>49931.299999999996</v>
      </c>
      <c r="K20" s="258">
        <f t="shared" si="1"/>
        <v>2788.0050000000015</v>
      </c>
      <c r="L20" s="258">
        <f t="shared" si="1"/>
        <v>42457.797999999995</v>
      </c>
      <c r="M20" s="258">
        <f t="shared" si="1"/>
        <v>9960.5220000000008</v>
      </c>
      <c r="N20" s="258">
        <f t="shared" si="1"/>
        <v>5904.9360000000015</v>
      </c>
      <c r="O20" s="259">
        <f t="shared" si="1"/>
        <v>111042.56100000002</v>
      </c>
      <c r="Q20"/>
      <c r="R20"/>
      <c r="S20"/>
    </row>
    <row r="21" spans="2:26" ht="12" customHeight="1">
      <c r="B21" s="128" t="s">
        <v>94</v>
      </c>
      <c r="C21" s="258">
        <f t="shared" si="2"/>
        <v>25930.609</v>
      </c>
      <c r="D21" s="258">
        <f t="shared" si="2"/>
        <v>1004.266</v>
      </c>
      <c r="E21" s="258">
        <f t="shared" si="2"/>
        <v>11171.414000000001</v>
      </c>
      <c r="F21" s="258">
        <f t="shared" si="2"/>
        <v>1836.43</v>
      </c>
      <c r="G21" s="258">
        <f t="shared" si="2"/>
        <v>967.47799999999552</v>
      </c>
      <c r="H21" s="259">
        <f t="shared" si="2"/>
        <v>40910.197</v>
      </c>
      <c r="I21" s="127"/>
      <c r="J21" s="258">
        <f t="shared" si="1"/>
        <v>75861.909</v>
      </c>
      <c r="K21" s="258">
        <f t="shared" si="1"/>
        <v>3792.2710000000015</v>
      </c>
      <c r="L21" s="258">
        <f t="shared" si="1"/>
        <v>53629.212</v>
      </c>
      <c r="M21" s="258">
        <f t="shared" si="1"/>
        <v>11796.952000000001</v>
      </c>
      <c r="N21" s="258">
        <f t="shared" si="1"/>
        <v>6872.413999999997</v>
      </c>
      <c r="O21" s="259">
        <f t="shared" si="1"/>
        <v>151952.75800000003</v>
      </c>
      <c r="Q21"/>
      <c r="R21"/>
      <c r="S21"/>
    </row>
    <row r="22" spans="2:26" ht="12" customHeight="1">
      <c r="B22" s="128" t="s">
        <v>95</v>
      </c>
      <c r="C22" s="258">
        <f t="shared" si="2"/>
        <v>6643.076</v>
      </c>
      <c r="D22" s="258">
        <f t="shared" si="2"/>
        <v>8939.1270000000004</v>
      </c>
      <c r="E22" s="258">
        <f t="shared" si="2"/>
        <v>5354.4889999999996</v>
      </c>
      <c r="F22" s="258">
        <f t="shared" si="2"/>
        <v>1853.557</v>
      </c>
      <c r="G22" s="258">
        <f t="shared" si="2"/>
        <v>1571.7039999999979</v>
      </c>
      <c r="H22" s="259">
        <f t="shared" si="2"/>
        <v>24361.953000000001</v>
      </c>
      <c r="I22" s="127"/>
      <c r="J22" s="258">
        <f t="shared" si="1"/>
        <v>82504.985000000001</v>
      </c>
      <c r="K22" s="258">
        <f t="shared" si="1"/>
        <v>12731.398000000001</v>
      </c>
      <c r="L22" s="258">
        <f t="shared" si="1"/>
        <v>58983.701000000001</v>
      </c>
      <c r="M22" s="258">
        <f t="shared" si="1"/>
        <v>13650.509000000002</v>
      </c>
      <c r="N22" s="258">
        <f t="shared" si="1"/>
        <v>8444.1179999999949</v>
      </c>
      <c r="O22" s="259">
        <f t="shared" si="1"/>
        <v>176314.71100000004</v>
      </c>
    </row>
    <row r="23" spans="2:26" ht="12" customHeight="1">
      <c r="B23" s="128" t="s">
        <v>96</v>
      </c>
      <c r="C23" s="258">
        <f t="shared" si="2"/>
        <v>6039.8270000000002</v>
      </c>
      <c r="D23" s="258">
        <f t="shared" si="2"/>
        <v>126.764</v>
      </c>
      <c r="E23" s="258">
        <f t="shared" si="2"/>
        <v>4968.0940000000001</v>
      </c>
      <c r="F23" s="258">
        <f t="shared" si="2"/>
        <v>1819.288</v>
      </c>
      <c r="G23" s="258">
        <f t="shared" si="2"/>
        <v>795.58799999999792</v>
      </c>
      <c r="H23" s="259">
        <f t="shared" si="2"/>
        <v>13749.561</v>
      </c>
      <c r="I23" s="127"/>
      <c r="J23" s="258">
        <f t="shared" si="1"/>
        <v>88544.812000000005</v>
      </c>
      <c r="K23" s="258">
        <f t="shared" si="1"/>
        <v>12858.162</v>
      </c>
      <c r="L23" s="258">
        <f t="shared" si="1"/>
        <v>63951.794999999998</v>
      </c>
      <c r="M23" s="258">
        <f t="shared" si="1"/>
        <v>15469.797000000002</v>
      </c>
      <c r="N23" s="258">
        <f t="shared" si="1"/>
        <v>9239.7059999999929</v>
      </c>
      <c r="O23" s="259">
        <f t="shared" si="1"/>
        <v>190064.27200000003</v>
      </c>
    </row>
    <row r="24" spans="2:26" ht="12" customHeight="1">
      <c r="B24" s="128" t="s">
        <v>97</v>
      </c>
      <c r="C24" s="258">
        <f t="shared" si="2"/>
        <v>13041.517</v>
      </c>
      <c r="D24" s="258">
        <f t="shared" si="2"/>
        <v>17491.699000000001</v>
      </c>
      <c r="E24" s="258">
        <f t="shared" si="2"/>
        <v>12078.346</v>
      </c>
      <c r="F24" s="258">
        <f t="shared" si="2"/>
        <v>1845.577</v>
      </c>
      <c r="G24" s="258">
        <f t="shared" si="2"/>
        <v>869.69600000000355</v>
      </c>
      <c r="H24" s="259">
        <f t="shared" si="2"/>
        <v>45326.834999999999</v>
      </c>
      <c r="I24" s="127"/>
      <c r="J24" s="258">
        <f t="shared" si="1"/>
        <v>101586.329</v>
      </c>
      <c r="K24" s="258">
        <f t="shared" si="1"/>
        <v>30349.861000000001</v>
      </c>
      <c r="L24" s="258">
        <f t="shared" si="1"/>
        <v>76030.141000000003</v>
      </c>
      <c r="M24" s="258">
        <f t="shared" si="1"/>
        <v>17315.374000000003</v>
      </c>
      <c r="N24" s="258">
        <f t="shared" si="1"/>
        <v>10109.401999999996</v>
      </c>
      <c r="O24" s="259">
        <f t="shared" si="1"/>
        <v>235391.10700000002</v>
      </c>
    </row>
    <row r="25" spans="2:26" ht="12" customHeight="1">
      <c r="B25" s="128" t="s">
        <v>98</v>
      </c>
      <c r="C25" s="258">
        <f t="shared" si="2"/>
        <v>11004.448</v>
      </c>
      <c r="D25" s="258">
        <f t="shared" si="2"/>
        <v>-459.24700000000001</v>
      </c>
      <c r="E25" s="258">
        <f t="shared" si="2"/>
        <v>4357.0590000000002</v>
      </c>
      <c r="F25" s="258">
        <f t="shared" si="2"/>
        <v>1787.932</v>
      </c>
      <c r="G25" s="258">
        <f t="shared" si="2"/>
        <v>845.78299999999581</v>
      </c>
      <c r="H25" s="259">
        <f t="shared" si="2"/>
        <v>17535.974999999999</v>
      </c>
      <c r="I25" s="127"/>
      <c r="J25" s="258">
        <f t="shared" si="1"/>
        <v>112590.777</v>
      </c>
      <c r="K25" s="258">
        <f t="shared" si="1"/>
        <v>29890.614000000001</v>
      </c>
      <c r="L25" s="258">
        <f t="shared" si="1"/>
        <v>80387.199999999997</v>
      </c>
      <c r="M25" s="258">
        <f t="shared" si="1"/>
        <v>19103.306000000004</v>
      </c>
      <c r="N25" s="258">
        <f t="shared" si="1"/>
        <v>10955.184999999992</v>
      </c>
      <c r="O25" s="259">
        <f t="shared" si="1"/>
        <v>252927.08200000002</v>
      </c>
    </row>
    <row r="26" spans="2:26" ht="12" customHeight="1">
      <c r="B26" s="128" t="s">
        <v>99</v>
      </c>
      <c r="C26" s="258">
        <f t="shared" si="2"/>
        <v>7689.6030000000001</v>
      </c>
      <c r="D26" s="258">
        <f t="shared" si="2"/>
        <v>5169.0140000000001</v>
      </c>
      <c r="E26" s="258">
        <f t="shared" si="2"/>
        <v>3521.9659999999999</v>
      </c>
      <c r="F26" s="258">
        <f t="shared" si="2"/>
        <v>1653.825</v>
      </c>
      <c r="G26" s="258">
        <f t="shared" si="2"/>
        <v>973.58499999999913</v>
      </c>
      <c r="H26" s="259">
        <f t="shared" si="2"/>
        <v>19007.992999999999</v>
      </c>
      <c r="I26" s="127"/>
      <c r="J26" s="258">
        <f t="shared" si="1"/>
        <v>120280.38</v>
      </c>
      <c r="K26" s="258">
        <f t="shared" si="1"/>
        <v>35059.628000000004</v>
      </c>
      <c r="L26" s="258">
        <f t="shared" si="1"/>
        <v>83909.165999999997</v>
      </c>
      <c r="M26" s="258">
        <f t="shared" si="1"/>
        <v>20757.131000000005</v>
      </c>
      <c r="N26" s="258">
        <f t="shared" si="1"/>
        <v>11928.769999999991</v>
      </c>
      <c r="O26" s="259">
        <f t="shared" si="1"/>
        <v>271935.07500000001</v>
      </c>
    </row>
    <row r="27" spans="2:26" ht="12" customHeight="1">
      <c r="B27" s="128"/>
      <c r="Y27" s="129"/>
    </row>
    <row r="28" spans="2:26" ht="13.5" customHeight="1" thickBot="1">
      <c r="B28" s="124">
        <f>Año_seleccionado_C.1.2</f>
        <v>2024</v>
      </c>
      <c r="C28" s="125"/>
      <c r="D28" s="125"/>
      <c r="E28" s="125"/>
      <c r="F28" s="125"/>
      <c r="G28" s="125"/>
      <c r="H28" s="130"/>
      <c r="I28" s="127"/>
      <c r="J28" s="125"/>
      <c r="K28" s="125"/>
      <c r="L28" s="125"/>
      <c r="M28" s="125"/>
      <c r="N28" s="125"/>
      <c r="O28" s="130"/>
    </row>
    <row r="29" spans="2:26" ht="6" customHeight="1">
      <c r="B29" s="128"/>
      <c r="C29" s="125"/>
      <c r="D29" s="125"/>
      <c r="E29" s="125"/>
      <c r="F29" s="125"/>
      <c r="G29" s="125"/>
      <c r="H29" s="130"/>
      <c r="I29" s="127"/>
      <c r="J29" s="125"/>
      <c r="K29" s="125"/>
      <c r="L29" s="125"/>
      <c r="M29" s="125"/>
      <c r="N29" s="125"/>
      <c r="O29" s="130"/>
    </row>
    <row r="30" spans="2:26" ht="12" customHeight="1">
      <c r="B30" s="128" t="s">
        <v>88</v>
      </c>
      <c r="C30" s="258">
        <f>IF($T117="SI"," ",W117)</f>
        <v>16601.722000000002</v>
      </c>
      <c r="D30" s="258">
        <f t="shared" ref="D30:H39" si="3">IF($T117="SI"," ",X117)</f>
        <v>-6065.5839999999998</v>
      </c>
      <c r="E30" s="258">
        <f t="shared" si="3"/>
        <v>5455.732</v>
      </c>
      <c r="F30" s="258">
        <f t="shared" si="3"/>
        <v>1611.6990000000001</v>
      </c>
      <c r="G30" s="258">
        <f t="shared" si="3"/>
        <v>1133.5649999999951</v>
      </c>
      <c r="H30" s="259">
        <f t="shared" si="3"/>
        <v>18737.133999999998</v>
      </c>
      <c r="I30" s="127"/>
      <c r="J30" s="258">
        <f t="shared" ref="J30:O41" si="4">IF($T117="SI"," ",AD117)</f>
        <v>16601.722000000002</v>
      </c>
      <c r="K30" s="258">
        <f t="shared" si="4"/>
        <v>-6065.5839999999998</v>
      </c>
      <c r="L30" s="258">
        <f t="shared" si="4"/>
        <v>5455.732</v>
      </c>
      <c r="M30" s="258">
        <f t="shared" si="4"/>
        <v>1611.6990000000001</v>
      </c>
      <c r="N30" s="258">
        <f t="shared" si="4"/>
        <v>1133.5649999999951</v>
      </c>
      <c r="O30" s="259">
        <f t="shared" si="4"/>
        <v>18737.133999999998</v>
      </c>
    </row>
    <row r="31" spans="2:26" ht="12" customHeight="1">
      <c r="B31" s="128" t="s">
        <v>89</v>
      </c>
      <c r="C31" s="258">
        <f>IF($T118="SI"," ",W118)</f>
        <v>8209.4650000000001</v>
      </c>
      <c r="D31" s="258">
        <f t="shared" si="3"/>
        <v>-188.37299999999999</v>
      </c>
      <c r="E31" s="258">
        <f t="shared" si="3"/>
        <v>16271.115</v>
      </c>
      <c r="F31" s="258">
        <f t="shared" si="3"/>
        <v>1769.721</v>
      </c>
      <c r="G31" s="258">
        <f t="shared" si="3"/>
        <v>918.04299999999785</v>
      </c>
      <c r="H31" s="259">
        <f t="shared" si="3"/>
        <v>26979.971000000001</v>
      </c>
      <c r="I31" s="127"/>
      <c r="J31" s="258">
        <f t="shared" si="4"/>
        <v>24811.187000000002</v>
      </c>
      <c r="K31" s="258">
        <f t="shared" si="4"/>
        <v>-6253.9569999999994</v>
      </c>
      <c r="L31" s="258">
        <f t="shared" si="4"/>
        <v>21726.847000000002</v>
      </c>
      <c r="M31" s="258">
        <f t="shared" si="4"/>
        <v>3381.42</v>
      </c>
      <c r="N31" s="258">
        <f t="shared" si="4"/>
        <v>2051.6079999999929</v>
      </c>
      <c r="O31" s="259">
        <f t="shared" si="4"/>
        <v>45717.104999999996</v>
      </c>
    </row>
    <row r="32" spans="2:26" ht="12" customHeight="1">
      <c r="B32" s="128" t="s">
        <v>90</v>
      </c>
      <c r="C32" s="258" t="str">
        <f t="shared" ref="C32:H41" si="5">IF($T119="SI"," ",W119)</f>
        <v xml:space="preserve"> </v>
      </c>
      <c r="D32" s="258" t="str">
        <f t="shared" si="3"/>
        <v xml:space="preserve"> </v>
      </c>
      <c r="E32" s="258" t="str">
        <f t="shared" si="3"/>
        <v xml:space="preserve"> </v>
      </c>
      <c r="F32" s="258" t="str">
        <f t="shared" si="3"/>
        <v xml:space="preserve"> </v>
      </c>
      <c r="G32" s="258" t="str">
        <f t="shared" si="3"/>
        <v xml:space="preserve"> </v>
      </c>
      <c r="H32" s="259" t="str">
        <f t="shared" si="3"/>
        <v xml:space="preserve"> </v>
      </c>
      <c r="I32" s="127"/>
      <c r="J32" s="258" t="str">
        <f t="shared" si="4"/>
        <v xml:space="preserve"> </v>
      </c>
      <c r="K32" s="258" t="str">
        <f t="shared" si="4"/>
        <v xml:space="preserve"> </v>
      </c>
      <c r="L32" s="258" t="str">
        <f t="shared" si="4"/>
        <v xml:space="preserve"> </v>
      </c>
      <c r="M32" s="258" t="str">
        <f t="shared" si="4"/>
        <v xml:space="preserve"> </v>
      </c>
      <c r="N32" s="258" t="str">
        <f t="shared" si="4"/>
        <v xml:space="preserve"> </v>
      </c>
      <c r="O32" s="259" t="str">
        <f t="shared" si="4"/>
        <v xml:space="preserve"> </v>
      </c>
      <c r="S32" s="129"/>
      <c r="Z32" s="129"/>
    </row>
    <row r="33" spans="2:26" ht="12" customHeight="1">
      <c r="B33" s="128" t="s">
        <v>91</v>
      </c>
      <c r="C33" s="258" t="str">
        <f t="shared" si="5"/>
        <v xml:space="preserve"> </v>
      </c>
      <c r="D33" s="258" t="str">
        <f t="shared" si="3"/>
        <v xml:space="preserve"> </v>
      </c>
      <c r="E33" s="258" t="str">
        <f t="shared" si="3"/>
        <v xml:space="preserve"> </v>
      </c>
      <c r="F33" s="258" t="str">
        <f t="shared" si="3"/>
        <v xml:space="preserve"> </v>
      </c>
      <c r="G33" s="258" t="str">
        <f t="shared" si="3"/>
        <v xml:space="preserve"> </v>
      </c>
      <c r="H33" s="259" t="str">
        <f t="shared" si="3"/>
        <v xml:space="preserve"> </v>
      </c>
      <c r="I33" s="127"/>
      <c r="J33" s="258" t="str">
        <f t="shared" si="4"/>
        <v xml:space="preserve"> </v>
      </c>
      <c r="K33" s="258" t="str">
        <f t="shared" si="4"/>
        <v xml:space="preserve"> </v>
      </c>
      <c r="L33" s="258" t="str">
        <f t="shared" si="4"/>
        <v xml:space="preserve"> </v>
      </c>
      <c r="M33" s="258" t="str">
        <f t="shared" si="4"/>
        <v xml:space="preserve"> </v>
      </c>
      <c r="N33" s="258" t="str">
        <f t="shared" si="4"/>
        <v xml:space="preserve"> </v>
      </c>
      <c r="O33" s="259" t="str">
        <f t="shared" si="4"/>
        <v xml:space="preserve"> </v>
      </c>
      <c r="S33" s="129"/>
      <c r="Z33" s="129"/>
    </row>
    <row r="34" spans="2:26" ht="12" customHeight="1">
      <c r="B34" s="128" t="s">
        <v>92</v>
      </c>
      <c r="C34" s="258" t="str">
        <f t="shared" si="5"/>
        <v xml:space="preserve"> </v>
      </c>
      <c r="D34" s="258" t="str">
        <f t="shared" si="3"/>
        <v xml:space="preserve"> </v>
      </c>
      <c r="E34" s="258" t="str">
        <f t="shared" si="3"/>
        <v xml:space="preserve"> </v>
      </c>
      <c r="F34" s="258" t="str">
        <f t="shared" si="3"/>
        <v xml:space="preserve"> </v>
      </c>
      <c r="G34" s="258" t="str">
        <f t="shared" si="3"/>
        <v xml:space="preserve"> </v>
      </c>
      <c r="H34" s="259" t="str">
        <f t="shared" si="3"/>
        <v xml:space="preserve"> </v>
      </c>
      <c r="I34" s="127"/>
      <c r="J34" s="258" t="str">
        <f t="shared" si="4"/>
        <v xml:space="preserve"> </v>
      </c>
      <c r="K34" s="258" t="str">
        <f t="shared" si="4"/>
        <v xml:space="preserve"> </v>
      </c>
      <c r="L34" s="258" t="str">
        <f t="shared" si="4"/>
        <v xml:space="preserve"> </v>
      </c>
      <c r="M34" s="258" t="str">
        <f t="shared" si="4"/>
        <v xml:space="preserve"> </v>
      </c>
      <c r="N34" s="258" t="str">
        <f t="shared" si="4"/>
        <v xml:space="preserve"> </v>
      </c>
      <c r="O34" s="259" t="str">
        <f t="shared" si="4"/>
        <v xml:space="preserve"> </v>
      </c>
      <c r="S34" s="129"/>
      <c r="Z34" s="129"/>
    </row>
    <row r="35" spans="2:26" ht="12" customHeight="1">
      <c r="B35" s="128" t="s">
        <v>93</v>
      </c>
      <c r="C35" s="258" t="str">
        <f t="shared" si="5"/>
        <v xml:space="preserve"> </v>
      </c>
      <c r="D35" s="258" t="str">
        <f t="shared" si="3"/>
        <v xml:space="preserve"> </v>
      </c>
      <c r="E35" s="258" t="str">
        <f t="shared" si="3"/>
        <v xml:space="preserve"> </v>
      </c>
      <c r="F35" s="258" t="str">
        <f t="shared" si="3"/>
        <v xml:space="preserve"> </v>
      </c>
      <c r="G35" s="258" t="str">
        <f t="shared" si="3"/>
        <v xml:space="preserve"> </v>
      </c>
      <c r="H35" s="259" t="str">
        <f t="shared" si="3"/>
        <v xml:space="preserve"> </v>
      </c>
      <c r="I35" s="127"/>
      <c r="J35" s="258" t="str">
        <f t="shared" si="4"/>
        <v xml:space="preserve"> </v>
      </c>
      <c r="K35" s="258" t="str">
        <f t="shared" si="4"/>
        <v xml:space="preserve"> </v>
      </c>
      <c r="L35" s="258" t="str">
        <f t="shared" si="4"/>
        <v xml:space="preserve"> </v>
      </c>
      <c r="M35" s="258" t="str">
        <f t="shared" si="4"/>
        <v xml:space="preserve"> </v>
      </c>
      <c r="N35" s="258" t="str">
        <f t="shared" si="4"/>
        <v xml:space="preserve"> </v>
      </c>
      <c r="O35" s="259" t="str">
        <f t="shared" si="4"/>
        <v xml:space="preserve"> </v>
      </c>
      <c r="S35" s="129"/>
      <c r="Z35" s="129"/>
    </row>
    <row r="36" spans="2:26" ht="12" customHeight="1">
      <c r="B36" s="128" t="s">
        <v>94</v>
      </c>
      <c r="C36" s="258" t="str">
        <f t="shared" si="5"/>
        <v xml:space="preserve"> </v>
      </c>
      <c r="D36" s="258" t="str">
        <f t="shared" si="3"/>
        <v xml:space="preserve"> </v>
      </c>
      <c r="E36" s="258" t="str">
        <f t="shared" si="3"/>
        <v xml:space="preserve"> </v>
      </c>
      <c r="F36" s="258" t="str">
        <f t="shared" si="3"/>
        <v xml:space="preserve"> </v>
      </c>
      <c r="G36" s="258" t="str">
        <f t="shared" si="3"/>
        <v xml:space="preserve"> </v>
      </c>
      <c r="H36" s="259" t="str">
        <f t="shared" si="3"/>
        <v xml:space="preserve"> </v>
      </c>
      <c r="I36" s="127"/>
      <c r="J36" s="258" t="str">
        <f t="shared" si="4"/>
        <v xml:space="preserve"> </v>
      </c>
      <c r="K36" s="258" t="str">
        <f t="shared" si="4"/>
        <v xml:space="preserve"> </v>
      </c>
      <c r="L36" s="258" t="str">
        <f t="shared" si="4"/>
        <v xml:space="preserve"> </v>
      </c>
      <c r="M36" s="258" t="str">
        <f t="shared" si="4"/>
        <v xml:space="preserve"> </v>
      </c>
      <c r="N36" s="258" t="str">
        <f t="shared" si="4"/>
        <v xml:space="preserve"> </v>
      </c>
      <c r="O36" s="259" t="str">
        <f t="shared" si="4"/>
        <v xml:space="preserve"> </v>
      </c>
      <c r="S36" s="129"/>
      <c r="Z36" s="129"/>
    </row>
    <row r="37" spans="2:26" ht="12" customHeight="1">
      <c r="B37" s="128" t="s">
        <v>95</v>
      </c>
      <c r="C37" s="258" t="str">
        <f t="shared" si="5"/>
        <v xml:space="preserve"> </v>
      </c>
      <c r="D37" s="258" t="str">
        <f t="shared" si="3"/>
        <v xml:space="preserve"> </v>
      </c>
      <c r="E37" s="258" t="str">
        <f t="shared" si="3"/>
        <v xml:space="preserve"> </v>
      </c>
      <c r="F37" s="258" t="str">
        <f t="shared" si="3"/>
        <v xml:space="preserve"> </v>
      </c>
      <c r="G37" s="258" t="str">
        <f t="shared" si="3"/>
        <v xml:space="preserve"> </v>
      </c>
      <c r="H37" s="259" t="str">
        <f t="shared" si="3"/>
        <v xml:space="preserve"> </v>
      </c>
      <c r="I37" s="127"/>
      <c r="J37" s="258" t="str">
        <f t="shared" si="4"/>
        <v xml:space="preserve"> </v>
      </c>
      <c r="K37" s="258" t="str">
        <f t="shared" si="4"/>
        <v xml:space="preserve"> </v>
      </c>
      <c r="L37" s="258" t="str">
        <f t="shared" si="4"/>
        <v xml:space="preserve"> </v>
      </c>
      <c r="M37" s="258" t="str">
        <f t="shared" si="4"/>
        <v xml:space="preserve"> </v>
      </c>
      <c r="N37" s="258" t="str">
        <f t="shared" si="4"/>
        <v xml:space="preserve"> </v>
      </c>
      <c r="O37" s="259" t="str">
        <f t="shared" si="4"/>
        <v xml:space="preserve"> </v>
      </c>
      <c r="Z37" s="129"/>
    </row>
    <row r="38" spans="2:26" ht="12" customHeight="1">
      <c r="B38" s="128" t="s">
        <v>96</v>
      </c>
      <c r="C38" s="258" t="str">
        <f t="shared" si="5"/>
        <v xml:space="preserve"> </v>
      </c>
      <c r="D38" s="258" t="str">
        <f t="shared" si="3"/>
        <v xml:space="preserve"> </v>
      </c>
      <c r="E38" s="258" t="str">
        <f t="shared" si="3"/>
        <v xml:space="preserve"> </v>
      </c>
      <c r="F38" s="258" t="str">
        <f t="shared" si="3"/>
        <v xml:space="preserve"> </v>
      </c>
      <c r="G38" s="258" t="str">
        <f t="shared" si="3"/>
        <v xml:space="preserve"> </v>
      </c>
      <c r="H38" s="259" t="str">
        <f t="shared" si="3"/>
        <v xml:space="preserve"> </v>
      </c>
      <c r="I38" s="127"/>
      <c r="J38" s="258" t="str">
        <f t="shared" si="4"/>
        <v xml:space="preserve"> </v>
      </c>
      <c r="K38" s="258" t="str">
        <f t="shared" si="4"/>
        <v xml:space="preserve"> </v>
      </c>
      <c r="L38" s="258" t="str">
        <f t="shared" si="4"/>
        <v xml:space="preserve"> </v>
      </c>
      <c r="M38" s="258" t="str">
        <f t="shared" si="4"/>
        <v xml:space="preserve"> </v>
      </c>
      <c r="N38" s="258" t="str">
        <f t="shared" si="4"/>
        <v xml:space="preserve"> </v>
      </c>
      <c r="O38" s="259" t="str">
        <f t="shared" si="4"/>
        <v xml:space="preserve"> </v>
      </c>
      <c r="S38" s="129"/>
      <c r="Z38" s="129"/>
    </row>
    <row r="39" spans="2:26" ht="12" customHeight="1">
      <c r="B39" s="128" t="s">
        <v>97</v>
      </c>
      <c r="C39" s="258" t="str">
        <f t="shared" si="5"/>
        <v xml:space="preserve"> </v>
      </c>
      <c r="D39" s="258" t="str">
        <f t="shared" si="3"/>
        <v xml:space="preserve"> </v>
      </c>
      <c r="E39" s="258" t="str">
        <f t="shared" si="3"/>
        <v xml:space="preserve"> </v>
      </c>
      <c r="F39" s="258" t="str">
        <f t="shared" si="3"/>
        <v xml:space="preserve"> </v>
      </c>
      <c r="G39" s="258" t="str">
        <f t="shared" si="3"/>
        <v xml:space="preserve"> </v>
      </c>
      <c r="H39" s="259" t="str">
        <f t="shared" si="3"/>
        <v xml:space="preserve"> </v>
      </c>
      <c r="I39" s="127"/>
      <c r="J39" s="258" t="str">
        <f t="shared" si="4"/>
        <v xml:space="preserve"> </v>
      </c>
      <c r="K39" s="258" t="str">
        <f t="shared" si="4"/>
        <v xml:space="preserve"> </v>
      </c>
      <c r="L39" s="258" t="str">
        <f t="shared" si="4"/>
        <v xml:space="preserve"> </v>
      </c>
      <c r="M39" s="258" t="str">
        <f t="shared" si="4"/>
        <v xml:space="preserve"> </v>
      </c>
      <c r="N39" s="258" t="str">
        <f t="shared" si="4"/>
        <v xml:space="preserve"> </v>
      </c>
      <c r="O39" s="259" t="str">
        <f t="shared" si="4"/>
        <v xml:space="preserve"> </v>
      </c>
      <c r="S39" s="129"/>
      <c r="Z39" s="129"/>
    </row>
    <row r="40" spans="2:26" ht="12" customHeight="1">
      <c r="B40" s="128" t="s">
        <v>98</v>
      </c>
      <c r="C40" s="258" t="str">
        <f t="shared" si="5"/>
        <v xml:space="preserve"> </v>
      </c>
      <c r="D40" s="258" t="str">
        <f t="shared" si="5"/>
        <v xml:space="preserve"> </v>
      </c>
      <c r="E40" s="258" t="str">
        <f t="shared" si="5"/>
        <v xml:space="preserve"> </v>
      </c>
      <c r="F40" s="258" t="str">
        <f t="shared" si="5"/>
        <v xml:space="preserve"> </v>
      </c>
      <c r="G40" s="258" t="str">
        <f t="shared" si="5"/>
        <v xml:space="preserve"> </v>
      </c>
      <c r="H40" s="259" t="str">
        <f t="shared" si="5"/>
        <v xml:space="preserve"> </v>
      </c>
      <c r="I40"/>
      <c r="J40" s="258" t="str">
        <f t="shared" si="4"/>
        <v xml:space="preserve"> </v>
      </c>
      <c r="K40" s="258" t="str">
        <f t="shared" si="4"/>
        <v xml:space="preserve"> </v>
      </c>
      <c r="L40" s="258" t="str">
        <f t="shared" si="4"/>
        <v xml:space="preserve"> </v>
      </c>
      <c r="M40" s="258" t="str">
        <f t="shared" si="4"/>
        <v xml:space="preserve"> </v>
      </c>
      <c r="N40" s="258" t="str">
        <f t="shared" si="4"/>
        <v xml:space="preserve"> </v>
      </c>
      <c r="O40" s="259" t="str">
        <f t="shared" si="4"/>
        <v xml:space="preserve"> </v>
      </c>
      <c r="S40" s="129"/>
      <c r="Z40" s="129"/>
    </row>
    <row r="41" spans="2:26" ht="12" customHeight="1">
      <c r="B41" s="128" t="s">
        <v>99</v>
      </c>
      <c r="C41" s="258" t="str">
        <f t="shared" si="5"/>
        <v xml:space="preserve"> </v>
      </c>
      <c r="D41" s="258" t="str">
        <f t="shared" si="5"/>
        <v xml:space="preserve"> </v>
      </c>
      <c r="E41" s="258" t="str">
        <f t="shared" si="5"/>
        <v xml:space="preserve"> </v>
      </c>
      <c r="F41" s="258" t="str">
        <f t="shared" si="5"/>
        <v xml:space="preserve"> </v>
      </c>
      <c r="G41" s="258" t="str">
        <f t="shared" si="5"/>
        <v xml:space="preserve"> </v>
      </c>
      <c r="H41" s="259" t="str">
        <f t="shared" si="5"/>
        <v xml:space="preserve"> </v>
      </c>
      <c r="I41"/>
      <c r="J41" s="258" t="str">
        <f t="shared" si="4"/>
        <v xml:space="preserve"> </v>
      </c>
      <c r="K41" s="258" t="str">
        <f t="shared" si="4"/>
        <v xml:space="preserve"> </v>
      </c>
      <c r="L41" s="258" t="str">
        <f t="shared" si="4"/>
        <v xml:space="preserve"> </v>
      </c>
      <c r="M41" s="258" t="str">
        <f t="shared" si="4"/>
        <v xml:space="preserve"> </v>
      </c>
      <c r="N41" s="258" t="str">
        <f t="shared" si="4"/>
        <v xml:space="preserve"> </v>
      </c>
      <c r="O41" s="259" t="str">
        <f t="shared" si="4"/>
        <v xml:space="preserve"> </v>
      </c>
      <c r="S41" s="129"/>
      <c r="Z41" s="129"/>
    </row>
    <row r="42" spans="2:26" ht="12" customHeight="1">
      <c r="B42" s="128"/>
      <c r="S42" s="129"/>
      <c r="Z42" s="129"/>
    </row>
    <row r="43" spans="2:26" ht="12" customHeight="1">
      <c r="B43" s="128"/>
      <c r="C43" s="125"/>
      <c r="D43" s="125"/>
      <c r="E43" s="125"/>
      <c r="F43" s="125"/>
      <c r="G43" s="125"/>
      <c r="H43" s="131"/>
      <c r="I43" s="127"/>
      <c r="J43" s="125"/>
      <c r="K43" s="125"/>
      <c r="L43" s="125"/>
      <c r="M43" s="125"/>
      <c r="N43" s="125"/>
      <c r="O43" s="131"/>
      <c r="S43" s="129"/>
      <c r="Z43" s="129"/>
    </row>
    <row r="44" spans="2:26" ht="11.1" customHeight="1">
      <c r="B44" s="19"/>
      <c r="C44" s="336" t="s">
        <v>100</v>
      </c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S44" s="129"/>
      <c r="Y44" s="129"/>
      <c r="Z44" s="129"/>
    </row>
    <row r="45" spans="2:26" ht="11.1" customHeight="1" thickBot="1">
      <c r="B45" s="19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S45" s="129"/>
    </row>
    <row r="46" spans="2:26" ht="6" customHeight="1">
      <c r="B46" s="19"/>
      <c r="C46" s="117"/>
      <c r="D46" s="118"/>
      <c r="E46" s="118"/>
      <c r="F46" s="118"/>
      <c r="G46" s="118"/>
      <c r="H46" s="118"/>
      <c r="I46" s="118"/>
      <c r="J46" s="117"/>
      <c r="K46" s="117"/>
      <c r="L46" s="117"/>
      <c r="M46" s="117"/>
      <c r="N46" s="117"/>
      <c r="O46" s="117"/>
    </row>
    <row r="47" spans="2:26" ht="12" customHeight="1">
      <c r="B47" s="19"/>
      <c r="C47" s="120" t="s">
        <v>83</v>
      </c>
      <c r="D47" s="120" t="s">
        <v>84</v>
      </c>
      <c r="E47" s="120" t="s">
        <v>85</v>
      </c>
      <c r="F47" s="120" t="s">
        <v>86</v>
      </c>
      <c r="G47" s="120" t="s">
        <v>57</v>
      </c>
      <c r="H47" s="121" t="s">
        <v>87</v>
      </c>
      <c r="I47" s="20"/>
      <c r="J47" s="120" t="s">
        <v>83</v>
      </c>
      <c r="K47" s="120" t="s">
        <v>84</v>
      </c>
      <c r="L47" s="120" t="s">
        <v>85</v>
      </c>
      <c r="M47" s="120" t="s">
        <v>86</v>
      </c>
      <c r="N47" s="120" t="s">
        <v>57</v>
      </c>
      <c r="O47" s="121" t="s">
        <v>87</v>
      </c>
      <c r="S47" s="129"/>
    </row>
    <row r="48" spans="2:26" ht="6" customHeight="1">
      <c r="B48" s="19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</row>
    <row r="49" spans="2:26" ht="13.5" customHeight="1">
      <c r="B49" s="132">
        <f t="shared" ref="B49:B51" si="6">B50-1</f>
        <v>2019</v>
      </c>
      <c r="C49" s="133">
        <f t="shared" ref="C49:H53" si="7">U66</f>
        <v>4.8679911591613401</v>
      </c>
      <c r="D49" s="133">
        <f t="shared" si="7"/>
        <v>-4.4482805365391576</v>
      </c>
      <c r="E49" s="133">
        <f t="shared" si="7"/>
        <v>1.939577173592582</v>
      </c>
      <c r="F49" s="133">
        <f t="shared" si="7"/>
        <v>4.1482716135743969</v>
      </c>
      <c r="G49" s="133">
        <f t="shared" si="7"/>
        <v>-9.9071928168197481</v>
      </c>
      <c r="H49" s="134">
        <f t="shared" si="7"/>
        <v>1.9755045601871728</v>
      </c>
      <c r="I49" s="135"/>
      <c r="J49" s="133">
        <f t="shared" ref="J49:O53" si="8">U66</f>
        <v>4.8679911591613401</v>
      </c>
      <c r="K49" s="133">
        <f t="shared" si="8"/>
        <v>-4.4482805365391576</v>
      </c>
      <c r="L49" s="133">
        <f t="shared" si="8"/>
        <v>1.939577173592582</v>
      </c>
      <c r="M49" s="133">
        <f t="shared" si="8"/>
        <v>4.1482716135743969</v>
      </c>
      <c r="N49" s="133">
        <f t="shared" si="8"/>
        <v>-9.9071928168197481</v>
      </c>
      <c r="O49" s="134">
        <f t="shared" si="8"/>
        <v>1.9755045601871728</v>
      </c>
    </row>
    <row r="50" spans="2:26" ht="13.5" customHeight="1">
      <c r="B50" s="132">
        <f t="shared" si="6"/>
        <v>2020</v>
      </c>
      <c r="C50" s="133">
        <f t="shared" si="7"/>
        <v>1.2422471902457397</v>
      </c>
      <c r="D50" s="133">
        <f t="shared" si="7"/>
        <v>-33.182617244407687</v>
      </c>
      <c r="E50" s="133">
        <f t="shared" si="7"/>
        <v>-11.463974149766681</v>
      </c>
      <c r="F50" s="133">
        <f t="shared" si="7"/>
        <v>-12.114363662624708</v>
      </c>
      <c r="G50" s="133">
        <f t="shared" si="7"/>
        <v>-12.6286203697559</v>
      </c>
      <c r="H50" s="134">
        <f t="shared" si="7"/>
        <v>-8.8140239162383818</v>
      </c>
      <c r="I50" s="135"/>
      <c r="J50" s="133">
        <f t="shared" si="8"/>
        <v>1.2422471902457397</v>
      </c>
      <c r="K50" s="133">
        <f t="shared" si="8"/>
        <v>-33.182617244407687</v>
      </c>
      <c r="L50" s="133">
        <f t="shared" si="8"/>
        <v>-11.463974149766681</v>
      </c>
      <c r="M50" s="133">
        <f t="shared" si="8"/>
        <v>-12.114363662624708</v>
      </c>
      <c r="N50" s="133">
        <f t="shared" si="8"/>
        <v>-12.6286203697559</v>
      </c>
      <c r="O50" s="134">
        <f t="shared" si="8"/>
        <v>-8.8140239162383818</v>
      </c>
    </row>
    <row r="51" spans="2:26" ht="13.5" customHeight="1">
      <c r="B51" s="132">
        <f t="shared" si="6"/>
        <v>2021</v>
      </c>
      <c r="C51" s="133">
        <f t="shared" si="7"/>
        <v>7.4731393781378772</v>
      </c>
      <c r="D51" s="133">
        <f t="shared" si="7"/>
        <v>67.910269308610481</v>
      </c>
      <c r="E51" s="133">
        <f t="shared" si="7"/>
        <v>14.464755216530079</v>
      </c>
      <c r="F51" s="133">
        <f t="shared" si="7"/>
        <v>4.9968041018195706</v>
      </c>
      <c r="G51" s="133">
        <f t="shared" si="7"/>
        <v>23.354684200987812</v>
      </c>
      <c r="H51" s="134">
        <f t="shared" si="7"/>
        <v>15.116759368758171</v>
      </c>
      <c r="I51" s="135"/>
      <c r="J51" s="133">
        <f t="shared" si="8"/>
        <v>7.4731393781378772</v>
      </c>
      <c r="K51" s="133">
        <f t="shared" si="8"/>
        <v>67.910269308610481</v>
      </c>
      <c r="L51" s="133">
        <f t="shared" si="8"/>
        <v>14.464755216530079</v>
      </c>
      <c r="M51" s="133">
        <f t="shared" si="8"/>
        <v>4.9968041018195706</v>
      </c>
      <c r="N51" s="133">
        <f t="shared" si="8"/>
        <v>23.354684200987812</v>
      </c>
      <c r="O51" s="134">
        <f t="shared" si="8"/>
        <v>15.116759368758171</v>
      </c>
    </row>
    <row r="52" spans="2:26" ht="13.5" customHeight="1">
      <c r="B52" s="132">
        <f>B53-1</f>
        <v>2022</v>
      </c>
      <c r="C52" s="133">
        <f t="shared" si="7"/>
        <v>15.801386977632484</v>
      </c>
      <c r="D52" s="133">
        <f t="shared" si="7"/>
        <v>20.841318258410698</v>
      </c>
      <c r="E52" s="133">
        <f t="shared" si="7"/>
        <v>13.926777259709288</v>
      </c>
      <c r="F52" s="133">
        <f t="shared" si="7"/>
        <v>2.5113496424859343</v>
      </c>
      <c r="G52" s="133">
        <f t="shared" si="7"/>
        <v>9.9904489188415013</v>
      </c>
      <c r="H52" s="134">
        <f t="shared" si="7"/>
        <v>14.360256444657205</v>
      </c>
      <c r="I52" s="135"/>
      <c r="J52" s="133">
        <f t="shared" si="8"/>
        <v>15.801386977632484</v>
      </c>
      <c r="K52" s="133">
        <f t="shared" si="8"/>
        <v>20.841318258410698</v>
      </c>
      <c r="L52" s="133">
        <f t="shared" si="8"/>
        <v>13.926777259709288</v>
      </c>
      <c r="M52" s="133">
        <f t="shared" si="8"/>
        <v>2.5113496424859343</v>
      </c>
      <c r="N52" s="133">
        <f t="shared" si="8"/>
        <v>9.9904489188415013</v>
      </c>
      <c r="O52" s="134">
        <f t="shared" si="8"/>
        <v>14.360256444657205</v>
      </c>
    </row>
    <row r="53" spans="2:26" ht="13.5" customHeight="1">
      <c r="B53" s="132">
        <f>Año_anterior_seleccionado_C.1.2</f>
        <v>2023</v>
      </c>
      <c r="C53" s="133">
        <f t="shared" si="7"/>
        <v>9.8597207776235294</v>
      </c>
      <c r="D53" s="133">
        <f t="shared" si="7"/>
        <v>8.9617076028480724</v>
      </c>
      <c r="E53" s="133">
        <f t="shared" si="7"/>
        <v>1.5910520336839671</v>
      </c>
      <c r="F53" s="133">
        <f t="shared" si="7"/>
        <v>2.6358816674148788</v>
      </c>
      <c r="G53" s="133">
        <f t="shared" si="7"/>
        <v>8.6129083863546381</v>
      </c>
      <c r="H53" s="134">
        <f t="shared" si="7"/>
        <v>6.4477477456000898</v>
      </c>
      <c r="I53" s="135"/>
      <c r="J53" s="133">
        <f t="shared" si="8"/>
        <v>9.8597207776235294</v>
      </c>
      <c r="K53" s="133">
        <f t="shared" si="8"/>
        <v>8.9617076028480724</v>
      </c>
      <c r="L53" s="133">
        <f t="shared" si="8"/>
        <v>1.5910520336839671</v>
      </c>
      <c r="M53" s="133">
        <f t="shared" si="8"/>
        <v>2.6358816674148788</v>
      </c>
      <c r="N53" s="133">
        <f t="shared" si="8"/>
        <v>8.6129083863546381</v>
      </c>
      <c r="O53" s="134">
        <f t="shared" si="8"/>
        <v>6.4477477456000898</v>
      </c>
    </row>
    <row r="54" spans="2:26" ht="13.8">
      <c r="B54" s="19"/>
      <c r="C54" s="133"/>
      <c r="D54" s="133"/>
      <c r="E54" s="133"/>
      <c r="F54" s="133"/>
      <c r="G54" s="133"/>
      <c r="H54" s="136"/>
      <c r="I54" s="135"/>
      <c r="J54" s="133"/>
      <c r="K54" s="133"/>
      <c r="L54" s="133"/>
      <c r="M54" s="133"/>
      <c r="N54" s="133"/>
      <c r="O54" s="136"/>
    </row>
    <row r="55" spans="2:26" ht="14.4" customHeight="1" thickBot="1">
      <c r="B55" s="116"/>
      <c r="C55" s="334" t="s">
        <v>81</v>
      </c>
      <c r="D55" s="335"/>
      <c r="E55" s="335"/>
      <c r="F55" s="335"/>
      <c r="G55" s="335"/>
      <c r="H55" s="335"/>
      <c r="I55" s="17"/>
      <c r="J55" s="334" t="s">
        <v>73</v>
      </c>
      <c r="K55" s="334"/>
      <c r="L55" s="334"/>
      <c r="M55" s="334"/>
      <c r="N55" s="334"/>
      <c r="O55" s="334"/>
    </row>
    <row r="56" spans="2:26" ht="6" customHeight="1">
      <c r="B56" s="116"/>
      <c r="C56" s="117"/>
      <c r="D56" s="118"/>
      <c r="E56" s="118"/>
      <c r="F56" s="118"/>
      <c r="G56" s="118"/>
      <c r="H56" s="118"/>
      <c r="I56" s="118"/>
      <c r="J56" s="117"/>
      <c r="K56" s="117"/>
      <c r="L56" s="117"/>
      <c r="M56" s="117"/>
      <c r="N56" s="117"/>
      <c r="O56" s="117"/>
    </row>
    <row r="57" spans="2:26" ht="13.5" customHeight="1" thickBot="1">
      <c r="B57" s="124">
        <f>Año_anterior_seleccionado_C.1.2</f>
        <v>2023</v>
      </c>
      <c r="C57" s="137"/>
      <c r="D57" s="137"/>
      <c r="E57" s="137"/>
      <c r="F57" s="137"/>
      <c r="G57" s="137"/>
      <c r="H57" s="138"/>
      <c r="I57" s="139"/>
      <c r="J57" s="137"/>
      <c r="K57" s="137"/>
      <c r="L57" s="137"/>
      <c r="M57" s="137"/>
      <c r="N57" s="137"/>
      <c r="O57" s="138"/>
      <c r="U57" s="120" t="s">
        <v>101</v>
      </c>
      <c r="V57" s="120" t="s">
        <v>102</v>
      </c>
      <c r="W57" s="120" t="s">
        <v>103</v>
      </c>
      <c r="X57" s="120" t="s">
        <v>104</v>
      </c>
      <c r="Y57" s="120" t="s">
        <v>8</v>
      </c>
      <c r="Z57" s="140" t="s">
        <v>87</v>
      </c>
    </row>
    <row r="58" spans="2:26" ht="6" customHeight="1">
      <c r="B58" s="141"/>
      <c r="C58" s="137"/>
      <c r="D58" s="137"/>
      <c r="E58" s="137"/>
      <c r="F58" s="137"/>
      <c r="G58" s="137"/>
      <c r="H58" s="138"/>
      <c r="I58" s="139"/>
      <c r="J58" s="137"/>
      <c r="K58" s="137"/>
      <c r="L58" s="137"/>
      <c r="M58" s="137"/>
      <c r="N58" s="137"/>
      <c r="O58" s="138"/>
    </row>
    <row r="59" spans="2:26" ht="12" customHeight="1">
      <c r="B59" s="128" t="s">
        <v>88</v>
      </c>
      <c r="C59" s="142">
        <f>W131</f>
        <v>12.688124108865006</v>
      </c>
      <c r="D59" s="142" t="str">
        <f t="shared" ref="D59:H59" si="9">X131</f>
        <v>-</v>
      </c>
      <c r="E59" s="142">
        <f t="shared" si="9"/>
        <v>-1.4700431220886456</v>
      </c>
      <c r="F59" s="142">
        <f t="shared" si="9"/>
        <v>-2.1555252064260637</v>
      </c>
      <c r="G59" s="142">
        <f t="shared" si="9"/>
        <v>9.5086835925642355</v>
      </c>
      <c r="H59" s="143">
        <f t="shared" si="9"/>
        <v>-7.5057578932984841</v>
      </c>
      <c r="I59" s="144"/>
      <c r="J59" s="142">
        <f t="shared" ref="J59:O70" si="10">AD131</f>
        <v>12.688124108865006</v>
      </c>
      <c r="K59" s="142" t="str">
        <f t="shared" si="10"/>
        <v>-</v>
      </c>
      <c r="L59" s="142">
        <f t="shared" si="10"/>
        <v>-1.4700431220886456</v>
      </c>
      <c r="M59" s="142">
        <f t="shared" si="10"/>
        <v>-2.1555252064260637</v>
      </c>
      <c r="N59" s="142">
        <f t="shared" si="10"/>
        <v>9.5086835925642355</v>
      </c>
      <c r="O59" s="143">
        <f t="shared" si="10"/>
        <v>-7.5057578932984841</v>
      </c>
      <c r="T59" s="145">
        <f>T60-1</f>
        <v>2018</v>
      </c>
      <c r="U59" s="125">
        <f t="shared" ref="U59:U64" si="11">SUMIFS(IRPF_neto_total,Años_datos,$T59)/1000</f>
        <v>82858.654999999999</v>
      </c>
      <c r="V59" s="125">
        <f t="shared" ref="V59:V64" si="12">SUMIFS(IS_neto_total,Años_datos,$T59)/1000</f>
        <v>24837.776999999998</v>
      </c>
      <c r="W59" s="125">
        <f t="shared" ref="W59:W64" si="13">SUMIFS(IVA_total_neto,Años_datos,$T59)/1000</f>
        <v>70176.789999999994</v>
      </c>
      <c r="X59" s="125">
        <f t="shared" ref="X59:X64" si="14">SUMIFS(IIEE_neto_total,Años_datos,$T59)/1000</f>
        <v>20528.164000000001</v>
      </c>
      <c r="Y59" s="125">
        <f>Z59-SUM(U59:X59)</f>
        <v>10283.578999999998</v>
      </c>
      <c r="Z59" s="146">
        <f t="shared" ref="Z59:Z64" si="15">SUMIFS(Ingresos_netos_totales,Años_datos,$T59)/1000</f>
        <v>208684.965</v>
      </c>
    </row>
    <row r="60" spans="2:26" ht="12" customHeight="1">
      <c r="B60" s="128" t="s">
        <v>89</v>
      </c>
      <c r="C60" s="142">
        <f t="shared" ref="C60:H70" si="16">W132</f>
        <v>9.9144609094196294</v>
      </c>
      <c r="D60" s="142" t="str">
        <f t="shared" si="16"/>
        <v>-</v>
      </c>
      <c r="E60" s="142">
        <f t="shared" si="16"/>
        <v>10.460259274739565</v>
      </c>
      <c r="F60" s="142">
        <f t="shared" si="16"/>
        <v>-5.2680167181276625</v>
      </c>
      <c r="G60" s="142">
        <f t="shared" si="16"/>
        <v>9.4285247446679783</v>
      </c>
      <c r="H60" s="143">
        <f t="shared" si="16"/>
        <v>9.0503643820914661</v>
      </c>
      <c r="I60" s="144"/>
      <c r="J60" s="142">
        <f t="shared" si="10"/>
        <v>11.780173416294041</v>
      </c>
      <c r="K60" s="142" t="str">
        <f t="shared" si="10"/>
        <v>-</v>
      </c>
      <c r="L60" s="142">
        <f t="shared" si="10"/>
        <v>7.286028532337073</v>
      </c>
      <c r="M60" s="142">
        <f t="shared" si="10"/>
        <v>-3.6226949795079628</v>
      </c>
      <c r="N60" s="142">
        <f t="shared" si="10"/>
        <v>9.4713408539829338</v>
      </c>
      <c r="O60" s="143">
        <f t="shared" si="10"/>
        <v>1.6249239249036724</v>
      </c>
      <c r="T60" s="145">
        <f>B49</f>
        <v>2019</v>
      </c>
      <c r="U60" s="125">
        <f t="shared" si="11"/>
        <v>86892.206999999995</v>
      </c>
      <c r="V60" s="125">
        <f t="shared" si="12"/>
        <v>23732.922999999999</v>
      </c>
      <c r="W60" s="125">
        <f t="shared" si="13"/>
        <v>71537.922999999995</v>
      </c>
      <c r="X60" s="125">
        <f t="shared" si="14"/>
        <v>21379.727999999999</v>
      </c>
      <c r="Y60" s="125">
        <f t="shared" ref="Y60:Y64" si="17">Z60-SUM(U60:X60)</f>
        <v>9264.765000000014</v>
      </c>
      <c r="Z60" s="146">
        <f t="shared" si="15"/>
        <v>212807.546</v>
      </c>
    </row>
    <row r="61" spans="2:26" ht="12" customHeight="1">
      <c r="B61" s="128" t="s">
        <v>90</v>
      </c>
      <c r="C61" s="142">
        <f t="shared" si="16"/>
        <v>11.546294962001465</v>
      </c>
      <c r="D61" s="142" t="str">
        <f t="shared" si="16"/>
        <v>-</v>
      </c>
      <c r="E61" s="142">
        <f t="shared" si="16"/>
        <v>6.5433364097909603</v>
      </c>
      <c r="F61" s="142">
        <f t="shared" si="16"/>
        <v>-1.7060089564978624</v>
      </c>
      <c r="G61" s="142">
        <f t="shared" si="16"/>
        <v>-0.17190982052791517</v>
      </c>
      <c r="H61" s="143">
        <f t="shared" si="16"/>
        <v>5.7500900128838905</v>
      </c>
      <c r="I61" s="144"/>
      <c r="J61" s="142">
        <f t="shared" si="10"/>
        <v>11.72809820048289</v>
      </c>
      <c r="K61" s="142" t="str">
        <f t="shared" si="10"/>
        <v>-</v>
      </c>
      <c r="L61" s="142">
        <f t="shared" si="10"/>
        <v>7.1563477516073064</v>
      </c>
      <c r="M61" s="142">
        <f t="shared" si="10"/>
        <v>-3.0032151424862708</v>
      </c>
      <c r="N61" s="142">
        <f t="shared" si="10"/>
        <v>6.7938168194719442</v>
      </c>
      <c r="O61" s="143">
        <f t="shared" si="10"/>
        <v>2.5584576314536567</v>
      </c>
      <c r="T61" s="145">
        <f>B50</f>
        <v>2020</v>
      </c>
      <c r="U61" s="125">
        <f t="shared" si="11"/>
        <v>87971.623000000007</v>
      </c>
      <c r="V61" s="125">
        <f t="shared" si="12"/>
        <v>15857.718000000001</v>
      </c>
      <c r="W61" s="125">
        <f t="shared" si="13"/>
        <v>63336.834000000003</v>
      </c>
      <c r="X61" s="125">
        <f t="shared" si="14"/>
        <v>18789.71</v>
      </c>
      <c r="Y61" s="125">
        <f t="shared" si="17"/>
        <v>8094.752999999997</v>
      </c>
      <c r="Z61" s="146">
        <f t="shared" si="15"/>
        <v>194050.63800000001</v>
      </c>
    </row>
    <row r="62" spans="2:26" ht="12" customHeight="1">
      <c r="B62" s="128" t="s">
        <v>91</v>
      </c>
      <c r="C62" s="142">
        <f t="shared" si="16"/>
        <v>11.346794599426797</v>
      </c>
      <c r="D62" s="142">
        <f t="shared" si="16"/>
        <v>25.648047532189594</v>
      </c>
      <c r="E62" s="142">
        <f t="shared" si="16"/>
        <v>3.0051786762499062</v>
      </c>
      <c r="F62" s="142">
        <f t="shared" si="16"/>
        <v>1.1435105774728311</v>
      </c>
      <c r="G62" s="142">
        <f t="shared" si="16"/>
        <v>-4.7835351362981324</v>
      </c>
      <c r="H62" s="143">
        <f t="shared" si="16"/>
        <v>10.766227718593665</v>
      </c>
      <c r="I62" s="144"/>
      <c r="J62" s="142">
        <f t="shared" si="10"/>
        <v>11.61902672681622</v>
      </c>
      <c r="K62" s="142">
        <f t="shared" si="10"/>
        <v>-32.978158143755621</v>
      </c>
      <c r="L62" s="142">
        <f t="shared" si="10"/>
        <v>5.9364316875340553</v>
      </c>
      <c r="M62" s="142">
        <f t="shared" si="10"/>
        <v>-1.7648309747615678</v>
      </c>
      <c r="N62" s="142">
        <f t="shared" si="10"/>
        <v>2.821880705898169</v>
      </c>
      <c r="O62" s="143">
        <f t="shared" si="10"/>
        <v>5.5362357173399115</v>
      </c>
      <c r="T62" s="145">
        <f>B51</f>
        <v>2021</v>
      </c>
      <c r="U62" s="125">
        <f t="shared" si="11"/>
        <v>94545.865000000005</v>
      </c>
      <c r="V62" s="125">
        <f t="shared" si="12"/>
        <v>26626.737000000001</v>
      </c>
      <c r="W62" s="125">
        <f t="shared" si="13"/>
        <v>72498.351999999999</v>
      </c>
      <c r="X62" s="125">
        <f t="shared" si="14"/>
        <v>19728.595000000001</v>
      </c>
      <c r="Y62" s="125">
        <f t="shared" si="17"/>
        <v>9985.2569999999832</v>
      </c>
      <c r="Z62" s="146">
        <f t="shared" si="15"/>
        <v>223384.80600000001</v>
      </c>
    </row>
    <row r="63" spans="2:26" ht="12" customHeight="1">
      <c r="B63" s="128" t="s">
        <v>92</v>
      </c>
      <c r="C63" s="142">
        <f t="shared" si="16"/>
        <v>14.291403085894377</v>
      </c>
      <c r="D63" s="142" t="str">
        <f t="shared" si="16"/>
        <v>-</v>
      </c>
      <c r="E63" s="142">
        <f t="shared" si="16"/>
        <v>-3.7740719330493744</v>
      </c>
      <c r="F63" s="142">
        <f t="shared" si="16"/>
        <v>-0.49941311204472472</v>
      </c>
      <c r="G63" s="142">
        <f t="shared" si="16"/>
        <v>-1.2943963546189308</v>
      </c>
      <c r="H63" s="143">
        <f t="shared" si="16"/>
        <v>-5.8629454456458641</v>
      </c>
      <c r="I63" s="144"/>
      <c r="J63" s="142">
        <f t="shared" si="10"/>
        <v>11.874028930400568</v>
      </c>
      <c r="K63" s="142">
        <f t="shared" si="10"/>
        <v>-50.893931036086528</v>
      </c>
      <c r="L63" s="142">
        <f t="shared" si="10"/>
        <v>4.8394982243482199</v>
      </c>
      <c r="M63" s="142">
        <f t="shared" si="10"/>
        <v>-1.520290947106673</v>
      </c>
      <c r="N63" s="142">
        <f t="shared" si="10"/>
        <v>1.972856755250862</v>
      </c>
      <c r="O63" s="143">
        <f t="shared" si="10"/>
        <v>4.22426897852253</v>
      </c>
      <c r="T63" s="145">
        <f>B52</f>
        <v>2022</v>
      </c>
      <c r="U63" s="125">
        <f t="shared" si="11"/>
        <v>109485.423</v>
      </c>
      <c r="V63" s="125">
        <f t="shared" si="12"/>
        <v>32176.1</v>
      </c>
      <c r="W63" s="125">
        <f t="shared" si="13"/>
        <v>82595.035999999993</v>
      </c>
      <c r="X63" s="125">
        <f t="shared" si="14"/>
        <v>20224.048999999999</v>
      </c>
      <c r="Y63" s="125">
        <f t="shared" si="17"/>
        <v>10982.829000000027</v>
      </c>
      <c r="Z63" s="146">
        <f t="shared" si="15"/>
        <v>255463.43700000001</v>
      </c>
    </row>
    <row r="64" spans="2:26" ht="12" customHeight="1">
      <c r="B64" s="128" t="s">
        <v>93</v>
      </c>
      <c r="C64" s="142">
        <f t="shared" si="16"/>
        <v>2.4051519351880191</v>
      </c>
      <c r="D64" s="142">
        <f t="shared" si="16"/>
        <v>-13.487913056935206</v>
      </c>
      <c r="E64" s="142">
        <f t="shared" si="16"/>
        <v>-10.595397921196566</v>
      </c>
      <c r="F64" s="142">
        <f t="shared" si="16"/>
        <v>7.4278152898215595</v>
      </c>
      <c r="G64" s="142">
        <f t="shared" si="16"/>
        <v>13.78534711708221</v>
      </c>
      <c r="H64" s="143">
        <f t="shared" si="16"/>
        <v>-0.68563751829484021</v>
      </c>
      <c r="I64" s="144"/>
      <c r="J64" s="142">
        <f t="shared" si="10"/>
        <v>11.087073401036328</v>
      </c>
      <c r="K64" s="142">
        <f t="shared" si="10"/>
        <v>-48.528866060460352</v>
      </c>
      <c r="L64" s="142">
        <f t="shared" si="10"/>
        <v>3.5845934054813227</v>
      </c>
      <c r="M64" s="142">
        <f t="shared" si="10"/>
        <v>-6.0853329228939566E-2</v>
      </c>
      <c r="N64" s="142">
        <f t="shared" si="10"/>
        <v>3.7912972558725526</v>
      </c>
      <c r="O64" s="143">
        <f t="shared" si="10"/>
        <v>3.7694776466459037</v>
      </c>
      <c r="T64" s="145">
        <f>B53</f>
        <v>2023</v>
      </c>
      <c r="U64" s="125">
        <f t="shared" si="11"/>
        <v>120280.38</v>
      </c>
      <c r="V64" s="125">
        <f t="shared" si="12"/>
        <v>35059.627999999997</v>
      </c>
      <c r="W64" s="125">
        <f t="shared" si="13"/>
        <v>83909.165999999997</v>
      </c>
      <c r="X64" s="125">
        <f t="shared" si="14"/>
        <v>20757.131000000001</v>
      </c>
      <c r="Y64" s="125">
        <f t="shared" si="17"/>
        <v>11928.770000000019</v>
      </c>
      <c r="Z64" s="146">
        <f t="shared" si="15"/>
        <v>271935.07500000001</v>
      </c>
    </row>
    <row r="65" spans="2:26" ht="12" customHeight="1">
      <c r="B65" s="128" t="s">
        <v>94</v>
      </c>
      <c r="C65" s="142">
        <f t="shared" si="16"/>
        <v>7.09927175444684</v>
      </c>
      <c r="D65" s="142">
        <f t="shared" si="16"/>
        <v>23.997540461385729</v>
      </c>
      <c r="E65" s="142">
        <f t="shared" si="16"/>
        <v>-2.9869043687448218</v>
      </c>
      <c r="F65" s="142">
        <f t="shared" si="16"/>
        <v>2.9505005889116478</v>
      </c>
      <c r="G65" s="142">
        <f t="shared" si="16"/>
        <v>6.8209044706801167</v>
      </c>
      <c r="H65" s="143">
        <f t="shared" si="16"/>
        <v>4.2921746371320317</v>
      </c>
      <c r="I65" s="144"/>
      <c r="J65" s="142">
        <f t="shared" si="10"/>
        <v>9.691004053013879</v>
      </c>
      <c r="K65" s="142">
        <f t="shared" si="10"/>
        <v>-39.095109873114218</v>
      </c>
      <c r="L65" s="142">
        <f t="shared" si="10"/>
        <v>2.1433058306743145</v>
      </c>
      <c r="M65" s="142">
        <f t="shared" si="10"/>
        <v>0.3962933643201384</v>
      </c>
      <c r="N65" s="142">
        <f t="shared" si="10"/>
        <v>4.2073613698742438</v>
      </c>
      <c r="O65" s="143">
        <f t="shared" si="10"/>
        <v>3.9096871003426377</v>
      </c>
      <c r="T65" s="147"/>
    </row>
    <row r="66" spans="2:26" ht="12" customHeight="1">
      <c r="B66" s="128" t="s">
        <v>95</v>
      </c>
      <c r="C66" s="142">
        <f t="shared" si="16"/>
        <v>8.1630852063965165</v>
      </c>
      <c r="D66" s="142">
        <f t="shared" si="16"/>
        <v>11.004570258598861</v>
      </c>
      <c r="E66" s="142">
        <f t="shared" si="16"/>
        <v>-9.4045832627648185</v>
      </c>
      <c r="F66" s="142">
        <f t="shared" si="16"/>
        <v>6.4907062641727169</v>
      </c>
      <c r="G66" s="142" t="str">
        <f t="shared" si="16"/>
        <v>-</v>
      </c>
      <c r="H66" s="143">
        <f t="shared" si="16"/>
        <v>7.9799231950204872</v>
      </c>
      <c r="I66" s="144"/>
      <c r="J66" s="142">
        <f t="shared" si="10"/>
        <v>9.5663841003046048</v>
      </c>
      <c r="K66" s="142">
        <f t="shared" si="10"/>
        <v>-10.841317633230666</v>
      </c>
      <c r="L66" s="142">
        <f t="shared" si="10"/>
        <v>0.97489440243185688</v>
      </c>
      <c r="M66" s="142">
        <f t="shared" si="10"/>
        <v>1.1825838726015943</v>
      </c>
      <c r="N66" s="142">
        <f t="shared" si="10"/>
        <v>15.499931677629409</v>
      </c>
      <c r="O66" s="143">
        <f t="shared" si="10"/>
        <v>4.4537185972812452</v>
      </c>
      <c r="T66" s="145">
        <f>T60</f>
        <v>2019</v>
      </c>
      <c r="U66" s="148">
        <f t="shared" ref="U66:Z70" si="18">IF(U59=0,"-",IF(ABS((U60-U59)/ABS(U59))*100&gt;=100,"-",IF((U60/U59)&lt;0,"-",((U60-U59)/ABS(U59))*100)))</f>
        <v>4.8679911591613401</v>
      </c>
      <c r="V66" s="148">
        <f t="shared" si="18"/>
        <v>-4.4482805365391576</v>
      </c>
      <c r="W66" s="148">
        <f t="shared" si="18"/>
        <v>1.939577173592582</v>
      </c>
      <c r="X66" s="148">
        <f t="shared" si="18"/>
        <v>4.1482716135743969</v>
      </c>
      <c r="Y66" s="148">
        <f t="shared" si="18"/>
        <v>-9.9071928168197481</v>
      </c>
      <c r="Z66" s="149">
        <f t="shared" si="18"/>
        <v>1.9755045601871728</v>
      </c>
    </row>
    <row r="67" spans="2:26" ht="12" customHeight="1">
      <c r="B67" s="128" t="s">
        <v>96</v>
      </c>
      <c r="C67" s="142">
        <f t="shared" si="16"/>
        <v>10.883062016983951</v>
      </c>
      <c r="D67" s="142">
        <f t="shared" si="16"/>
        <v>-32.512750620228502</v>
      </c>
      <c r="E67" s="142">
        <f t="shared" si="16"/>
        <v>6.649702071279215</v>
      </c>
      <c r="F67" s="142">
        <f t="shared" si="16"/>
        <v>1.3288181661217617</v>
      </c>
      <c r="G67" s="142">
        <f t="shared" si="16"/>
        <v>-15.784682446515413</v>
      </c>
      <c r="H67" s="143">
        <f t="shared" si="16"/>
        <v>5.4954284877748689</v>
      </c>
      <c r="I67" s="144"/>
      <c r="J67" s="142">
        <f t="shared" si="10"/>
        <v>9.6552029129596129</v>
      </c>
      <c r="K67" s="142">
        <f t="shared" si="10"/>
        <v>-11.122685092383414</v>
      </c>
      <c r="L67" s="142">
        <f t="shared" si="10"/>
        <v>1.3940168237680275</v>
      </c>
      <c r="M67" s="142">
        <f t="shared" si="10"/>
        <v>1.1997594985921356</v>
      </c>
      <c r="N67" s="142">
        <f t="shared" si="10"/>
        <v>11.919978061048141</v>
      </c>
      <c r="O67" s="143">
        <f t="shared" si="10"/>
        <v>4.5283868073622102</v>
      </c>
      <c r="T67" s="145">
        <f>T61</f>
        <v>2020</v>
      </c>
      <c r="U67" s="148">
        <f t="shared" si="18"/>
        <v>1.2422471902457397</v>
      </c>
      <c r="V67" s="148">
        <f t="shared" si="18"/>
        <v>-33.182617244407687</v>
      </c>
      <c r="W67" s="148">
        <f t="shared" si="18"/>
        <v>-11.463974149766681</v>
      </c>
      <c r="X67" s="148">
        <f t="shared" si="18"/>
        <v>-12.114363662624708</v>
      </c>
      <c r="Y67" s="148">
        <f t="shared" si="18"/>
        <v>-12.6286203697559</v>
      </c>
      <c r="Z67" s="149">
        <f t="shared" si="18"/>
        <v>-8.8140239162383818</v>
      </c>
    </row>
    <row r="68" spans="2:26" ht="12" customHeight="1">
      <c r="B68" s="128" t="s">
        <v>97</v>
      </c>
      <c r="C68" s="142">
        <f t="shared" si="16"/>
        <v>8.9684925511486497</v>
      </c>
      <c r="D68" s="142">
        <f t="shared" si="16"/>
        <v>17.230703364824386</v>
      </c>
      <c r="E68" s="142">
        <f t="shared" si="16"/>
        <v>-1.5843263636857765</v>
      </c>
      <c r="F68" s="142">
        <f t="shared" si="16"/>
        <v>5.9442247450814456</v>
      </c>
      <c r="G68" s="142">
        <f t="shared" si="16"/>
        <v>-9.4597647421347268</v>
      </c>
      <c r="H68" s="143">
        <f t="shared" si="16"/>
        <v>8.2709054114868348</v>
      </c>
      <c r="I68" s="144"/>
      <c r="J68" s="142">
        <f t="shared" si="10"/>
        <v>9.5665600999260878</v>
      </c>
      <c r="K68" s="142">
        <f t="shared" si="10"/>
        <v>3.2727435440203303</v>
      </c>
      <c r="L68" s="142">
        <f t="shared" si="10"/>
        <v>0.90888301784822634</v>
      </c>
      <c r="M68" s="142">
        <f t="shared" si="10"/>
        <v>1.6851236497282682</v>
      </c>
      <c r="N68" s="142">
        <f t="shared" si="10"/>
        <v>9.6916635589140583</v>
      </c>
      <c r="O68" s="143">
        <f t="shared" si="10"/>
        <v>5.2287964983397455</v>
      </c>
      <c r="T68" s="145">
        <f>T62</f>
        <v>2021</v>
      </c>
      <c r="U68" s="148">
        <f t="shared" si="18"/>
        <v>7.4731393781378772</v>
      </c>
      <c r="V68" s="148">
        <f t="shared" si="18"/>
        <v>67.910269308610481</v>
      </c>
      <c r="W68" s="148">
        <f t="shared" si="18"/>
        <v>14.464755216530079</v>
      </c>
      <c r="X68" s="148">
        <f t="shared" si="18"/>
        <v>4.9968041018195706</v>
      </c>
      <c r="Y68" s="148">
        <f t="shared" si="18"/>
        <v>23.354684200987812</v>
      </c>
      <c r="Z68" s="149">
        <f t="shared" si="18"/>
        <v>15.116759368758171</v>
      </c>
    </row>
    <row r="69" spans="2:26" ht="12" customHeight="1">
      <c r="B69" s="128" t="s">
        <v>98</v>
      </c>
      <c r="C69" s="142">
        <f t="shared" si="16"/>
        <v>11.450788337398979</v>
      </c>
      <c r="D69" s="142">
        <f t="shared" si="16"/>
        <v>39.189094351864725</v>
      </c>
      <c r="E69" s="142">
        <f t="shared" si="16"/>
        <v>-0.53861820632262325</v>
      </c>
      <c r="F69" s="142">
        <f t="shared" si="16"/>
        <v>11.928893652238472</v>
      </c>
      <c r="G69" s="142">
        <f t="shared" si="16"/>
        <v>-15.266213501776251</v>
      </c>
      <c r="H69" s="143">
        <f t="shared" si="16"/>
        <v>8.9541948108253884</v>
      </c>
      <c r="I69" s="144"/>
      <c r="J69" s="142">
        <f t="shared" si="10"/>
        <v>9.7479078029970712</v>
      </c>
      <c r="K69" s="142">
        <f t="shared" si="10"/>
        <v>4.3926942680542593</v>
      </c>
      <c r="L69" s="142">
        <f t="shared" si="10"/>
        <v>0.8293480793729654</v>
      </c>
      <c r="M69" s="142">
        <f t="shared" si="10"/>
        <v>2.5636474469883539</v>
      </c>
      <c r="N69" s="142">
        <f t="shared" si="10"/>
        <v>7.2527374195789047</v>
      </c>
      <c r="O69" s="143">
        <f t="shared" si="10"/>
        <v>5.4788475688459206</v>
      </c>
      <c r="T69" s="145">
        <f>T63</f>
        <v>2022</v>
      </c>
      <c r="U69" s="148">
        <f t="shared" si="18"/>
        <v>15.801386977632484</v>
      </c>
      <c r="V69" s="148">
        <f t="shared" si="18"/>
        <v>20.841318258410698</v>
      </c>
      <c r="W69" s="148">
        <f t="shared" si="18"/>
        <v>13.926777259709288</v>
      </c>
      <c r="X69" s="148">
        <f t="shared" si="18"/>
        <v>2.5113496424859343</v>
      </c>
      <c r="Y69" s="148">
        <f t="shared" si="18"/>
        <v>9.9904489188415013</v>
      </c>
      <c r="Z69" s="149">
        <f t="shared" si="18"/>
        <v>14.360256444657205</v>
      </c>
    </row>
    <row r="70" spans="2:26" ht="12" customHeight="1">
      <c r="B70" s="128" t="s">
        <v>99</v>
      </c>
      <c r="C70" s="142">
        <f t="shared" si="16"/>
        <v>11.523366004066673</v>
      </c>
      <c r="D70" s="142">
        <f t="shared" si="16"/>
        <v>45.883823844842588</v>
      </c>
      <c r="E70" s="142">
        <f t="shared" si="16"/>
        <v>22.757561583274139</v>
      </c>
      <c r="F70" s="142">
        <f t="shared" si="16"/>
        <v>3.4776939426607916</v>
      </c>
      <c r="G70" s="142">
        <f t="shared" si="16"/>
        <v>26.692172057282885</v>
      </c>
      <c r="H70" s="143">
        <f t="shared" si="16"/>
        <v>21.27046296266759</v>
      </c>
      <c r="I70" s="144"/>
      <c r="J70" s="142">
        <f t="shared" si="10"/>
        <v>9.8597207776235436</v>
      </c>
      <c r="K70" s="142">
        <f t="shared" si="10"/>
        <v>8.9617076028480938</v>
      </c>
      <c r="L70" s="142">
        <f t="shared" si="10"/>
        <v>1.5910520336839671</v>
      </c>
      <c r="M70" s="142">
        <f t="shared" si="10"/>
        <v>2.635881667414897</v>
      </c>
      <c r="N70" s="142">
        <f t="shared" si="10"/>
        <v>8.6129083863546967</v>
      </c>
      <c r="O70" s="143">
        <f t="shared" si="10"/>
        <v>6.4477477456001022</v>
      </c>
      <c r="T70" s="145">
        <f>T64</f>
        <v>2023</v>
      </c>
      <c r="U70" s="148">
        <f t="shared" si="18"/>
        <v>9.8597207776235294</v>
      </c>
      <c r="V70" s="148">
        <f t="shared" si="18"/>
        <v>8.9617076028480724</v>
      </c>
      <c r="W70" s="148">
        <f t="shared" si="18"/>
        <v>1.5910520336839671</v>
      </c>
      <c r="X70" s="148">
        <f t="shared" si="18"/>
        <v>2.6358816674148788</v>
      </c>
      <c r="Y70" s="148">
        <f t="shared" si="18"/>
        <v>8.6129083863546381</v>
      </c>
      <c r="Z70" s="149">
        <f t="shared" si="18"/>
        <v>6.4477477456000898</v>
      </c>
    </row>
    <row r="71" spans="2:26" ht="12" customHeight="1">
      <c r="B71" s="150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</row>
    <row r="72" spans="2:26" ht="13.5" customHeight="1" thickBot="1">
      <c r="B72" s="124">
        <f>Año_seleccionado_C.1.2</f>
        <v>2024</v>
      </c>
      <c r="C72" s="142"/>
      <c r="D72" s="142"/>
      <c r="E72" s="142"/>
      <c r="F72" s="142"/>
      <c r="G72" s="142"/>
      <c r="H72" s="152"/>
      <c r="I72" s="144"/>
      <c r="J72" s="142"/>
      <c r="K72" s="142"/>
      <c r="L72" s="142"/>
      <c r="M72" s="142"/>
      <c r="N72" s="142"/>
      <c r="O72" s="152"/>
    </row>
    <row r="73" spans="2:26" ht="6" customHeight="1">
      <c r="B73" s="141"/>
      <c r="C73" s="142"/>
      <c r="D73" s="142"/>
      <c r="E73" s="142"/>
      <c r="F73" s="142"/>
      <c r="G73" s="142"/>
      <c r="H73" s="152"/>
      <c r="I73" s="144"/>
      <c r="J73" s="142"/>
      <c r="K73" s="142"/>
      <c r="L73" s="142"/>
      <c r="M73" s="142"/>
      <c r="N73" s="142"/>
      <c r="O73" s="152"/>
    </row>
    <row r="74" spans="2:26" ht="12" customHeight="1">
      <c r="B74" s="128" t="s">
        <v>88</v>
      </c>
      <c r="C74" s="142">
        <f>IF($T117="SI"," ",W143)</f>
        <v>5.8598171161650257</v>
      </c>
      <c r="D74" s="142">
        <f t="shared" ref="D74:H85" si="19">IF($T117="SI"," ",X143)</f>
        <v>-2.3456753877371823</v>
      </c>
      <c r="E74" s="142">
        <f t="shared" si="19"/>
        <v>6.9003489323547722</v>
      </c>
      <c r="F74" s="142">
        <f t="shared" si="19"/>
        <v>-2.445551182675163</v>
      </c>
      <c r="G74" s="142">
        <f t="shared" si="19"/>
        <v>6.8939081038563081</v>
      </c>
      <c r="H74" s="143">
        <f t="shared" si="19"/>
        <v>6.6287835675959057</v>
      </c>
      <c r="I74" s="144"/>
      <c r="J74" s="142">
        <f t="shared" ref="J74:N85" si="20">IF($T117="SI"," ",AD143)</f>
        <v>5.8598171161650257</v>
      </c>
      <c r="K74" s="142">
        <f t="shared" si="20"/>
        <v>-2.3456753877371823</v>
      </c>
      <c r="L74" s="142">
        <f t="shared" si="20"/>
        <v>6.9003489323547722</v>
      </c>
      <c r="M74" s="142">
        <f t="shared" si="20"/>
        <v>-2.445551182675163</v>
      </c>
      <c r="N74" s="142">
        <f>IF($T117="SI"," ",AH143)</f>
        <v>6.8939081038563081</v>
      </c>
      <c r="O74" s="143">
        <f t="shared" ref="O74:O85" si="21">IF($T117="SI"," ",AI143)</f>
        <v>6.6287835675959057</v>
      </c>
    </row>
    <row r="75" spans="2:26" ht="12" customHeight="1">
      <c r="B75" s="128" t="s">
        <v>89</v>
      </c>
      <c r="C75" s="142">
        <f>IF($T118="SI"," ",W144)</f>
        <v>10.280475899996363</v>
      </c>
      <c r="D75" s="142">
        <f t="shared" si="19"/>
        <v>-84.6486369918739</v>
      </c>
      <c r="E75" s="142">
        <f t="shared" si="19"/>
        <v>3.0943417123373251</v>
      </c>
      <c r="F75" s="142">
        <f t="shared" si="19"/>
        <v>24.073230170392716</v>
      </c>
      <c r="G75" s="142">
        <f t="shared" si="19"/>
        <v>-0.66813241031909198</v>
      </c>
      <c r="H75" s="143">
        <f t="shared" si="19"/>
        <v>5.9057057447234076</v>
      </c>
      <c r="I75" s="144"/>
      <c r="J75" s="142">
        <f t="shared" si="20"/>
        <v>7.2827538446444562</v>
      </c>
      <c r="K75" s="142">
        <f t="shared" si="20"/>
        <v>-3.738424103972688</v>
      </c>
      <c r="L75" s="142">
        <f t="shared" si="20"/>
        <v>4.0243391951790812</v>
      </c>
      <c r="M75" s="142">
        <f t="shared" si="20"/>
        <v>9.8414983624897392</v>
      </c>
      <c r="N75" s="142">
        <f t="shared" si="20"/>
        <v>3.3724396324634185</v>
      </c>
      <c r="O75" s="143">
        <f t="shared" si="21"/>
        <v>6.2008695502895765</v>
      </c>
    </row>
    <row r="76" spans="2:26" ht="12" customHeight="1">
      <c r="B76" s="128" t="s">
        <v>90</v>
      </c>
      <c r="C76" s="142" t="str">
        <f t="shared" ref="C76:C85" si="22">IF($T119="SI"," ",W145)</f>
        <v xml:space="preserve"> </v>
      </c>
      <c r="D76" s="142" t="str">
        <f t="shared" si="19"/>
        <v xml:space="preserve"> </v>
      </c>
      <c r="E76" s="142" t="str">
        <f t="shared" si="19"/>
        <v xml:space="preserve"> </v>
      </c>
      <c r="F76" s="142" t="str">
        <f t="shared" si="19"/>
        <v xml:space="preserve"> </v>
      </c>
      <c r="G76" s="142" t="str">
        <f t="shared" si="19"/>
        <v xml:space="preserve"> </v>
      </c>
      <c r="H76" s="143" t="str">
        <f t="shared" si="19"/>
        <v xml:space="preserve"> </v>
      </c>
      <c r="I76" s="144"/>
      <c r="J76" s="142" t="str">
        <f t="shared" si="20"/>
        <v xml:space="preserve"> </v>
      </c>
      <c r="K76" s="142" t="str">
        <f t="shared" si="20"/>
        <v xml:space="preserve"> </v>
      </c>
      <c r="L76" s="142" t="str">
        <f t="shared" si="20"/>
        <v xml:space="preserve"> </v>
      </c>
      <c r="M76" s="142" t="str">
        <f t="shared" si="20"/>
        <v xml:space="preserve"> </v>
      </c>
      <c r="N76" s="142" t="str">
        <f t="shared" si="20"/>
        <v xml:space="preserve"> </v>
      </c>
      <c r="O76" s="143" t="str">
        <f t="shared" si="21"/>
        <v xml:space="preserve"> </v>
      </c>
    </row>
    <row r="77" spans="2:26" ht="12" customHeight="1">
      <c r="B77" s="128" t="s">
        <v>91</v>
      </c>
      <c r="C77" s="142" t="str">
        <f t="shared" si="22"/>
        <v xml:space="preserve"> </v>
      </c>
      <c r="D77" s="142" t="str">
        <f t="shared" si="19"/>
        <v xml:space="preserve"> </v>
      </c>
      <c r="E77" s="142" t="str">
        <f t="shared" si="19"/>
        <v xml:space="preserve"> </v>
      </c>
      <c r="F77" s="142" t="str">
        <f t="shared" si="19"/>
        <v xml:space="preserve"> </v>
      </c>
      <c r="G77" s="142" t="str">
        <f t="shared" si="19"/>
        <v xml:space="preserve"> </v>
      </c>
      <c r="H77" s="143" t="str">
        <f t="shared" si="19"/>
        <v xml:space="preserve"> </v>
      </c>
      <c r="I77" s="144"/>
      <c r="J77" s="142" t="str">
        <f t="shared" si="20"/>
        <v xml:space="preserve"> </v>
      </c>
      <c r="K77" s="142" t="str">
        <f t="shared" si="20"/>
        <v xml:space="preserve"> </v>
      </c>
      <c r="L77" s="142" t="str">
        <f t="shared" si="20"/>
        <v xml:space="preserve"> </v>
      </c>
      <c r="M77" s="142" t="str">
        <f t="shared" si="20"/>
        <v xml:space="preserve"> </v>
      </c>
      <c r="N77" s="142" t="str">
        <f t="shared" si="20"/>
        <v xml:space="preserve"> </v>
      </c>
      <c r="O77" s="143" t="str">
        <f t="shared" si="21"/>
        <v xml:space="preserve"> </v>
      </c>
    </row>
    <row r="78" spans="2:26" ht="12" customHeight="1">
      <c r="B78" s="128" t="s">
        <v>92</v>
      </c>
      <c r="C78" s="142" t="str">
        <f t="shared" si="22"/>
        <v xml:space="preserve"> </v>
      </c>
      <c r="D78" s="142" t="str">
        <f t="shared" si="19"/>
        <v xml:space="preserve"> </v>
      </c>
      <c r="E78" s="142" t="str">
        <f t="shared" si="19"/>
        <v xml:space="preserve"> </v>
      </c>
      <c r="F78" s="142" t="str">
        <f t="shared" si="19"/>
        <v xml:space="preserve"> </v>
      </c>
      <c r="G78" s="142" t="str">
        <f t="shared" si="19"/>
        <v xml:space="preserve"> </v>
      </c>
      <c r="H78" s="143" t="str">
        <f t="shared" si="19"/>
        <v xml:space="preserve"> </v>
      </c>
      <c r="I78" s="144"/>
      <c r="J78" s="142" t="str">
        <f t="shared" si="20"/>
        <v xml:space="preserve"> </v>
      </c>
      <c r="K78" s="142" t="str">
        <f t="shared" si="20"/>
        <v xml:space="preserve"> </v>
      </c>
      <c r="L78" s="142" t="str">
        <f t="shared" si="20"/>
        <v xml:space="preserve"> </v>
      </c>
      <c r="M78" s="142" t="str">
        <f t="shared" si="20"/>
        <v xml:space="preserve"> </v>
      </c>
      <c r="N78" s="142" t="str">
        <f t="shared" si="20"/>
        <v xml:space="preserve"> </v>
      </c>
      <c r="O78" s="143" t="str">
        <f t="shared" si="21"/>
        <v xml:space="preserve"> </v>
      </c>
    </row>
    <row r="79" spans="2:26" ht="12" customHeight="1">
      <c r="B79" s="128" t="s">
        <v>93</v>
      </c>
      <c r="C79" s="142" t="str">
        <f t="shared" si="22"/>
        <v xml:space="preserve"> </v>
      </c>
      <c r="D79" s="142" t="str">
        <f t="shared" si="19"/>
        <v xml:space="preserve"> </v>
      </c>
      <c r="E79" s="142" t="str">
        <f t="shared" si="19"/>
        <v xml:space="preserve"> </v>
      </c>
      <c r="F79" s="142" t="str">
        <f t="shared" si="19"/>
        <v xml:space="preserve"> </v>
      </c>
      <c r="G79" s="142" t="str">
        <f t="shared" si="19"/>
        <v xml:space="preserve"> </v>
      </c>
      <c r="H79" s="143" t="str">
        <f t="shared" si="19"/>
        <v xml:space="preserve"> </v>
      </c>
      <c r="I79" s="153"/>
      <c r="J79" s="142" t="str">
        <f t="shared" si="20"/>
        <v xml:space="preserve"> </v>
      </c>
      <c r="K79" s="142" t="str">
        <f t="shared" si="20"/>
        <v xml:space="preserve"> </v>
      </c>
      <c r="L79" s="142" t="str">
        <f t="shared" si="20"/>
        <v xml:space="preserve"> </v>
      </c>
      <c r="M79" s="142" t="str">
        <f t="shared" si="20"/>
        <v xml:space="preserve"> </v>
      </c>
      <c r="N79" s="142" t="str">
        <f t="shared" si="20"/>
        <v xml:space="preserve"> </v>
      </c>
      <c r="O79" s="143" t="str">
        <f t="shared" si="21"/>
        <v xml:space="preserve"> </v>
      </c>
    </row>
    <row r="80" spans="2:26" ht="12" customHeight="1">
      <c r="B80" s="128" t="s">
        <v>94</v>
      </c>
      <c r="C80" s="142" t="str">
        <f t="shared" si="22"/>
        <v xml:space="preserve"> </v>
      </c>
      <c r="D80" s="142" t="str">
        <f t="shared" si="19"/>
        <v xml:space="preserve"> </v>
      </c>
      <c r="E80" s="142" t="str">
        <f t="shared" si="19"/>
        <v xml:space="preserve"> </v>
      </c>
      <c r="F80" s="142" t="str">
        <f t="shared" si="19"/>
        <v xml:space="preserve"> </v>
      </c>
      <c r="G80" s="142" t="str">
        <f t="shared" si="19"/>
        <v xml:space="preserve"> </v>
      </c>
      <c r="H80" s="143" t="str">
        <f t="shared" si="19"/>
        <v xml:space="preserve"> </v>
      </c>
      <c r="I80" s="153"/>
      <c r="J80" s="142" t="str">
        <f t="shared" si="20"/>
        <v xml:space="preserve"> </v>
      </c>
      <c r="K80" s="142" t="str">
        <f t="shared" si="20"/>
        <v xml:space="preserve"> </v>
      </c>
      <c r="L80" s="142" t="str">
        <f t="shared" si="20"/>
        <v xml:space="preserve"> </v>
      </c>
      <c r="M80" s="142" t="str">
        <f t="shared" si="20"/>
        <v xml:space="preserve"> </v>
      </c>
      <c r="N80" s="142" t="str">
        <f t="shared" si="20"/>
        <v xml:space="preserve"> </v>
      </c>
      <c r="O80" s="143" t="str">
        <f t="shared" si="21"/>
        <v xml:space="preserve"> </v>
      </c>
    </row>
    <row r="81" spans="1:35" ht="12" customHeight="1">
      <c r="B81" s="128" t="s">
        <v>95</v>
      </c>
      <c r="C81" s="142" t="str">
        <f t="shared" si="22"/>
        <v xml:space="preserve"> </v>
      </c>
      <c r="D81" s="142" t="str">
        <f t="shared" si="19"/>
        <v xml:space="preserve"> </v>
      </c>
      <c r="E81" s="142" t="str">
        <f t="shared" si="19"/>
        <v xml:space="preserve"> </v>
      </c>
      <c r="F81" s="142" t="str">
        <f t="shared" si="19"/>
        <v xml:space="preserve"> </v>
      </c>
      <c r="G81" s="142" t="str">
        <f t="shared" si="19"/>
        <v xml:space="preserve"> </v>
      </c>
      <c r="H81" s="143" t="str">
        <f t="shared" si="19"/>
        <v xml:space="preserve"> </v>
      </c>
      <c r="I81" s="153"/>
      <c r="J81" s="142" t="str">
        <f t="shared" si="20"/>
        <v xml:space="preserve"> </v>
      </c>
      <c r="K81" s="142" t="str">
        <f t="shared" si="20"/>
        <v xml:space="preserve"> </v>
      </c>
      <c r="L81" s="142" t="str">
        <f t="shared" si="20"/>
        <v xml:space="preserve"> </v>
      </c>
      <c r="M81" s="142" t="str">
        <f t="shared" si="20"/>
        <v xml:space="preserve"> </v>
      </c>
      <c r="N81" s="142" t="str">
        <f t="shared" si="20"/>
        <v xml:space="preserve"> </v>
      </c>
      <c r="O81" s="143" t="str">
        <f t="shared" si="21"/>
        <v xml:space="preserve"> </v>
      </c>
    </row>
    <row r="82" spans="1:35" ht="12" customHeight="1">
      <c r="B82" s="128" t="s">
        <v>96</v>
      </c>
      <c r="C82" s="142" t="str">
        <f t="shared" si="22"/>
        <v xml:space="preserve"> </v>
      </c>
      <c r="D82" s="142" t="str">
        <f t="shared" si="19"/>
        <v xml:space="preserve"> </v>
      </c>
      <c r="E82" s="142" t="str">
        <f t="shared" si="19"/>
        <v xml:space="preserve"> </v>
      </c>
      <c r="F82" s="142" t="str">
        <f t="shared" si="19"/>
        <v xml:space="preserve"> </v>
      </c>
      <c r="G82" s="142" t="str">
        <f t="shared" si="19"/>
        <v xml:space="preserve"> </v>
      </c>
      <c r="H82" s="143" t="str">
        <f t="shared" si="19"/>
        <v xml:space="preserve"> </v>
      </c>
      <c r="I82" s="153"/>
      <c r="J82" s="142" t="str">
        <f t="shared" si="20"/>
        <v xml:space="preserve"> </v>
      </c>
      <c r="K82" s="142" t="str">
        <f t="shared" si="20"/>
        <v xml:space="preserve"> </v>
      </c>
      <c r="L82" s="142" t="str">
        <f t="shared" si="20"/>
        <v xml:space="preserve"> </v>
      </c>
      <c r="M82" s="142" t="str">
        <f t="shared" si="20"/>
        <v xml:space="preserve"> </v>
      </c>
      <c r="N82" s="142" t="str">
        <f t="shared" si="20"/>
        <v xml:space="preserve"> </v>
      </c>
      <c r="O82" s="143" t="str">
        <f t="shared" si="21"/>
        <v xml:space="preserve"> </v>
      </c>
    </row>
    <row r="83" spans="1:35" ht="12" customHeight="1">
      <c r="B83" s="128" t="s">
        <v>97</v>
      </c>
      <c r="C83" s="142" t="str">
        <f t="shared" si="22"/>
        <v xml:space="preserve"> </v>
      </c>
      <c r="D83" s="142" t="str">
        <f t="shared" si="19"/>
        <v xml:space="preserve"> </v>
      </c>
      <c r="E83" s="142" t="str">
        <f t="shared" si="19"/>
        <v xml:space="preserve"> </v>
      </c>
      <c r="F83" s="142" t="str">
        <f t="shared" si="19"/>
        <v xml:space="preserve"> </v>
      </c>
      <c r="G83" s="142" t="str">
        <f t="shared" si="19"/>
        <v xml:space="preserve"> </v>
      </c>
      <c r="H83" s="143" t="str">
        <f t="shared" si="19"/>
        <v xml:space="preserve"> </v>
      </c>
      <c r="I83" s="153"/>
      <c r="J83" s="142" t="str">
        <f t="shared" si="20"/>
        <v xml:space="preserve"> </v>
      </c>
      <c r="K83" s="142" t="str">
        <f t="shared" si="20"/>
        <v xml:space="preserve"> </v>
      </c>
      <c r="L83" s="142" t="str">
        <f t="shared" si="20"/>
        <v xml:space="preserve"> </v>
      </c>
      <c r="M83" s="142" t="str">
        <f t="shared" si="20"/>
        <v xml:space="preserve"> </v>
      </c>
      <c r="N83" s="142" t="str">
        <f t="shared" si="20"/>
        <v xml:space="preserve"> </v>
      </c>
      <c r="O83" s="143" t="str">
        <f t="shared" si="21"/>
        <v xml:space="preserve"> </v>
      </c>
    </row>
    <row r="84" spans="1:35" ht="12" customHeight="1">
      <c r="B84" s="128" t="s">
        <v>98</v>
      </c>
      <c r="C84" s="142" t="str">
        <f t="shared" si="22"/>
        <v xml:space="preserve"> </v>
      </c>
      <c r="D84" s="142" t="str">
        <f t="shared" si="19"/>
        <v xml:space="preserve"> </v>
      </c>
      <c r="E84" s="142" t="str">
        <f t="shared" si="19"/>
        <v xml:space="preserve"> </v>
      </c>
      <c r="F84" s="142" t="str">
        <f t="shared" si="19"/>
        <v xml:space="preserve"> </v>
      </c>
      <c r="G84" s="142" t="str">
        <f t="shared" si="19"/>
        <v xml:space="preserve"> </v>
      </c>
      <c r="H84" s="143" t="str">
        <f t="shared" si="19"/>
        <v xml:space="preserve"> </v>
      </c>
      <c r="I84" s="153"/>
      <c r="J84" s="142" t="str">
        <f t="shared" si="20"/>
        <v xml:space="preserve"> </v>
      </c>
      <c r="K84" s="142" t="str">
        <f t="shared" si="20"/>
        <v xml:space="preserve"> </v>
      </c>
      <c r="L84" s="142" t="str">
        <f t="shared" si="20"/>
        <v xml:space="preserve"> </v>
      </c>
      <c r="M84" s="142" t="str">
        <f t="shared" si="20"/>
        <v xml:space="preserve"> </v>
      </c>
      <c r="N84" s="142" t="str">
        <f t="shared" si="20"/>
        <v xml:space="preserve"> </v>
      </c>
      <c r="O84" s="143" t="str">
        <f t="shared" si="21"/>
        <v xml:space="preserve"> </v>
      </c>
    </row>
    <row r="85" spans="1:35" ht="12" customHeight="1">
      <c r="B85" s="128" t="s">
        <v>99</v>
      </c>
      <c r="C85" s="142" t="str">
        <f t="shared" si="22"/>
        <v xml:space="preserve"> </v>
      </c>
      <c r="D85" s="142" t="str">
        <f t="shared" si="19"/>
        <v xml:space="preserve"> </v>
      </c>
      <c r="E85" s="142" t="str">
        <f t="shared" si="19"/>
        <v xml:space="preserve"> </v>
      </c>
      <c r="F85" s="142" t="str">
        <f t="shared" si="19"/>
        <v xml:space="preserve"> </v>
      </c>
      <c r="G85" s="142" t="str">
        <f t="shared" si="19"/>
        <v xml:space="preserve"> </v>
      </c>
      <c r="H85" s="143" t="str">
        <f t="shared" si="19"/>
        <v xml:space="preserve"> </v>
      </c>
      <c r="I85" s="153"/>
      <c r="J85" s="142" t="str">
        <f t="shared" si="20"/>
        <v xml:space="preserve"> </v>
      </c>
      <c r="K85" s="142" t="str">
        <f t="shared" si="20"/>
        <v xml:space="preserve"> </v>
      </c>
      <c r="L85" s="142" t="str">
        <f t="shared" si="20"/>
        <v xml:space="preserve"> </v>
      </c>
      <c r="M85" s="142" t="str">
        <f t="shared" si="20"/>
        <v xml:space="preserve"> </v>
      </c>
      <c r="N85" s="142" t="str">
        <f t="shared" si="20"/>
        <v xml:space="preserve"> </v>
      </c>
      <c r="O85" s="143" t="str">
        <f t="shared" si="21"/>
        <v xml:space="preserve"> </v>
      </c>
    </row>
    <row r="86" spans="1:35" ht="12" customHeight="1">
      <c r="B86" s="150"/>
    </row>
    <row r="87" spans="1:35" ht="12" customHeight="1">
      <c r="A87" s="110"/>
      <c r="B87" s="154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</row>
    <row r="88" spans="1:35" ht="25.2" customHeight="1">
      <c r="A88" s="155" t="str">
        <f>CONCATENATE("TAX REVENUE MONTHLY REPORT. ",$S$8," ",$S$7)</f>
        <v>TAX REVENUE MONTHLY REPORT. FEBRUARY 2024</v>
      </c>
      <c r="B88" s="155"/>
      <c r="C88" s="156"/>
      <c r="D88" s="157"/>
      <c r="E88" s="158"/>
      <c r="F88" s="159"/>
      <c r="G88" s="159"/>
      <c r="H88" s="81"/>
      <c r="I88" s="160"/>
      <c r="J88" s="160"/>
      <c r="K88" s="161"/>
      <c r="L88" s="160"/>
      <c r="M88" s="160"/>
      <c r="N88" s="160"/>
      <c r="O88" s="70"/>
      <c r="P88" s="162" t="s">
        <v>105</v>
      </c>
    </row>
    <row r="89" spans="1:35" ht="15" hidden="1" customHeight="1">
      <c r="B89" s="163"/>
      <c r="J89" s="65"/>
      <c r="K89" s="65"/>
      <c r="L89" s="65"/>
      <c r="M89" s="65"/>
      <c r="N89" s="65"/>
    </row>
    <row r="90" spans="1:35" ht="15" hidden="1" customHeight="1">
      <c r="J90" s="65"/>
      <c r="K90" s="65"/>
      <c r="L90" s="65"/>
      <c r="M90" s="65"/>
      <c r="N90" s="65"/>
      <c r="AD90" s="140" t="s">
        <v>106</v>
      </c>
    </row>
    <row r="91" spans="1:35" ht="15" hidden="1" customHeight="1">
      <c r="J91" s="65"/>
      <c r="K91" s="65"/>
      <c r="L91" s="65"/>
      <c r="M91" s="65"/>
      <c r="N91" s="65"/>
      <c r="W91" s="120" t="s">
        <v>101</v>
      </c>
      <c r="X91" s="120" t="s">
        <v>102</v>
      </c>
      <c r="Y91" s="120" t="s">
        <v>103</v>
      </c>
      <c r="Z91" s="120" t="s">
        <v>104</v>
      </c>
      <c r="AA91" s="120" t="s">
        <v>8</v>
      </c>
      <c r="AB91" s="140" t="s">
        <v>87</v>
      </c>
      <c r="AD91" s="120" t="s">
        <v>101</v>
      </c>
      <c r="AE91" s="120" t="s">
        <v>102</v>
      </c>
      <c r="AF91" s="120" t="s">
        <v>103</v>
      </c>
      <c r="AG91" s="120" t="s">
        <v>104</v>
      </c>
      <c r="AH91" s="120" t="s">
        <v>8</v>
      </c>
      <c r="AI91" s="140" t="s">
        <v>87</v>
      </c>
    </row>
    <row r="92" spans="1:35" ht="15" hidden="1" customHeight="1">
      <c r="J92" s="65"/>
      <c r="K92" s="65"/>
      <c r="L92" s="65"/>
      <c r="M92" s="65"/>
      <c r="N92" s="65"/>
    </row>
    <row r="93" spans="1:35" ht="15" hidden="1" customHeight="1">
      <c r="J93" s="65"/>
      <c r="K93" s="65"/>
      <c r="L93" s="65"/>
      <c r="M93" s="65"/>
      <c r="N93" s="65"/>
      <c r="U93" s="164">
        <f t="shared" ref="U93:U104" si="23">Año_seleccionado_C.1.2-2</f>
        <v>2022</v>
      </c>
      <c r="V93" s="165" t="s">
        <v>217</v>
      </c>
      <c r="W93" s="166">
        <f t="shared" ref="W93:W128" si="24">SUMIFS(IRPF_neto_total,Años_datos,$U93,Mes_datos,$V93)/1000</f>
        <v>13916.942999999999</v>
      </c>
      <c r="X93" s="166">
        <f t="shared" ref="X93:X128" si="25">SUMIFS(IS_neto_total,Años_datos,$U93,Mes_datos,$V93)/1000</f>
        <v>-2755.2629999999999</v>
      </c>
      <c r="Y93" s="166">
        <f t="shared" ref="Y93:Y128" si="26">SUMIFS(IVA_total_neto,Años_datos,$U93,Mes_datos,$V93)/1000</f>
        <v>5179.7120000000004</v>
      </c>
      <c r="Z93" s="166">
        <f t="shared" ref="Z93:Z128" si="27">SUMIFS(IIEE_neto_total,Años_datos,$U93,Mes_datos,$V93)/1000</f>
        <v>1688.498</v>
      </c>
      <c r="AA93" s="166">
        <f>AB93-SUM(W93:Z93)</f>
        <v>968.37800000000061</v>
      </c>
      <c r="AB93" s="146">
        <f t="shared" ref="AB93:AB128" si="28">SUMIFS(Ingresos_netos_totales,Años_datos,$U93,Mes_datos,$V93)/1000</f>
        <v>18998.268</v>
      </c>
      <c r="AD93" s="166">
        <f>W93</f>
        <v>13916.942999999999</v>
      </c>
      <c r="AE93" s="166">
        <f t="shared" ref="AE93:AI93" si="29">X93</f>
        <v>-2755.2629999999999</v>
      </c>
      <c r="AF93" s="166">
        <f t="shared" si="29"/>
        <v>5179.7120000000004</v>
      </c>
      <c r="AG93" s="166">
        <f t="shared" si="29"/>
        <v>1688.498</v>
      </c>
      <c r="AH93" s="166">
        <f t="shared" si="29"/>
        <v>968.37800000000061</v>
      </c>
      <c r="AI93" s="146">
        <f t="shared" si="29"/>
        <v>18998.268</v>
      </c>
    </row>
    <row r="94" spans="1:35" ht="15" hidden="1" customHeight="1">
      <c r="J94" s="65"/>
      <c r="K94" s="65"/>
      <c r="L94" s="65"/>
      <c r="M94" s="65"/>
      <c r="N94" s="65"/>
      <c r="U94" s="167">
        <f t="shared" si="23"/>
        <v>2022</v>
      </c>
      <c r="V94" s="98" t="s">
        <v>218</v>
      </c>
      <c r="W94" s="125">
        <f t="shared" si="24"/>
        <v>6772.6930000000002</v>
      </c>
      <c r="X94" s="125">
        <f t="shared" si="25"/>
        <v>-49.921999999999997</v>
      </c>
      <c r="Y94" s="125">
        <f t="shared" si="26"/>
        <v>14288.164000000001</v>
      </c>
      <c r="Z94" s="125">
        <f t="shared" si="27"/>
        <v>1505.671</v>
      </c>
      <c r="AA94" s="125">
        <f t="shared" ref="AA94:AA128" si="30">AB94-SUM(W94:Z94)</f>
        <v>844.58599999999933</v>
      </c>
      <c r="AB94" s="146">
        <f t="shared" si="28"/>
        <v>23361.191999999999</v>
      </c>
      <c r="AD94" s="125">
        <f>AD93+W94</f>
        <v>20689.635999999999</v>
      </c>
      <c r="AE94" s="125">
        <f t="shared" ref="AE94:AI104" si="31">AE93+X94</f>
        <v>-2805.1849999999999</v>
      </c>
      <c r="AF94" s="125">
        <f t="shared" si="31"/>
        <v>19467.876</v>
      </c>
      <c r="AG94" s="125">
        <f t="shared" si="31"/>
        <v>3194.1689999999999</v>
      </c>
      <c r="AH94" s="125">
        <f t="shared" si="31"/>
        <v>1812.9639999999999</v>
      </c>
      <c r="AI94" s="146">
        <f t="shared" si="31"/>
        <v>42359.46</v>
      </c>
    </row>
    <row r="95" spans="1:35" ht="15" hidden="1" customHeight="1">
      <c r="J95" s="65"/>
      <c r="K95" s="65"/>
      <c r="L95" s="65"/>
      <c r="M95" s="65"/>
      <c r="N95" s="65"/>
      <c r="U95" s="167">
        <f t="shared" si="23"/>
        <v>2022</v>
      </c>
      <c r="V95" s="98" t="s">
        <v>219</v>
      </c>
      <c r="W95" s="125">
        <f t="shared" si="24"/>
        <v>5926.2820000000002</v>
      </c>
      <c r="X95" s="125">
        <f t="shared" si="25"/>
        <v>122.988</v>
      </c>
      <c r="Y95" s="125">
        <f t="shared" si="26"/>
        <v>4118.3729999999996</v>
      </c>
      <c r="Z95" s="125">
        <f t="shared" si="27"/>
        <v>1525.373</v>
      </c>
      <c r="AA95" s="125">
        <f t="shared" si="30"/>
        <v>696.87700000000041</v>
      </c>
      <c r="AB95" s="146">
        <f t="shared" si="28"/>
        <v>12389.893</v>
      </c>
      <c r="AD95" s="125">
        <f t="shared" ref="AD95:AD104" si="32">AD94+W95</f>
        <v>26615.917999999998</v>
      </c>
      <c r="AE95" s="125">
        <f t="shared" si="31"/>
        <v>-2682.1970000000001</v>
      </c>
      <c r="AF95" s="125">
        <f t="shared" si="31"/>
        <v>23586.249</v>
      </c>
      <c r="AG95" s="125">
        <f t="shared" si="31"/>
        <v>4719.5419999999995</v>
      </c>
      <c r="AH95" s="125">
        <f t="shared" si="31"/>
        <v>2509.8410000000003</v>
      </c>
      <c r="AI95" s="146">
        <f t="shared" si="31"/>
        <v>54749.353000000003</v>
      </c>
    </row>
    <row r="96" spans="1:35" ht="15" hidden="1" customHeight="1">
      <c r="J96" s="65"/>
      <c r="K96" s="65"/>
      <c r="L96" s="65"/>
      <c r="M96" s="65"/>
      <c r="N96" s="65"/>
      <c r="U96" s="167">
        <f t="shared" si="23"/>
        <v>2022</v>
      </c>
      <c r="V96" s="98" t="s">
        <v>220</v>
      </c>
      <c r="W96" s="125">
        <f t="shared" si="24"/>
        <v>10663.831</v>
      </c>
      <c r="X96" s="125">
        <f t="shared" si="25"/>
        <v>7372.183</v>
      </c>
      <c r="Y96" s="125">
        <f t="shared" si="26"/>
        <v>9816.0220000000008</v>
      </c>
      <c r="Z96" s="125">
        <f t="shared" si="27"/>
        <v>2009.6010000000001</v>
      </c>
      <c r="AA96" s="125">
        <f t="shared" si="30"/>
        <v>1310.7669999999998</v>
      </c>
      <c r="AB96" s="146">
        <f t="shared" si="28"/>
        <v>31172.403999999999</v>
      </c>
      <c r="AD96" s="125">
        <f t="shared" si="32"/>
        <v>37279.748999999996</v>
      </c>
      <c r="AE96" s="125">
        <f t="shared" si="31"/>
        <v>4689.9859999999999</v>
      </c>
      <c r="AF96" s="125">
        <f t="shared" si="31"/>
        <v>33402.271000000001</v>
      </c>
      <c r="AG96" s="125">
        <f t="shared" si="31"/>
        <v>6729.143</v>
      </c>
      <c r="AH96" s="125">
        <f t="shared" si="31"/>
        <v>3820.6080000000002</v>
      </c>
      <c r="AI96" s="146">
        <f t="shared" si="31"/>
        <v>85921.756999999998</v>
      </c>
    </row>
    <row r="97" spans="10:35" ht="15" hidden="1" customHeight="1">
      <c r="J97" s="65"/>
      <c r="K97" s="65"/>
      <c r="L97" s="65"/>
      <c r="M97" s="65"/>
      <c r="N97" s="65"/>
      <c r="U97" s="167">
        <f t="shared" si="23"/>
        <v>2022</v>
      </c>
      <c r="V97" s="98" t="s">
        <v>221</v>
      </c>
      <c r="W97" s="125">
        <f t="shared" si="24"/>
        <v>3932.5390000000002</v>
      </c>
      <c r="X97" s="125">
        <f t="shared" si="25"/>
        <v>384.17500000000001</v>
      </c>
      <c r="Y97" s="125">
        <f t="shared" si="26"/>
        <v>4253.7610000000004</v>
      </c>
      <c r="Z97" s="125">
        <f t="shared" si="27"/>
        <v>1611.8920000000001</v>
      </c>
      <c r="AA97" s="125">
        <f t="shared" si="30"/>
        <v>992.8179999999993</v>
      </c>
      <c r="AB97" s="146">
        <f t="shared" si="28"/>
        <v>11175.184999999999</v>
      </c>
      <c r="AD97" s="125">
        <f t="shared" si="32"/>
        <v>41212.287999999993</v>
      </c>
      <c r="AE97" s="125">
        <f t="shared" si="31"/>
        <v>5074.1610000000001</v>
      </c>
      <c r="AF97" s="125">
        <f t="shared" si="31"/>
        <v>37656.031999999999</v>
      </c>
      <c r="AG97" s="125">
        <f t="shared" si="31"/>
        <v>8341.0349999999999</v>
      </c>
      <c r="AH97" s="125">
        <f t="shared" si="31"/>
        <v>4813.4259999999995</v>
      </c>
      <c r="AI97" s="146">
        <f t="shared" si="31"/>
        <v>97096.941999999995</v>
      </c>
    </row>
    <row r="98" spans="10:35" ht="15" hidden="1" customHeight="1">
      <c r="J98" s="65"/>
      <c r="K98" s="65"/>
      <c r="L98" s="65"/>
      <c r="M98" s="65"/>
      <c r="N98" s="65"/>
      <c r="U98" s="167">
        <f t="shared" si="23"/>
        <v>2022</v>
      </c>
      <c r="V98" s="98" t="s">
        <v>222</v>
      </c>
      <c r="W98" s="125">
        <f t="shared" si="24"/>
        <v>3735.6060000000002</v>
      </c>
      <c r="X98" s="125">
        <f t="shared" si="25"/>
        <v>342.47699999999998</v>
      </c>
      <c r="Y98" s="125">
        <f t="shared" si="26"/>
        <v>3332.4940000000001</v>
      </c>
      <c r="Z98" s="125">
        <f t="shared" si="27"/>
        <v>1625.5519999999999</v>
      </c>
      <c r="AA98" s="125">
        <f t="shared" si="30"/>
        <v>875.81399999999849</v>
      </c>
      <c r="AB98" s="146">
        <f t="shared" si="28"/>
        <v>9911.9429999999993</v>
      </c>
      <c r="AD98" s="125">
        <f t="shared" si="32"/>
        <v>44947.893999999993</v>
      </c>
      <c r="AE98" s="125">
        <f t="shared" si="31"/>
        <v>5416.6379999999999</v>
      </c>
      <c r="AF98" s="125">
        <f t="shared" si="31"/>
        <v>40988.525999999998</v>
      </c>
      <c r="AG98" s="125">
        <f t="shared" si="31"/>
        <v>9966.5869999999995</v>
      </c>
      <c r="AH98" s="125">
        <f t="shared" si="31"/>
        <v>5689.239999999998</v>
      </c>
      <c r="AI98" s="146">
        <f t="shared" si="31"/>
        <v>107008.88499999999</v>
      </c>
    </row>
    <row r="99" spans="10:35" ht="15" hidden="1" customHeight="1">
      <c r="J99" s="65"/>
      <c r="K99" s="65"/>
      <c r="L99" s="65"/>
      <c r="M99" s="65"/>
      <c r="N99" s="65"/>
      <c r="U99" s="167">
        <f t="shared" si="23"/>
        <v>2022</v>
      </c>
      <c r="V99" s="98" t="s">
        <v>223</v>
      </c>
      <c r="W99" s="125">
        <f t="shared" si="24"/>
        <v>24211.751</v>
      </c>
      <c r="X99" s="125">
        <f t="shared" si="25"/>
        <v>809.90800000000002</v>
      </c>
      <c r="Y99" s="125">
        <f t="shared" si="26"/>
        <v>11515.367</v>
      </c>
      <c r="Z99" s="125">
        <f t="shared" si="27"/>
        <v>1783.799</v>
      </c>
      <c r="AA99" s="125">
        <f t="shared" si="30"/>
        <v>905.70100000000093</v>
      </c>
      <c r="AB99" s="146">
        <f t="shared" si="28"/>
        <v>39226.525999999998</v>
      </c>
      <c r="AD99" s="125">
        <f t="shared" si="32"/>
        <v>69159.64499999999</v>
      </c>
      <c r="AE99" s="125">
        <f t="shared" si="31"/>
        <v>6226.5460000000003</v>
      </c>
      <c r="AF99" s="125">
        <f t="shared" si="31"/>
        <v>52503.892999999996</v>
      </c>
      <c r="AG99" s="125">
        <f t="shared" si="31"/>
        <v>11750.385999999999</v>
      </c>
      <c r="AH99" s="125">
        <f t="shared" si="31"/>
        <v>6594.9409999999989</v>
      </c>
      <c r="AI99" s="146">
        <f t="shared" si="31"/>
        <v>146235.41099999999</v>
      </c>
    </row>
    <row r="100" spans="10:35" ht="15" hidden="1" customHeight="1">
      <c r="J100" s="65"/>
      <c r="K100" s="65"/>
      <c r="L100" s="65"/>
      <c r="M100" s="65"/>
      <c r="N100" s="65"/>
      <c r="U100" s="167">
        <f t="shared" si="23"/>
        <v>2022</v>
      </c>
      <c r="V100" s="98" t="s">
        <v>224</v>
      </c>
      <c r="W100" s="125">
        <f t="shared" si="24"/>
        <v>6141.7219999999998</v>
      </c>
      <c r="X100" s="125">
        <f t="shared" si="25"/>
        <v>8052.9359999999997</v>
      </c>
      <c r="Y100" s="125">
        <f t="shared" si="26"/>
        <v>5910.3310000000001</v>
      </c>
      <c r="Z100" s="125">
        <f t="shared" si="27"/>
        <v>1740.5809999999999</v>
      </c>
      <c r="AA100" s="125">
        <f t="shared" si="30"/>
        <v>715.98800000000119</v>
      </c>
      <c r="AB100" s="146">
        <f t="shared" si="28"/>
        <v>22561.558000000001</v>
      </c>
      <c r="AD100" s="125">
        <f t="shared" si="32"/>
        <v>75301.366999999984</v>
      </c>
      <c r="AE100" s="125">
        <f t="shared" si="31"/>
        <v>14279.482</v>
      </c>
      <c r="AF100" s="125">
        <f t="shared" si="31"/>
        <v>58414.223999999995</v>
      </c>
      <c r="AG100" s="125">
        <f t="shared" si="31"/>
        <v>13490.966999999999</v>
      </c>
      <c r="AH100" s="125">
        <f t="shared" si="31"/>
        <v>7310.9290000000001</v>
      </c>
      <c r="AI100" s="146">
        <f t="shared" si="31"/>
        <v>168796.96899999998</v>
      </c>
    </row>
    <row r="101" spans="10:35" ht="15" hidden="1" customHeight="1">
      <c r="J101" s="65"/>
      <c r="K101" s="65"/>
      <c r="L101" s="65"/>
      <c r="M101" s="65"/>
      <c r="N101" s="65"/>
      <c r="U101" s="167">
        <f t="shared" si="23"/>
        <v>2022</v>
      </c>
      <c r="V101" s="98" t="s">
        <v>225</v>
      </c>
      <c r="W101" s="125">
        <f t="shared" si="24"/>
        <v>5447.0240000000003</v>
      </c>
      <c r="X101" s="125">
        <f t="shared" si="25"/>
        <v>187.834</v>
      </c>
      <c r="Y101" s="125">
        <f t="shared" si="26"/>
        <v>4658.3289999999997</v>
      </c>
      <c r="Z101" s="125">
        <f t="shared" si="27"/>
        <v>1795.43</v>
      </c>
      <c r="AA101" s="125">
        <f t="shared" si="30"/>
        <v>944.70700000000033</v>
      </c>
      <c r="AB101" s="146">
        <f t="shared" si="28"/>
        <v>13033.324000000001</v>
      </c>
      <c r="AD101" s="125">
        <f t="shared" si="32"/>
        <v>80748.390999999989</v>
      </c>
      <c r="AE101" s="125">
        <f t="shared" si="31"/>
        <v>14467.316000000001</v>
      </c>
      <c r="AF101" s="125">
        <f t="shared" si="31"/>
        <v>63072.552999999993</v>
      </c>
      <c r="AG101" s="125">
        <f t="shared" si="31"/>
        <v>15286.396999999999</v>
      </c>
      <c r="AH101" s="125">
        <f t="shared" si="31"/>
        <v>8255.6360000000004</v>
      </c>
      <c r="AI101" s="146">
        <f t="shared" si="31"/>
        <v>181830.29299999998</v>
      </c>
    </row>
    <row r="102" spans="10:35" ht="15" hidden="1" customHeight="1">
      <c r="J102" s="65"/>
      <c r="K102" s="65"/>
      <c r="L102" s="65"/>
      <c r="M102" s="65"/>
      <c r="N102" s="65"/>
      <c r="U102" s="167">
        <f t="shared" si="23"/>
        <v>2022</v>
      </c>
      <c r="V102" s="98" t="s">
        <v>226</v>
      </c>
      <c r="W102" s="125">
        <f t="shared" si="24"/>
        <v>11968.154</v>
      </c>
      <c r="X102" s="125">
        <f t="shared" si="25"/>
        <v>14920.749</v>
      </c>
      <c r="Y102" s="125">
        <f t="shared" si="26"/>
        <v>12272.787</v>
      </c>
      <c r="Z102" s="125">
        <f t="shared" si="27"/>
        <v>1742.027</v>
      </c>
      <c r="AA102" s="125">
        <f t="shared" si="30"/>
        <v>960.56299999999464</v>
      </c>
      <c r="AB102" s="146">
        <f t="shared" si="28"/>
        <v>41864.28</v>
      </c>
      <c r="AD102" s="125">
        <f t="shared" si="32"/>
        <v>92716.544999999984</v>
      </c>
      <c r="AE102" s="125">
        <f t="shared" si="31"/>
        <v>29388.065000000002</v>
      </c>
      <c r="AF102" s="125">
        <f t="shared" si="31"/>
        <v>75345.34</v>
      </c>
      <c r="AG102" s="125">
        <f t="shared" si="31"/>
        <v>17028.423999999999</v>
      </c>
      <c r="AH102" s="125">
        <f t="shared" si="31"/>
        <v>9216.1989999999951</v>
      </c>
      <c r="AI102" s="146">
        <f t="shared" si="31"/>
        <v>223694.57299999997</v>
      </c>
    </row>
    <row r="103" spans="10:35" ht="15" hidden="1" customHeight="1">
      <c r="J103" s="65"/>
      <c r="K103" s="65"/>
      <c r="L103" s="65"/>
      <c r="M103" s="65"/>
      <c r="N103" s="65"/>
      <c r="U103" s="167">
        <f t="shared" si="23"/>
        <v>2022</v>
      </c>
      <c r="V103" s="98" t="s">
        <v>227</v>
      </c>
      <c r="W103" s="125">
        <f t="shared" si="24"/>
        <v>9873.8179999999993</v>
      </c>
      <c r="X103" s="125">
        <f t="shared" si="25"/>
        <v>-755.20500000000004</v>
      </c>
      <c r="Y103" s="125">
        <f t="shared" si="26"/>
        <v>4380.6540000000005</v>
      </c>
      <c r="Z103" s="125">
        <f t="shared" si="27"/>
        <v>1597.3820000000001</v>
      </c>
      <c r="AA103" s="125">
        <f t="shared" si="30"/>
        <v>998.16500000000087</v>
      </c>
      <c r="AB103" s="146">
        <f t="shared" si="28"/>
        <v>16094.814</v>
      </c>
      <c r="AD103" s="125">
        <f t="shared" si="32"/>
        <v>102590.36299999998</v>
      </c>
      <c r="AE103" s="125">
        <f t="shared" si="31"/>
        <v>28632.86</v>
      </c>
      <c r="AF103" s="125">
        <f t="shared" si="31"/>
        <v>79725.993999999992</v>
      </c>
      <c r="AG103" s="125">
        <f t="shared" si="31"/>
        <v>18625.806</v>
      </c>
      <c r="AH103" s="125">
        <f t="shared" si="31"/>
        <v>10214.363999999996</v>
      </c>
      <c r="AI103" s="146">
        <f t="shared" si="31"/>
        <v>239789.38699999999</v>
      </c>
    </row>
    <row r="104" spans="10:35" ht="15" hidden="1" customHeight="1">
      <c r="J104" s="65"/>
      <c r="K104" s="65"/>
      <c r="L104" s="65"/>
      <c r="M104" s="65"/>
      <c r="N104" s="65"/>
      <c r="U104" s="167">
        <f t="shared" si="23"/>
        <v>2022</v>
      </c>
      <c r="V104" s="98" t="s">
        <v>228</v>
      </c>
      <c r="W104" s="125">
        <f t="shared" si="24"/>
        <v>6895.06</v>
      </c>
      <c r="X104" s="125">
        <f t="shared" si="25"/>
        <v>3543.24</v>
      </c>
      <c r="Y104" s="125">
        <f t="shared" si="26"/>
        <v>2869.0419999999999</v>
      </c>
      <c r="Z104" s="125">
        <f t="shared" si="27"/>
        <v>1598.2429999999999</v>
      </c>
      <c r="AA104" s="125">
        <f t="shared" si="30"/>
        <v>768.46500000000015</v>
      </c>
      <c r="AB104" s="146">
        <f t="shared" si="28"/>
        <v>15674.05</v>
      </c>
      <c r="AD104" s="125">
        <f t="shared" si="32"/>
        <v>109485.42299999998</v>
      </c>
      <c r="AE104" s="125">
        <f t="shared" si="31"/>
        <v>32176.1</v>
      </c>
      <c r="AF104" s="125">
        <f t="shared" si="31"/>
        <v>82595.035999999993</v>
      </c>
      <c r="AG104" s="125">
        <f t="shared" si="31"/>
        <v>20224.048999999999</v>
      </c>
      <c r="AH104" s="125">
        <f t="shared" si="31"/>
        <v>10982.828999999996</v>
      </c>
      <c r="AI104" s="146">
        <f t="shared" si="31"/>
        <v>255463.43699999998</v>
      </c>
    </row>
    <row r="105" spans="10:35" ht="15" hidden="1" customHeight="1">
      <c r="J105" s="65"/>
      <c r="K105" s="65"/>
      <c r="L105" s="65"/>
      <c r="M105" s="65"/>
      <c r="N105" s="65"/>
      <c r="U105" s="164">
        <f t="shared" ref="U105:U116" si="33">Año_seleccionado_C.1.2-1</f>
        <v>2023</v>
      </c>
      <c r="V105" s="165" t="s">
        <v>217</v>
      </c>
      <c r="W105" s="166">
        <f t="shared" si="24"/>
        <v>15682.742</v>
      </c>
      <c r="X105" s="166">
        <f t="shared" si="25"/>
        <v>-5926.5659999999998</v>
      </c>
      <c r="Y105" s="166">
        <f t="shared" si="26"/>
        <v>5103.5680000000002</v>
      </c>
      <c r="Z105" s="166">
        <f t="shared" si="27"/>
        <v>1652.1020000000001</v>
      </c>
      <c r="AA105" s="166">
        <f t="shared" si="30"/>
        <v>1060.4580000000024</v>
      </c>
      <c r="AB105" s="146">
        <f t="shared" si="28"/>
        <v>17572.304</v>
      </c>
      <c r="AD105" s="166">
        <f>W105</f>
        <v>15682.742</v>
      </c>
      <c r="AE105" s="166">
        <f t="shared" ref="AE105:AI105" si="34">X105</f>
        <v>-5926.5659999999998</v>
      </c>
      <c r="AF105" s="166">
        <f t="shared" si="34"/>
        <v>5103.5680000000002</v>
      </c>
      <c r="AG105" s="166">
        <f t="shared" si="34"/>
        <v>1652.1020000000001</v>
      </c>
      <c r="AH105" s="166">
        <f t="shared" si="34"/>
        <v>1060.4580000000024</v>
      </c>
      <c r="AI105" s="146">
        <f t="shared" si="34"/>
        <v>17572.304</v>
      </c>
    </row>
    <row r="106" spans="10:35" ht="15" hidden="1" customHeight="1">
      <c r="J106" s="65"/>
      <c r="K106" s="65"/>
      <c r="L106" s="65"/>
      <c r="M106" s="65"/>
      <c r="N106" s="65"/>
      <c r="U106" s="167">
        <f t="shared" si="33"/>
        <v>2023</v>
      </c>
      <c r="V106" s="98" t="s">
        <v>218</v>
      </c>
      <c r="W106" s="125">
        <f t="shared" si="24"/>
        <v>7444.1689999999999</v>
      </c>
      <c r="X106" s="125">
        <f t="shared" si="25"/>
        <v>-102.017</v>
      </c>
      <c r="Y106" s="125">
        <f t="shared" si="26"/>
        <v>15782.743</v>
      </c>
      <c r="Z106" s="125">
        <f t="shared" si="27"/>
        <v>1426.3520000000001</v>
      </c>
      <c r="AA106" s="125">
        <f t="shared" si="30"/>
        <v>924.21800000000076</v>
      </c>
      <c r="AB106" s="146">
        <f t="shared" si="28"/>
        <v>25475.465</v>
      </c>
      <c r="AD106" s="125">
        <f>AD105+W106</f>
        <v>23126.911</v>
      </c>
      <c r="AE106" s="125">
        <f t="shared" ref="AE106:AI116" si="35">AE105+X106</f>
        <v>-6028.5829999999996</v>
      </c>
      <c r="AF106" s="125">
        <f t="shared" si="35"/>
        <v>20886.311000000002</v>
      </c>
      <c r="AG106" s="125">
        <f t="shared" si="35"/>
        <v>3078.4540000000002</v>
      </c>
      <c r="AH106" s="125">
        <f t="shared" si="35"/>
        <v>1984.6760000000031</v>
      </c>
      <c r="AI106" s="146">
        <f t="shared" si="35"/>
        <v>43047.769</v>
      </c>
    </row>
    <row r="107" spans="10:35" ht="15" hidden="1" customHeight="1">
      <c r="J107" s="65"/>
      <c r="K107" s="65"/>
      <c r="L107" s="65"/>
      <c r="M107" s="65"/>
      <c r="N107" s="65"/>
      <c r="U107" s="167">
        <f t="shared" si="33"/>
        <v>2023</v>
      </c>
      <c r="V107" s="98" t="s">
        <v>219</v>
      </c>
      <c r="W107" s="125">
        <f t="shared" si="24"/>
        <v>6610.5479999999998</v>
      </c>
      <c r="X107" s="125">
        <f t="shared" si="25"/>
        <v>-91.105999999999995</v>
      </c>
      <c r="Y107" s="125">
        <f t="shared" si="26"/>
        <v>4387.8519999999999</v>
      </c>
      <c r="Z107" s="125">
        <f t="shared" si="27"/>
        <v>1499.35</v>
      </c>
      <c r="AA107" s="125">
        <f t="shared" si="30"/>
        <v>695.67900000000009</v>
      </c>
      <c r="AB107" s="146">
        <f t="shared" si="28"/>
        <v>13102.323</v>
      </c>
      <c r="AD107" s="125">
        <f t="shared" ref="AD107:AD116" si="36">AD106+W107</f>
        <v>29737.458999999999</v>
      </c>
      <c r="AE107" s="125">
        <f t="shared" si="35"/>
        <v>-6119.6889999999994</v>
      </c>
      <c r="AF107" s="125">
        <f t="shared" si="35"/>
        <v>25274.163</v>
      </c>
      <c r="AG107" s="125">
        <f t="shared" si="35"/>
        <v>4577.8040000000001</v>
      </c>
      <c r="AH107" s="125">
        <f t="shared" si="35"/>
        <v>2680.3550000000032</v>
      </c>
      <c r="AI107" s="146">
        <f t="shared" si="35"/>
        <v>56150.092000000004</v>
      </c>
    </row>
    <row r="108" spans="10:35" ht="15" hidden="1" customHeight="1">
      <c r="J108" s="65"/>
      <c r="K108" s="65"/>
      <c r="L108" s="65"/>
      <c r="M108" s="65"/>
      <c r="N108" s="65"/>
      <c r="U108" s="167">
        <f t="shared" si="33"/>
        <v>2023</v>
      </c>
      <c r="V108" s="98" t="s">
        <v>220</v>
      </c>
      <c r="W108" s="125">
        <f t="shared" si="24"/>
        <v>11873.834000000001</v>
      </c>
      <c r="X108" s="125">
        <f t="shared" si="25"/>
        <v>9263.0040000000008</v>
      </c>
      <c r="Y108" s="125">
        <f t="shared" si="26"/>
        <v>10111.011</v>
      </c>
      <c r="Z108" s="125">
        <f t="shared" si="27"/>
        <v>2032.5809999999999</v>
      </c>
      <c r="AA108" s="125">
        <f t="shared" si="30"/>
        <v>1248.0659999999989</v>
      </c>
      <c r="AB108" s="146">
        <f t="shared" si="28"/>
        <v>34528.495999999999</v>
      </c>
      <c r="AD108" s="125">
        <f t="shared" si="36"/>
        <v>41611.292999999998</v>
      </c>
      <c r="AE108" s="125">
        <f t="shared" si="35"/>
        <v>3143.3150000000014</v>
      </c>
      <c r="AF108" s="125">
        <f t="shared" si="35"/>
        <v>35385.173999999999</v>
      </c>
      <c r="AG108" s="125">
        <f t="shared" si="35"/>
        <v>6610.3850000000002</v>
      </c>
      <c r="AH108" s="125">
        <f t="shared" si="35"/>
        <v>3928.4210000000021</v>
      </c>
      <c r="AI108" s="146">
        <f t="shared" si="35"/>
        <v>90678.588000000003</v>
      </c>
    </row>
    <row r="109" spans="10:35" ht="15" hidden="1" customHeight="1">
      <c r="J109" s="65"/>
      <c r="K109" s="65"/>
      <c r="L109" s="65"/>
      <c r="M109" s="65"/>
      <c r="N109" s="65"/>
      <c r="U109" s="167">
        <f t="shared" si="33"/>
        <v>2023</v>
      </c>
      <c r="V109" s="98" t="s">
        <v>221</v>
      </c>
      <c r="W109" s="125">
        <f t="shared" si="24"/>
        <v>4494.5540000000001</v>
      </c>
      <c r="X109" s="125">
        <f t="shared" si="25"/>
        <v>-651.59400000000005</v>
      </c>
      <c r="Y109" s="125">
        <f t="shared" si="26"/>
        <v>4093.221</v>
      </c>
      <c r="Z109" s="125">
        <f t="shared" si="27"/>
        <v>1603.8420000000001</v>
      </c>
      <c r="AA109" s="125">
        <f t="shared" si="30"/>
        <v>979.96699999999873</v>
      </c>
      <c r="AB109" s="146">
        <f t="shared" si="28"/>
        <v>10519.99</v>
      </c>
      <c r="AD109" s="125">
        <f t="shared" si="36"/>
        <v>46105.846999999994</v>
      </c>
      <c r="AE109" s="125">
        <f t="shared" si="35"/>
        <v>2491.7210000000014</v>
      </c>
      <c r="AF109" s="125">
        <f t="shared" si="35"/>
        <v>39478.394999999997</v>
      </c>
      <c r="AG109" s="125">
        <f t="shared" si="35"/>
        <v>8214.2270000000008</v>
      </c>
      <c r="AH109" s="125">
        <f t="shared" si="35"/>
        <v>4908.3880000000008</v>
      </c>
      <c r="AI109" s="146">
        <f t="shared" si="35"/>
        <v>101198.57800000001</v>
      </c>
    </row>
    <row r="110" spans="10:35" ht="15" hidden="1" customHeight="1">
      <c r="J110" s="65"/>
      <c r="K110" s="65"/>
      <c r="L110" s="65"/>
      <c r="M110" s="65"/>
      <c r="N110" s="65"/>
      <c r="U110" s="167">
        <f t="shared" si="33"/>
        <v>2023</v>
      </c>
      <c r="V110" s="98" t="s">
        <v>222</v>
      </c>
      <c r="W110" s="125">
        <f t="shared" si="24"/>
        <v>3825.453</v>
      </c>
      <c r="X110" s="125">
        <f t="shared" si="25"/>
        <v>296.28399999999999</v>
      </c>
      <c r="Y110" s="125">
        <f t="shared" si="26"/>
        <v>2979.4029999999998</v>
      </c>
      <c r="Z110" s="125">
        <f t="shared" si="27"/>
        <v>1746.2950000000001</v>
      </c>
      <c r="AA110" s="125">
        <f t="shared" si="30"/>
        <v>996.54800000000068</v>
      </c>
      <c r="AB110" s="146">
        <f t="shared" si="28"/>
        <v>9843.9830000000002</v>
      </c>
      <c r="AD110" s="125">
        <f t="shared" si="36"/>
        <v>49931.299999999996</v>
      </c>
      <c r="AE110" s="125">
        <f t="shared" si="35"/>
        <v>2788.0050000000015</v>
      </c>
      <c r="AF110" s="125">
        <f t="shared" si="35"/>
        <v>42457.797999999995</v>
      </c>
      <c r="AG110" s="125">
        <f t="shared" si="35"/>
        <v>9960.5220000000008</v>
      </c>
      <c r="AH110" s="125">
        <f t="shared" si="35"/>
        <v>5904.9360000000015</v>
      </c>
      <c r="AI110" s="146">
        <f t="shared" si="35"/>
        <v>111042.56100000002</v>
      </c>
    </row>
    <row r="111" spans="10:35" ht="15" hidden="1" customHeight="1">
      <c r="J111" s="65"/>
      <c r="K111" s="65"/>
      <c r="L111" s="65"/>
      <c r="M111" s="65"/>
      <c r="N111" s="65"/>
      <c r="U111" s="167">
        <f t="shared" si="33"/>
        <v>2023</v>
      </c>
      <c r="V111" s="98" t="s">
        <v>223</v>
      </c>
      <c r="W111" s="125">
        <f t="shared" si="24"/>
        <v>25930.609</v>
      </c>
      <c r="X111" s="125">
        <f t="shared" si="25"/>
        <v>1004.266</v>
      </c>
      <c r="Y111" s="125">
        <f t="shared" si="26"/>
        <v>11171.414000000001</v>
      </c>
      <c r="Z111" s="125">
        <f t="shared" si="27"/>
        <v>1836.43</v>
      </c>
      <c r="AA111" s="125">
        <f t="shared" si="30"/>
        <v>967.47799999999552</v>
      </c>
      <c r="AB111" s="146">
        <f t="shared" si="28"/>
        <v>40910.197</v>
      </c>
      <c r="AD111" s="125">
        <f t="shared" si="36"/>
        <v>75861.909</v>
      </c>
      <c r="AE111" s="125">
        <f t="shared" si="35"/>
        <v>3792.2710000000015</v>
      </c>
      <c r="AF111" s="125">
        <f t="shared" si="35"/>
        <v>53629.212</v>
      </c>
      <c r="AG111" s="125">
        <f t="shared" si="35"/>
        <v>11796.952000000001</v>
      </c>
      <c r="AH111" s="125">
        <f t="shared" si="35"/>
        <v>6872.413999999997</v>
      </c>
      <c r="AI111" s="146">
        <f t="shared" si="35"/>
        <v>151952.75800000003</v>
      </c>
    </row>
    <row r="112" spans="10:35" ht="15" hidden="1" customHeight="1">
      <c r="J112" s="65"/>
      <c r="K112" s="65"/>
      <c r="L112" s="65"/>
      <c r="M112" s="65"/>
      <c r="N112" s="65"/>
      <c r="U112" s="167">
        <f t="shared" si="33"/>
        <v>2023</v>
      </c>
      <c r="V112" s="98" t="s">
        <v>224</v>
      </c>
      <c r="W112" s="125">
        <f t="shared" si="24"/>
        <v>6643.076</v>
      </c>
      <c r="X112" s="125">
        <f t="shared" si="25"/>
        <v>8939.1270000000004</v>
      </c>
      <c r="Y112" s="125">
        <f t="shared" si="26"/>
        <v>5354.4889999999996</v>
      </c>
      <c r="Z112" s="125">
        <f t="shared" si="27"/>
        <v>1853.557</v>
      </c>
      <c r="AA112" s="125">
        <f t="shared" si="30"/>
        <v>1571.7039999999979</v>
      </c>
      <c r="AB112" s="146">
        <f t="shared" si="28"/>
        <v>24361.953000000001</v>
      </c>
      <c r="AD112" s="125">
        <f t="shared" si="36"/>
        <v>82504.985000000001</v>
      </c>
      <c r="AE112" s="125">
        <f t="shared" si="35"/>
        <v>12731.398000000001</v>
      </c>
      <c r="AF112" s="125">
        <f t="shared" si="35"/>
        <v>58983.701000000001</v>
      </c>
      <c r="AG112" s="125">
        <f t="shared" si="35"/>
        <v>13650.509000000002</v>
      </c>
      <c r="AH112" s="125">
        <f t="shared" si="35"/>
        <v>8444.1179999999949</v>
      </c>
      <c r="AI112" s="146">
        <f t="shared" si="35"/>
        <v>176314.71100000004</v>
      </c>
    </row>
    <row r="113" spans="10:35" ht="15" hidden="1" customHeight="1">
      <c r="J113" s="65"/>
      <c r="K113" s="65"/>
      <c r="L113" s="65"/>
      <c r="M113" s="65"/>
      <c r="N113" s="65"/>
      <c r="U113" s="167">
        <f t="shared" si="33"/>
        <v>2023</v>
      </c>
      <c r="V113" s="98" t="s">
        <v>225</v>
      </c>
      <c r="W113" s="125">
        <f t="shared" si="24"/>
        <v>6039.8270000000002</v>
      </c>
      <c r="X113" s="125">
        <f t="shared" si="25"/>
        <v>126.764</v>
      </c>
      <c r="Y113" s="125">
        <f t="shared" si="26"/>
        <v>4968.0940000000001</v>
      </c>
      <c r="Z113" s="125">
        <f t="shared" si="27"/>
        <v>1819.288</v>
      </c>
      <c r="AA113" s="125">
        <f t="shared" si="30"/>
        <v>795.58799999999792</v>
      </c>
      <c r="AB113" s="146">
        <f t="shared" si="28"/>
        <v>13749.561</v>
      </c>
      <c r="AD113" s="125">
        <f t="shared" si="36"/>
        <v>88544.812000000005</v>
      </c>
      <c r="AE113" s="125">
        <f t="shared" si="35"/>
        <v>12858.162</v>
      </c>
      <c r="AF113" s="125">
        <f t="shared" si="35"/>
        <v>63951.794999999998</v>
      </c>
      <c r="AG113" s="125">
        <f t="shared" si="35"/>
        <v>15469.797000000002</v>
      </c>
      <c r="AH113" s="125">
        <f t="shared" si="35"/>
        <v>9239.7059999999929</v>
      </c>
      <c r="AI113" s="146">
        <f t="shared" si="35"/>
        <v>190064.27200000003</v>
      </c>
    </row>
    <row r="114" spans="10:35" ht="15" hidden="1" customHeight="1">
      <c r="J114" s="65"/>
      <c r="K114" s="65"/>
      <c r="L114" s="65"/>
      <c r="M114" s="65"/>
      <c r="N114" s="65"/>
      <c r="U114" s="167">
        <f t="shared" si="33"/>
        <v>2023</v>
      </c>
      <c r="V114" s="98" t="s">
        <v>226</v>
      </c>
      <c r="W114" s="125">
        <f t="shared" si="24"/>
        <v>13041.517</v>
      </c>
      <c r="X114" s="125">
        <f t="shared" si="25"/>
        <v>17491.699000000001</v>
      </c>
      <c r="Y114" s="125">
        <f t="shared" si="26"/>
        <v>12078.346</v>
      </c>
      <c r="Z114" s="125">
        <f t="shared" si="27"/>
        <v>1845.577</v>
      </c>
      <c r="AA114" s="125">
        <f t="shared" si="30"/>
        <v>869.69600000000355</v>
      </c>
      <c r="AB114" s="146">
        <f t="shared" si="28"/>
        <v>45326.834999999999</v>
      </c>
      <c r="AD114" s="125">
        <f t="shared" si="36"/>
        <v>101586.329</v>
      </c>
      <c r="AE114" s="125">
        <f t="shared" si="35"/>
        <v>30349.861000000001</v>
      </c>
      <c r="AF114" s="125">
        <f t="shared" si="35"/>
        <v>76030.141000000003</v>
      </c>
      <c r="AG114" s="125">
        <f t="shared" si="35"/>
        <v>17315.374000000003</v>
      </c>
      <c r="AH114" s="125">
        <f t="shared" si="35"/>
        <v>10109.401999999996</v>
      </c>
      <c r="AI114" s="146">
        <f t="shared" si="35"/>
        <v>235391.10700000002</v>
      </c>
    </row>
    <row r="115" spans="10:35" ht="15" hidden="1" customHeight="1">
      <c r="J115" s="65"/>
      <c r="K115" s="65"/>
      <c r="L115" s="65"/>
      <c r="M115" s="65"/>
      <c r="N115" s="65"/>
      <c r="U115" s="167">
        <f t="shared" si="33"/>
        <v>2023</v>
      </c>
      <c r="V115" s="98" t="s">
        <v>227</v>
      </c>
      <c r="W115" s="125">
        <f t="shared" si="24"/>
        <v>11004.448</v>
      </c>
      <c r="X115" s="125">
        <f t="shared" si="25"/>
        <v>-459.24700000000001</v>
      </c>
      <c r="Y115" s="125">
        <f t="shared" si="26"/>
        <v>4357.0590000000002</v>
      </c>
      <c r="Z115" s="125">
        <f t="shared" si="27"/>
        <v>1787.932</v>
      </c>
      <c r="AA115" s="125">
        <f t="shared" si="30"/>
        <v>845.78299999999581</v>
      </c>
      <c r="AB115" s="146">
        <f t="shared" si="28"/>
        <v>17535.974999999999</v>
      </c>
      <c r="AD115" s="125">
        <f t="shared" si="36"/>
        <v>112590.777</v>
      </c>
      <c r="AE115" s="125">
        <f t="shared" si="35"/>
        <v>29890.614000000001</v>
      </c>
      <c r="AF115" s="125">
        <f t="shared" si="35"/>
        <v>80387.199999999997</v>
      </c>
      <c r="AG115" s="125">
        <f t="shared" si="35"/>
        <v>19103.306000000004</v>
      </c>
      <c r="AH115" s="125">
        <f t="shared" si="35"/>
        <v>10955.184999999992</v>
      </c>
      <c r="AI115" s="146">
        <f t="shared" si="35"/>
        <v>252927.08200000002</v>
      </c>
    </row>
    <row r="116" spans="10:35" ht="15" hidden="1" customHeight="1">
      <c r="J116" s="65"/>
      <c r="K116" s="65"/>
      <c r="L116" s="65"/>
      <c r="M116" s="65"/>
      <c r="N116" s="65"/>
      <c r="U116" s="167">
        <f t="shared" si="33"/>
        <v>2023</v>
      </c>
      <c r="V116" s="98" t="s">
        <v>228</v>
      </c>
      <c r="W116" s="125">
        <f t="shared" si="24"/>
        <v>7689.6030000000001</v>
      </c>
      <c r="X116" s="125">
        <f t="shared" si="25"/>
        <v>5169.0140000000001</v>
      </c>
      <c r="Y116" s="125">
        <f t="shared" si="26"/>
        <v>3521.9659999999999</v>
      </c>
      <c r="Z116" s="125">
        <f t="shared" si="27"/>
        <v>1653.825</v>
      </c>
      <c r="AA116" s="125">
        <f t="shared" si="30"/>
        <v>973.58499999999913</v>
      </c>
      <c r="AB116" s="146">
        <f t="shared" si="28"/>
        <v>19007.992999999999</v>
      </c>
      <c r="AD116" s="125">
        <f t="shared" si="36"/>
        <v>120280.38</v>
      </c>
      <c r="AE116" s="125">
        <f t="shared" si="35"/>
        <v>35059.628000000004</v>
      </c>
      <c r="AF116" s="125">
        <f t="shared" si="35"/>
        <v>83909.165999999997</v>
      </c>
      <c r="AG116" s="125">
        <f t="shared" si="35"/>
        <v>20757.131000000005</v>
      </c>
      <c r="AH116" s="125">
        <f t="shared" si="35"/>
        <v>11928.769999999991</v>
      </c>
      <c r="AI116" s="146">
        <f t="shared" si="35"/>
        <v>271935.07500000001</v>
      </c>
    </row>
    <row r="117" spans="10:35" ht="15" hidden="1" customHeight="1">
      <c r="J117" s="65"/>
      <c r="K117" s="65"/>
      <c r="L117" s="65"/>
      <c r="M117" s="65"/>
      <c r="N117" s="65"/>
      <c r="R117"/>
      <c r="S117" s="129">
        <f>IF(S118="",IF(V117=" ","",1),2)</f>
        <v>2</v>
      </c>
      <c r="T117" s="2" t="str">
        <f>IF(SUMIFS(Data!$D$8:$D$367,Data!$A$8:$A$367,$U117,Data!$C$8:$C$367,$V105),"NO","SI")</f>
        <v>NO</v>
      </c>
      <c r="U117" s="164">
        <f t="shared" ref="U117:U128" si="37">Año_seleccionado_C.1.2</f>
        <v>2024</v>
      </c>
      <c r="V117" s="165" t="s">
        <v>217</v>
      </c>
      <c r="W117" s="166">
        <f t="shared" si="24"/>
        <v>16601.722000000002</v>
      </c>
      <c r="X117" s="166">
        <f t="shared" si="25"/>
        <v>-6065.5839999999998</v>
      </c>
      <c r="Y117" s="166">
        <f t="shared" si="26"/>
        <v>5455.732</v>
      </c>
      <c r="Z117" s="166">
        <f t="shared" si="27"/>
        <v>1611.6990000000001</v>
      </c>
      <c r="AA117" s="166">
        <f t="shared" si="30"/>
        <v>1133.5649999999951</v>
      </c>
      <c r="AB117" s="146">
        <f t="shared" si="28"/>
        <v>18737.133999999998</v>
      </c>
      <c r="AD117" s="166">
        <f>W117</f>
        <v>16601.722000000002</v>
      </c>
      <c r="AE117" s="166">
        <f t="shared" ref="AE117:AI117" si="38">X117</f>
        <v>-6065.5839999999998</v>
      </c>
      <c r="AF117" s="166">
        <f t="shared" si="38"/>
        <v>5455.732</v>
      </c>
      <c r="AG117" s="166">
        <f t="shared" si="38"/>
        <v>1611.6990000000001</v>
      </c>
      <c r="AH117" s="166">
        <f t="shared" si="38"/>
        <v>1133.5649999999951</v>
      </c>
      <c r="AI117" s="146">
        <f t="shared" si="38"/>
        <v>18737.133999999998</v>
      </c>
    </row>
    <row r="118" spans="10:35" ht="15" hidden="1" customHeight="1">
      <c r="J118" s="65"/>
      <c r="K118" s="65"/>
      <c r="L118" s="65"/>
      <c r="M118" s="65"/>
      <c r="N118" s="65"/>
      <c r="R118"/>
      <c r="S118" s="129">
        <f t="shared" ref="S118:S127" si="39">IF(S119="",IF(V118=" ","",1),2)</f>
        <v>1</v>
      </c>
      <c r="T118" s="2" t="str">
        <f>IF(SUMIFS(Data!$D$8:$D$367,Data!$A$8:$A$367,$U118,Data!$C$8:$C$367,$V106),"NO","SI")</f>
        <v>NO</v>
      </c>
      <c r="U118" s="167">
        <f t="shared" si="37"/>
        <v>2024</v>
      </c>
      <c r="V118" s="98" t="str">
        <f>IF($T118="SI"," ",V106)</f>
        <v>FEBRUARY</v>
      </c>
      <c r="W118" s="125">
        <f t="shared" si="24"/>
        <v>8209.4650000000001</v>
      </c>
      <c r="X118" s="125">
        <f t="shared" si="25"/>
        <v>-188.37299999999999</v>
      </c>
      <c r="Y118" s="125">
        <f t="shared" si="26"/>
        <v>16271.115</v>
      </c>
      <c r="Z118" s="125">
        <f t="shared" si="27"/>
        <v>1769.721</v>
      </c>
      <c r="AA118" s="125">
        <f t="shared" si="30"/>
        <v>918.04299999999785</v>
      </c>
      <c r="AB118" s="146">
        <f t="shared" si="28"/>
        <v>26979.971000000001</v>
      </c>
      <c r="AD118" s="125">
        <f>AD117+W118</f>
        <v>24811.187000000002</v>
      </c>
      <c r="AE118" s="125">
        <f t="shared" ref="AE118:AI128" si="40">AE117+X118</f>
        <v>-6253.9569999999994</v>
      </c>
      <c r="AF118" s="125">
        <f t="shared" si="40"/>
        <v>21726.847000000002</v>
      </c>
      <c r="AG118" s="125">
        <f t="shared" si="40"/>
        <v>3381.42</v>
      </c>
      <c r="AH118" s="125">
        <f t="shared" si="40"/>
        <v>2051.6079999999929</v>
      </c>
      <c r="AI118" s="146">
        <f t="shared" si="40"/>
        <v>45717.104999999996</v>
      </c>
    </row>
    <row r="119" spans="10:35" ht="15" hidden="1" customHeight="1">
      <c r="J119" s="65"/>
      <c r="K119" s="65"/>
      <c r="L119" s="65"/>
      <c r="M119" s="65"/>
      <c r="N119" s="65"/>
      <c r="R119"/>
      <c r="S119" s="129" t="str">
        <f t="shared" si="39"/>
        <v/>
      </c>
      <c r="T119" s="2" t="str">
        <f>IF(SUMIFS(Data!$D$8:$D$367,Data!$A$8:$A$367,$U119,Data!$C$8:$C$367,$V107),"NO","SI")</f>
        <v>SI</v>
      </c>
      <c r="U119" s="167">
        <f t="shared" si="37"/>
        <v>2024</v>
      </c>
      <c r="V119" s="98" t="str">
        <f t="shared" ref="V119:V128" si="41">IF($T119="SI"," ",V107)</f>
        <v xml:space="preserve"> </v>
      </c>
      <c r="W119" s="125">
        <f t="shared" si="24"/>
        <v>0</v>
      </c>
      <c r="X119" s="125">
        <f t="shared" si="25"/>
        <v>0</v>
      </c>
      <c r="Y119" s="125">
        <f t="shared" si="26"/>
        <v>0</v>
      </c>
      <c r="Z119" s="125">
        <f t="shared" si="27"/>
        <v>0</v>
      </c>
      <c r="AA119" s="125">
        <f t="shared" si="30"/>
        <v>0</v>
      </c>
      <c r="AB119" s="146">
        <f t="shared" si="28"/>
        <v>0</v>
      </c>
      <c r="AD119" s="125">
        <f t="shared" ref="AD119:AD128" si="42">AD118+W119</f>
        <v>24811.187000000002</v>
      </c>
      <c r="AE119" s="125">
        <f t="shared" si="40"/>
        <v>-6253.9569999999994</v>
      </c>
      <c r="AF119" s="125">
        <f t="shared" si="40"/>
        <v>21726.847000000002</v>
      </c>
      <c r="AG119" s="125">
        <f t="shared" si="40"/>
        <v>3381.42</v>
      </c>
      <c r="AH119" s="125">
        <f t="shared" si="40"/>
        <v>2051.6079999999929</v>
      </c>
      <c r="AI119" s="146">
        <f t="shared" si="40"/>
        <v>45717.104999999996</v>
      </c>
    </row>
    <row r="120" spans="10:35" ht="15" hidden="1" customHeight="1">
      <c r="J120" s="65"/>
      <c r="K120" s="65"/>
      <c r="L120" s="65"/>
      <c r="M120" s="65"/>
      <c r="N120" s="65"/>
      <c r="R120"/>
      <c r="S120" s="129" t="str">
        <f t="shared" si="39"/>
        <v/>
      </c>
      <c r="T120" s="2" t="str">
        <f>IF(SUMIFS(Data!$D$8:$D$367,Data!$A$8:$A$367,$U120,Data!$C$8:$C$367,$V108),"NO","SI")</f>
        <v>SI</v>
      </c>
      <c r="U120" s="167">
        <f t="shared" si="37"/>
        <v>2024</v>
      </c>
      <c r="V120" s="98" t="str">
        <f t="shared" si="41"/>
        <v xml:space="preserve"> </v>
      </c>
      <c r="W120" s="125">
        <f t="shared" si="24"/>
        <v>0</v>
      </c>
      <c r="X120" s="125">
        <f t="shared" si="25"/>
        <v>0</v>
      </c>
      <c r="Y120" s="125">
        <f t="shared" si="26"/>
        <v>0</v>
      </c>
      <c r="Z120" s="125">
        <f t="shared" si="27"/>
        <v>0</v>
      </c>
      <c r="AA120" s="125">
        <f t="shared" si="30"/>
        <v>0</v>
      </c>
      <c r="AB120" s="146">
        <f t="shared" si="28"/>
        <v>0</v>
      </c>
      <c r="AD120" s="125">
        <f t="shared" si="42"/>
        <v>24811.187000000002</v>
      </c>
      <c r="AE120" s="125">
        <f t="shared" si="40"/>
        <v>-6253.9569999999994</v>
      </c>
      <c r="AF120" s="125">
        <f t="shared" si="40"/>
        <v>21726.847000000002</v>
      </c>
      <c r="AG120" s="125">
        <f t="shared" si="40"/>
        <v>3381.42</v>
      </c>
      <c r="AH120" s="125">
        <f t="shared" si="40"/>
        <v>2051.6079999999929</v>
      </c>
      <c r="AI120" s="146">
        <f t="shared" si="40"/>
        <v>45717.104999999996</v>
      </c>
    </row>
    <row r="121" spans="10:35" ht="15" hidden="1" customHeight="1">
      <c r="J121" s="65"/>
      <c r="K121" s="65"/>
      <c r="L121" s="65"/>
      <c r="M121" s="65"/>
      <c r="N121" s="65"/>
      <c r="R121"/>
      <c r="S121" s="129" t="str">
        <f t="shared" si="39"/>
        <v/>
      </c>
      <c r="T121" s="2" t="str">
        <f>IF(SUMIFS(Data!$D$8:$D$367,Data!$A$8:$A$367,$U121,Data!$C$8:$C$367,$V109),"NO","SI")</f>
        <v>SI</v>
      </c>
      <c r="U121" s="167">
        <f t="shared" si="37"/>
        <v>2024</v>
      </c>
      <c r="V121" s="98" t="str">
        <f t="shared" si="41"/>
        <v xml:space="preserve"> </v>
      </c>
      <c r="W121" s="125">
        <f t="shared" si="24"/>
        <v>0</v>
      </c>
      <c r="X121" s="125">
        <f t="shared" si="25"/>
        <v>0</v>
      </c>
      <c r="Y121" s="125">
        <f t="shared" si="26"/>
        <v>0</v>
      </c>
      <c r="Z121" s="125">
        <f t="shared" si="27"/>
        <v>0</v>
      </c>
      <c r="AA121" s="125">
        <f t="shared" si="30"/>
        <v>0</v>
      </c>
      <c r="AB121" s="146">
        <f t="shared" si="28"/>
        <v>0</v>
      </c>
      <c r="AD121" s="125">
        <f t="shared" si="42"/>
        <v>24811.187000000002</v>
      </c>
      <c r="AE121" s="125">
        <f t="shared" si="40"/>
        <v>-6253.9569999999994</v>
      </c>
      <c r="AF121" s="125">
        <f t="shared" si="40"/>
        <v>21726.847000000002</v>
      </c>
      <c r="AG121" s="125">
        <f t="shared" si="40"/>
        <v>3381.42</v>
      </c>
      <c r="AH121" s="125">
        <f t="shared" si="40"/>
        <v>2051.6079999999929</v>
      </c>
      <c r="AI121" s="146">
        <f t="shared" si="40"/>
        <v>45717.104999999996</v>
      </c>
    </row>
    <row r="122" spans="10:35" ht="15" hidden="1" customHeight="1">
      <c r="J122" s="65"/>
      <c r="K122" s="65"/>
      <c r="L122" s="65"/>
      <c r="M122" s="65"/>
      <c r="N122" s="65"/>
      <c r="R122"/>
      <c r="S122" s="129" t="str">
        <f t="shared" si="39"/>
        <v/>
      </c>
      <c r="T122" s="2" t="str">
        <f>IF(SUMIFS(Data!$D$8:$D$367,Data!$A$8:$A$367,$U122,Data!$C$8:$C$367,$V110),"NO","SI")</f>
        <v>SI</v>
      </c>
      <c r="U122" s="167">
        <f t="shared" si="37"/>
        <v>2024</v>
      </c>
      <c r="V122" s="98" t="str">
        <f t="shared" si="41"/>
        <v xml:space="preserve"> </v>
      </c>
      <c r="W122" s="125">
        <f t="shared" si="24"/>
        <v>0</v>
      </c>
      <c r="X122" s="125">
        <f t="shared" si="25"/>
        <v>0</v>
      </c>
      <c r="Y122" s="125">
        <f t="shared" si="26"/>
        <v>0</v>
      </c>
      <c r="Z122" s="125">
        <f t="shared" si="27"/>
        <v>0</v>
      </c>
      <c r="AA122" s="125">
        <f t="shared" si="30"/>
        <v>0</v>
      </c>
      <c r="AB122" s="146">
        <f t="shared" si="28"/>
        <v>0</v>
      </c>
      <c r="AD122" s="125">
        <f t="shared" si="42"/>
        <v>24811.187000000002</v>
      </c>
      <c r="AE122" s="125">
        <f t="shared" si="40"/>
        <v>-6253.9569999999994</v>
      </c>
      <c r="AF122" s="125">
        <f t="shared" si="40"/>
        <v>21726.847000000002</v>
      </c>
      <c r="AG122" s="125">
        <f t="shared" si="40"/>
        <v>3381.42</v>
      </c>
      <c r="AH122" s="125">
        <f t="shared" si="40"/>
        <v>2051.6079999999929</v>
      </c>
      <c r="AI122" s="146">
        <f t="shared" si="40"/>
        <v>45717.104999999996</v>
      </c>
    </row>
    <row r="123" spans="10:35" ht="15" hidden="1" customHeight="1">
      <c r="J123" s="65"/>
      <c r="K123" s="65"/>
      <c r="L123" s="65"/>
      <c r="M123" s="65"/>
      <c r="N123" s="65"/>
      <c r="R123"/>
      <c r="S123" s="129" t="str">
        <f t="shared" si="39"/>
        <v/>
      </c>
      <c r="T123" s="2" t="str">
        <f>IF(SUMIFS(Data!$D$8:$D$367,Data!$A$8:$A$367,$U123,Data!$C$8:$C$367,$V111),"NO","SI")</f>
        <v>SI</v>
      </c>
      <c r="U123" s="167">
        <f t="shared" si="37"/>
        <v>2024</v>
      </c>
      <c r="V123" s="98" t="str">
        <f t="shared" si="41"/>
        <v xml:space="preserve"> </v>
      </c>
      <c r="W123" s="125">
        <f t="shared" si="24"/>
        <v>0</v>
      </c>
      <c r="X123" s="125">
        <f t="shared" si="25"/>
        <v>0</v>
      </c>
      <c r="Y123" s="125">
        <f t="shared" si="26"/>
        <v>0</v>
      </c>
      <c r="Z123" s="125">
        <f t="shared" si="27"/>
        <v>0</v>
      </c>
      <c r="AA123" s="125">
        <f t="shared" si="30"/>
        <v>0</v>
      </c>
      <c r="AB123" s="146">
        <f t="shared" si="28"/>
        <v>0</v>
      </c>
      <c r="AD123" s="125">
        <f t="shared" si="42"/>
        <v>24811.187000000002</v>
      </c>
      <c r="AE123" s="125">
        <f t="shared" si="40"/>
        <v>-6253.9569999999994</v>
      </c>
      <c r="AF123" s="125">
        <f t="shared" si="40"/>
        <v>21726.847000000002</v>
      </c>
      <c r="AG123" s="125">
        <f t="shared" si="40"/>
        <v>3381.42</v>
      </c>
      <c r="AH123" s="125">
        <f t="shared" si="40"/>
        <v>2051.6079999999929</v>
      </c>
      <c r="AI123" s="146">
        <f t="shared" si="40"/>
        <v>45717.104999999996</v>
      </c>
    </row>
    <row r="124" spans="10:35" ht="15" hidden="1" customHeight="1">
      <c r="J124" s="65"/>
      <c r="K124" s="65"/>
      <c r="L124" s="65"/>
      <c r="M124" s="65"/>
      <c r="N124" s="65"/>
      <c r="R124"/>
      <c r="S124" s="129" t="str">
        <f t="shared" si="39"/>
        <v/>
      </c>
      <c r="T124" s="2" t="str">
        <f>IF(SUMIFS(Data!$D$8:$D$367,Data!$A$8:$A$367,$U124,Data!$C$8:$C$367,$V112),"NO","SI")</f>
        <v>SI</v>
      </c>
      <c r="U124" s="167">
        <f t="shared" si="37"/>
        <v>2024</v>
      </c>
      <c r="V124" s="98" t="str">
        <f t="shared" si="41"/>
        <v xml:space="preserve"> </v>
      </c>
      <c r="W124" s="125">
        <f t="shared" si="24"/>
        <v>0</v>
      </c>
      <c r="X124" s="125">
        <f t="shared" si="25"/>
        <v>0</v>
      </c>
      <c r="Y124" s="125">
        <f t="shared" si="26"/>
        <v>0</v>
      </c>
      <c r="Z124" s="125">
        <f t="shared" si="27"/>
        <v>0</v>
      </c>
      <c r="AA124" s="125">
        <f t="shared" si="30"/>
        <v>0</v>
      </c>
      <c r="AB124" s="146">
        <f t="shared" si="28"/>
        <v>0</v>
      </c>
      <c r="AD124" s="125">
        <f t="shared" si="42"/>
        <v>24811.187000000002</v>
      </c>
      <c r="AE124" s="125">
        <f t="shared" si="40"/>
        <v>-6253.9569999999994</v>
      </c>
      <c r="AF124" s="125">
        <f t="shared" si="40"/>
        <v>21726.847000000002</v>
      </c>
      <c r="AG124" s="125">
        <f t="shared" si="40"/>
        <v>3381.42</v>
      </c>
      <c r="AH124" s="125">
        <f t="shared" si="40"/>
        <v>2051.6079999999929</v>
      </c>
      <c r="AI124" s="146">
        <f t="shared" si="40"/>
        <v>45717.104999999996</v>
      </c>
    </row>
    <row r="125" spans="10:35" ht="15" hidden="1" customHeight="1">
      <c r="J125" s="65"/>
      <c r="K125" s="65"/>
      <c r="L125" s="65"/>
      <c r="M125" s="65"/>
      <c r="N125" s="65"/>
      <c r="R125"/>
      <c r="S125" s="129" t="str">
        <f t="shared" si="39"/>
        <v/>
      </c>
      <c r="T125" s="2" t="str">
        <f>IF(SUMIFS(Data!$D$8:$D$367,Data!$A$8:$A$367,$U125,Data!$C$8:$C$367,$V113),"NO","SI")</f>
        <v>SI</v>
      </c>
      <c r="U125" s="167">
        <f t="shared" si="37"/>
        <v>2024</v>
      </c>
      <c r="V125" s="98" t="str">
        <f t="shared" si="41"/>
        <v xml:space="preserve"> </v>
      </c>
      <c r="W125" s="125">
        <f t="shared" si="24"/>
        <v>0</v>
      </c>
      <c r="X125" s="125">
        <f t="shared" si="25"/>
        <v>0</v>
      </c>
      <c r="Y125" s="125">
        <f t="shared" si="26"/>
        <v>0</v>
      </c>
      <c r="Z125" s="125">
        <f t="shared" si="27"/>
        <v>0</v>
      </c>
      <c r="AA125" s="125">
        <f t="shared" si="30"/>
        <v>0</v>
      </c>
      <c r="AB125" s="146">
        <f t="shared" si="28"/>
        <v>0</v>
      </c>
      <c r="AD125" s="125">
        <f t="shared" si="42"/>
        <v>24811.187000000002</v>
      </c>
      <c r="AE125" s="125">
        <f t="shared" si="40"/>
        <v>-6253.9569999999994</v>
      </c>
      <c r="AF125" s="125">
        <f t="shared" si="40"/>
        <v>21726.847000000002</v>
      </c>
      <c r="AG125" s="125">
        <f t="shared" si="40"/>
        <v>3381.42</v>
      </c>
      <c r="AH125" s="125">
        <f t="shared" si="40"/>
        <v>2051.6079999999929</v>
      </c>
      <c r="AI125" s="146">
        <f t="shared" si="40"/>
        <v>45717.104999999996</v>
      </c>
    </row>
    <row r="126" spans="10:35" ht="15" hidden="1" customHeight="1">
      <c r="J126" s="65"/>
      <c r="K126" s="65"/>
      <c r="L126" s="65"/>
      <c r="M126" s="65"/>
      <c r="N126" s="65"/>
      <c r="R126"/>
      <c r="S126" s="129" t="str">
        <f t="shared" si="39"/>
        <v/>
      </c>
      <c r="T126" s="2" t="str">
        <f>IF(SUMIFS(Data!$D$8:$D$367,Data!$A$8:$A$367,$U126,Data!$C$8:$C$367,$V114),"NO","SI")</f>
        <v>SI</v>
      </c>
      <c r="U126" s="167">
        <f t="shared" si="37"/>
        <v>2024</v>
      </c>
      <c r="V126" s="98" t="str">
        <f>IF($T126="SI"," ",V114)</f>
        <v xml:space="preserve"> </v>
      </c>
      <c r="W126" s="125">
        <f t="shared" si="24"/>
        <v>0</v>
      </c>
      <c r="X126" s="125">
        <f t="shared" si="25"/>
        <v>0</v>
      </c>
      <c r="Y126" s="125">
        <f t="shared" si="26"/>
        <v>0</v>
      </c>
      <c r="Z126" s="125">
        <f t="shared" si="27"/>
        <v>0</v>
      </c>
      <c r="AA126" s="125">
        <f t="shared" si="30"/>
        <v>0</v>
      </c>
      <c r="AB126" s="146">
        <f t="shared" si="28"/>
        <v>0</v>
      </c>
      <c r="AD126" s="125">
        <f t="shared" si="42"/>
        <v>24811.187000000002</v>
      </c>
      <c r="AE126" s="125">
        <f t="shared" si="40"/>
        <v>-6253.9569999999994</v>
      </c>
      <c r="AF126" s="125">
        <f t="shared" si="40"/>
        <v>21726.847000000002</v>
      </c>
      <c r="AG126" s="125">
        <f t="shared" si="40"/>
        <v>3381.42</v>
      </c>
      <c r="AH126" s="125">
        <f t="shared" si="40"/>
        <v>2051.6079999999929</v>
      </c>
      <c r="AI126" s="146">
        <f t="shared" si="40"/>
        <v>45717.104999999996</v>
      </c>
    </row>
    <row r="127" spans="10:35" ht="15" hidden="1" customHeight="1">
      <c r="J127" s="65"/>
      <c r="K127" s="65"/>
      <c r="L127" s="65"/>
      <c r="M127" s="65"/>
      <c r="N127" s="65"/>
      <c r="R127"/>
      <c r="S127" s="129" t="str">
        <f t="shared" si="39"/>
        <v/>
      </c>
      <c r="T127" s="2" t="str">
        <f>IF(SUMIFS(Data!$D$8:$D$367,Data!$A$8:$A$367,$U127,Data!$C$8:$C$367,$V115),"NO","SI")</f>
        <v>SI</v>
      </c>
      <c r="U127" s="167">
        <f t="shared" si="37"/>
        <v>2024</v>
      </c>
      <c r="V127" s="98" t="str">
        <f>IF($T127="SI"," ",V115)</f>
        <v xml:space="preserve"> </v>
      </c>
      <c r="W127" s="125">
        <f t="shared" si="24"/>
        <v>0</v>
      </c>
      <c r="X127" s="125">
        <f t="shared" si="25"/>
        <v>0</v>
      </c>
      <c r="Y127" s="125">
        <f t="shared" si="26"/>
        <v>0</v>
      </c>
      <c r="Z127" s="125">
        <f t="shared" si="27"/>
        <v>0</v>
      </c>
      <c r="AA127" s="125">
        <f t="shared" si="30"/>
        <v>0</v>
      </c>
      <c r="AB127" s="146">
        <f t="shared" si="28"/>
        <v>0</v>
      </c>
      <c r="AD127" s="125">
        <f t="shared" si="42"/>
        <v>24811.187000000002</v>
      </c>
      <c r="AE127" s="125">
        <f t="shared" si="40"/>
        <v>-6253.9569999999994</v>
      </c>
      <c r="AF127" s="125">
        <f t="shared" si="40"/>
        <v>21726.847000000002</v>
      </c>
      <c r="AG127" s="125">
        <f t="shared" si="40"/>
        <v>3381.42</v>
      </c>
      <c r="AH127" s="125">
        <f t="shared" si="40"/>
        <v>2051.6079999999929</v>
      </c>
      <c r="AI127" s="146">
        <f t="shared" si="40"/>
        <v>45717.104999999996</v>
      </c>
    </row>
    <row r="128" spans="10:35" ht="15" hidden="1" customHeight="1">
      <c r="J128" s="65"/>
      <c r="K128" s="65"/>
      <c r="L128" s="65"/>
      <c r="M128" s="65"/>
      <c r="N128" s="65"/>
      <c r="R128"/>
      <c r="S128" s="129" t="str">
        <f>IF(V128=" ","",1)</f>
        <v/>
      </c>
      <c r="T128" s="2" t="str">
        <f>IF(SUMIFS(Data!$D$8:$D$367,Data!$A$8:$A$367,$U128,Data!$C$8:$C$367,$V116),"NO","SI")</f>
        <v>SI</v>
      </c>
      <c r="U128" s="167">
        <f t="shared" si="37"/>
        <v>2024</v>
      </c>
      <c r="V128" s="98" t="str">
        <f t="shared" si="41"/>
        <v xml:space="preserve"> </v>
      </c>
      <c r="W128" s="125">
        <f t="shared" si="24"/>
        <v>0</v>
      </c>
      <c r="X128" s="125">
        <f t="shared" si="25"/>
        <v>0</v>
      </c>
      <c r="Y128" s="125">
        <f t="shared" si="26"/>
        <v>0</v>
      </c>
      <c r="Z128" s="125">
        <f t="shared" si="27"/>
        <v>0</v>
      </c>
      <c r="AA128" s="125">
        <f t="shared" si="30"/>
        <v>0</v>
      </c>
      <c r="AB128" s="146">
        <f t="shared" si="28"/>
        <v>0</v>
      </c>
      <c r="AD128" s="125">
        <f t="shared" si="42"/>
        <v>24811.187000000002</v>
      </c>
      <c r="AE128" s="125">
        <f t="shared" si="40"/>
        <v>-6253.9569999999994</v>
      </c>
      <c r="AF128" s="125">
        <f t="shared" si="40"/>
        <v>21726.847000000002</v>
      </c>
      <c r="AG128" s="125">
        <f t="shared" si="40"/>
        <v>3381.42</v>
      </c>
      <c r="AH128" s="125">
        <f t="shared" si="40"/>
        <v>2051.6079999999929</v>
      </c>
      <c r="AI128" s="146">
        <f t="shared" si="40"/>
        <v>45717.104999999996</v>
      </c>
    </row>
    <row r="129" spans="10:35" ht="15" hidden="1" customHeight="1">
      <c r="J129" s="65"/>
      <c r="K129" s="65"/>
      <c r="L129" s="65"/>
      <c r="M129" s="65"/>
      <c r="N129" s="65"/>
    </row>
    <row r="130" spans="10:35" ht="15" hidden="1" customHeight="1">
      <c r="J130" s="65"/>
      <c r="K130" s="65"/>
      <c r="L130" s="65"/>
      <c r="M130" s="65"/>
      <c r="N130" s="65"/>
      <c r="W130" s="140" t="s">
        <v>107</v>
      </c>
      <c r="AD130" s="168"/>
    </row>
    <row r="131" spans="10:35" ht="15" hidden="1" customHeight="1">
      <c r="J131" s="65"/>
      <c r="K131" s="65"/>
      <c r="L131" s="65"/>
      <c r="M131" s="65"/>
      <c r="N131" s="65"/>
      <c r="U131" s="164">
        <f t="shared" ref="U131:U142" si="43">Año_seleccionado_C.1.2-1</f>
        <v>2023</v>
      </c>
      <c r="V131" s="165" t="s">
        <v>217</v>
      </c>
      <c r="W131" s="169">
        <f>IF(W93=0,"-",IF(ABS((W105-W93)/ABS(W93))*100&gt;=100,"-",IF((W105/W93)&lt;0,"-",((W105-W93)/ABS(W93))*100)))</f>
        <v>12.688124108865006</v>
      </c>
      <c r="X131" s="170" t="str">
        <f t="shared" ref="X131:AB131" si="44">IF(X93=0,"-",IF(ABS((X105-X93)/ABS(X93))*100&gt;=100,"-",IF((X105/X93)&lt;0,"-",((X105-X93)/ABS(X93))*100)))</f>
        <v>-</v>
      </c>
      <c r="Y131" s="170">
        <f t="shared" si="44"/>
        <v>-1.4700431220886456</v>
      </c>
      <c r="Z131" s="170">
        <f t="shared" si="44"/>
        <v>-2.1555252064260637</v>
      </c>
      <c r="AA131" s="170">
        <f t="shared" si="44"/>
        <v>9.5086835925642355</v>
      </c>
      <c r="AB131" s="149">
        <f t="shared" si="44"/>
        <v>-7.5057578932984841</v>
      </c>
      <c r="AD131" s="169">
        <f>IF(AD93=0,"-",IF(ABS((AD105-AD93)/ABS(AD93))*100&gt;=100,"-",IF((AD105/AD93)&lt;0,"-",((AD105-AD93)/ABS(AD93))*100)))</f>
        <v>12.688124108865006</v>
      </c>
      <c r="AE131" s="170" t="str">
        <f t="shared" ref="AE131:AI131" si="45">IF(AE93=0,"-",IF(ABS((AE105-AE93)/ABS(AE93))*100&gt;=100,"-",IF((AE105/AE93)&lt;0,"-",((AE105-AE93)/ABS(AE93))*100)))</f>
        <v>-</v>
      </c>
      <c r="AF131" s="170">
        <f t="shared" si="45"/>
        <v>-1.4700431220886456</v>
      </c>
      <c r="AG131" s="170">
        <f t="shared" si="45"/>
        <v>-2.1555252064260637</v>
      </c>
      <c r="AH131" s="170">
        <f t="shared" si="45"/>
        <v>9.5086835925642355</v>
      </c>
      <c r="AI131" s="149">
        <f t="shared" si="45"/>
        <v>-7.5057578932984841</v>
      </c>
    </row>
    <row r="132" spans="10:35" ht="15" hidden="1" customHeight="1">
      <c r="J132" s="65"/>
      <c r="K132" s="65"/>
      <c r="L132" s="65"/>
      <c r="M132" s="65"/>
      <c r="N132" s="65"/>
      <c r="U132" s="167">
        <f t="shared" si="43"/>
        <v>2023</v>
      </c>
      <c r="V132" s="98" t="s">
        <v>218</v>
      </c>
      <c r="W132" s="137">
        <f t="shared" ref="W132:AB147" si="46">IF(W94=0,"-",IF(ABS((W106-W94)/ABS(W94))*100&gt;=100,"-",IF((W106/W94)&lt;0,"-",((W106-W94)/ABS(W94))*100)))</f>
        <v>9.9144609094196294</v>
      </c>
      <c r="X132" s="148" t="str">
        <f t="shared" si="46"/>
        <v>-</v>
      </c>
      <c r="Y132" s="148">
        <f t="shared" si="46"/>
        <v>10.460259274739565</v>
      </c>
      <c r="Z132" s="148">
        <f t="shared" si="46"/>
        <v>-5.2680167181276625</v>
      </c>
      <c r="AA132" s="148">
        <f t="shared" si="46"/>
        <v>9.4285247446679783</v>
      </c>
      <c r="AB132" s="149">
        <f t="shared" si="46"/>
        <v>9.0503643820914661</v>
      </c>
      <c r="AD132" s="137">
        <f t="shared" ref="AD132:AI147" si="47">IF(AD94=0,"-",IF(ABS((AD106-AD94)/ABS(AD94))*100&gt;=100,"-",IF((AD106/AD94)&lt;0,"-",((AD106-AD94)/ABS(AD94))*100)))</f>
        <v>11.780173416294041</v>
      </c>
      <c r="AE132" s="148" t="str">
        <f t="shared" si="47"/>
        <v>-</v>
      </c>
      <c r="AF132" s="148">
        <f t="shared" si="47"/>
        <v>7.286028532337073</v>
      </c>
      <c r="AG132" s="148">
        <f t="shared" si="47"/>
        <v>-3.6226949795079628</v>
      </c>
      <c r="AH132" s="148">
        <f t="shared" si="47"/>
        <v>9.4713408539829338</v>
      </c>
      <c r="AI132" s="149">
        <f t="shared" si="47"/>
        <v>1.6249239249036724</v>
      </c>
    </row>
    <row r="133" spans="10:35" ht="15" hidden="1" customHeight="1">
      <c r="J133" s="65"/>
      <c r="K133" s="65"/>
      <c r="L133" s="65"/>
      <c r="M133" s="65"/>
      <c r="N133" s="65"/>
      <c r="U133" s="167">
        <f t="shared" si="43"/>
        <v>2023</v>
      </c>
      <c r="V133" s="98" t="s">
        <v>219</v>
      </c>
      <c r="W133" s="137">
        <f t="shared" si="46"/>
        <v>11.546294962001465</v>
      </c>
      <c r="X133" s="148" t="str">
        <f t="shared" si="46"/>
        <v>-</v>
      </c>
      <c r="Y133" s="148">
        <f t="shared" si="46"/>
        <v>6.5433364097909603</v>
      </c>
      <c r="Z133" s="148">
        <f t="shared" si="46"/>
        <v>-1.7060089564978624</v>
      </c>
      <c r="AA133" s="148">
        <f t="shared" si="46"/>
        <v>-0.17190982052791517</v>
      </c>
      <c r="AB133" s="149">
        <f t="shared" si="46"/>
        <v>5.7500900128838905</v>
      </c>
      <c r="AD133" s="137">
        <f t="shared" si="47"/>
        <v>11.72809820048289</v>
      </c>
      <c r="AE133" s="148" t="str">
        <f t="shared" si="47"/>
        <v>-</v>
      </c>
      <c r="AF133" s="148">
        <f t="shared" si="47"/>
        <v>7.1563477516073064</v>
      </c>
      <c r="AG133" s="148">
        <f t="shared" si="47"/>
        <v>-3.0032151424862708</v>
      </c>
      <c r="AH133" s="148">
        <f t="shared" si="47"/>
        <v>6.7938168194719442</v>
      </c>
      <c r="AI133" s="149">
        <f t="shared" si="47"/>
        <v>2.5584576314536567</v>
      </c>
    </row>
    <row r="134" spans="10:35" ht="15" hidden="1" customHeight="1">
      <c r="J134" s="65"/>
      <c r="K134" s="65"/>
      <c r="L134" s="65"/>
      <c r="M134" s="65"/>
      <c r="N134" s="65"/>
      <c r="U134" s="167">
        <f t="shared" si="43"/>
        <v>2023</v>
      </c>
      <c r="V134" s="98" t="s">
        <v>220</v>
      </c>
      <c r="W134" s="137">
        <f t="shared" si="46"/>
        <v>11.346794599426797</v>
      </c>
      <c r="X134" s="148">
        <f t="shared" si="46"/>
        <v>25.648047532189594</v>
      </c>
      <c r="Y134" s="148">
        <f t="shared" si="46"/>
        <v>3.0051786762499062</v>
      </c>
      <c r="Z134" s="148">
        <f t="shared" si="46"/>
        <v>1.1435105774728311</v>
      </c>
      <c r="AA134" s="148">
        <f t="shared" si="46"/>
        <v>-4.7835351362981324</v>
      </c>
      <c r="AB134" s="149">
        <f t="shared" si="46"/>
        <v>10.766227718593665</v>
      </c>
      <c r="AD134" s="137">
        <f t="shared" si="47"/>
        <v>11.61902672681622</v>
      </c>
      <c r="AE134" s="148">
        <f t="shared" si="47"/>
        <v>-32.978158143755621</v>
      </c>
      <c r="AF134" s="148">
        <f t="shared" si="47"/>
        <v>5.9364316875340553</v>
      </c>
      <c r="AG134" s="148">
        <f t="shared" si="47"/>
        <v>-1.7648309747615678</v>
      </c>
      <c r="AH134" s="148">
        <f t="shared" si="47"/>
        <v>2.821880705898169</v>
      </c>
      <c r="AI134" s="149">
        <f t="shared" si="47"/>
        <v>5.5362357173399115</v>
      </c>
    </row>
    <row r="135" spans="10:35" ht="15" hidden="1" customHeight="1">
      <c r="J135" s="65"/>
      <c r="K135" s="65"/>
      <c r="L135" s="65"/>
      <c r="M135" s="65"/>
      <c r="N135" s="65"/>
      <c r="U135" s="167">
        <f t="shared" si="43"/>
        <v>2023</v>
      </c>
      <c r="V135" s="98" t="s">
        <v>221</v>
      </c>
      <c r="W135" s="137">
        <f t="shared" si="46"/>
        <v>14.291403085894377</v>
      </c>
      <c r="X135" s="148" t="str">
        <f t="shared" si="46"/>
        <v>-</v>
      </c>
      <c r="Y135" s="148">
        <f t="shared" si="46"/>
        <v>-3.7740719330493744</v>
      </c>
      <c r="Z135" s="148">
        <f t="shared" si="46"/>
        <v>-0.49941311204472472</v>
      </c>
      <c r="AA135" s="148">
        <f t="shared" si="46"/>
        <v>-1.2943963546189308</v>
      </c>
      <c r="AB135" s="149">
        <f t="shared" si="46"/>
        <v>-5.8629454456458641</v>
      </c>
      <c r="AD135" s="137">
        <f t="shared" si="47"/>
        <v>11.874028930400568</v>
      </c>
      <c r="AE135" s="148">
        <f t="shared" si="47"/>
        <v>-50.893931036086528</v>
      </c>
      <c r="AF135" s="148">
        <f t="shared" si="47"/>
        <v>4.8394982243482199</v>
      </c>
      <c r="AG135" s="148">
        <f t="shared" si="47"/>
        <v>-1.520290947106673</v>
      </c>
      <c r="AH135" s="148">
        <f t="shared" si="47"/>
        <v>1.972856755250862</v>
      </c>
      <c r="AI135" s="149">
        <f t="shared" si="47"/>
        <v>4.22426897852253</v>
      </c>
    </row>
    <row r="136" spans="10:35" ht="15" hidden="1" customHeight="1">
      <c r="J136" s="65"/>
      <c r="K136" s="65"/>
      <c r="L136" s="65"/>
      <c r="M136" s="65"/>
      <c r="N136" s="65"/>
      <c r="U136" s="167">
        <f t="shared" si="43"/>
        <v>2023</v>
      </c>
      <c r="V136" s="98" t="s">
        <v>222</v>
      </c>
      <c r="W136" s="137">
        <f t="shared" si="46"/>
        <v>2.4051519351880191</v>
      </c>
      <c r="X136" s="148">
        <f t="shared" si="46"/>
        <v>-13.487913056935206</v>
      </c>
      <c r="Y136" s="148">
        <f t="shared" si="46"/>
        <v>-10.595397921196566</v>
      </c>
      <c r="Z136" s="148">
        <f t="shared" si="46"/>
        <v>7.4278152898215595</v>
      </c>
      <c r="AA136" s="148">
        <f t="shared" si="46"/>
        <v>13.78534711708221</v>
      </c>
      <c r="AB136" s="149">
        <f t="shared" si="46"/>
        <v>-0.68563751829484021</v>
      </c>
      <c r="AD136" s="137">
        <f t="shared" si="47"/>
        <v>11.087073401036328</v>
      </c>
      <c r="AE136" s="148">
        <f t="shared" si="47"/>
        <v>-48.528866060460352</v>
      </c>
      <c r="AF136" s="148">
        <f t="shared" si="47"/>
        <v>3.5845934054813227</v>
      </c>
      <c r="AG136" s="148">
        <f t="shared" si="47"/>
        <v>-6.0853329228939566E-2</v>
      </c>
      <c r="AH136" s="148">
        <f t="shared" si="47"/>
        <v>3.7912972558725526</v>
      </c>
      <c r="AI136" s="149">
        <f t="shared" si="47"/>
        <v>3.7694776466459037</v>
      </c>
    </row>
    <row r="137" spans="10:35" ht="15" hidden="1" customHeight="1">
      <c r="J137" s="65"/>
      <c r="K137" s="65"/>
      <c r="L137" s="65"/>
      <c r="M137" s="65"/>
      <c r="N137" s="65"/>
      <c r="U137" s="167">
        <f t="shared" si="43"/>
        <v>2023</v>
      </c>
      <c r="V137" s="98" t="s">
        <v>223</v>
      </c>
      <c r="W137" s="137">
        <f t="shared" si="46"/>
        <v>7.09927175444684</v>
      </c>
      <c r="X137" s="148">
        <f t="shared" si="46"/>
        <v>23.997540461385729</v>
      </c>
      <c r="Y137" s="148">
        <f t="shared" si="46"/>
        <v>-2.9869043687448218</v>
      </c>
      <c r="Z137" s="148">
        <f t="shared" si="46"/>
        <v>2.9505005889116478</v>
      </c>
      <c r="AA137" s="148">
        <f t="shared" si="46"/>
        <v>6.8209044706801167</v>
      </c>
      <c r="AB137" s="149">
        <f t="shared" si="46"/>
        <v>4.2921746371320317</v>
      </c>
      <c r="AD137" s="137">
        <f t="shared" si="47"/>
        <v>9.691004053013879</v>
      </c>
      <c r="AE137" s="148">
        <f t="shared" si="47"/>
        <v>-39.095109873114218</v>
      </c>
      <c r="AF137" s="148">
        <f t="shared" si="47"/>
        <v>2.1433058306743145</v>
      </c>
      <c r="AG137" s="148">
        <f t="shared" si="47"/>
        <v>0.3962933643201384</v>
      </c>
      <c r="AH137" s="148">
        <f t="shared" si="47"/>
        <v>4.2073613698742438</v>
      </c>
      <c r="AI137" s="149">
        <f t="shared" si="47"/>
        <v>3.9096871003426377</v>
      </c>
    </row>
    <row r="138" spans="10:35" ht="15" hidden="1" customHeight="1">
      <c r="J138" s="65"/>
      <c r="K138" s="65"/>
      <c r="L138" s="65"/>
      <c r="M138" s="65"/>
      <c r="N138" s="65"/>
      <c r="U138" s="167">
        <f t="shared" si="43"/>
        <v>2023</v>
      </c>
      <c r="V138" s="98" t="s">
        <v>224</v>
      </c>
      <c r="W138" s="137">
        <f t="shared" si="46"/>
        <v>8.1630852063965165</v>
      </c>
      <c r="X138" s="148">
        <f t="shared" si="46"/>
        <v>11.004570258598861</v>
      </c>
      <c r="Y138" s="148">
        <f t="shared" si="46"/>
        <v>-9.4045832627648185</v>
      </c>
      <c r="Z138" s="148">
        <f t="shared" si="46"/>
        <v>6.4907062641727169</v>
      </c>
      <c r="AA138" s="148" t="str">
        <f t="shared" si="46"/>
        <v>-</v>
      </c>
      <c r="AB138" s="149">
        <f t="shared" si="46"/>
        <v>7.9799231950204872</v>
      </c>
      <c r="AD138" s="137">
        <f t="shared" si="47"/>
        <v>9.5663841003046048</v>
      </c>
      <c r="AE138" s="148">
        <f t="shared" si="47"/>
        <v>-10.841317633230666</v>
      </c>
      <c r="AF138" s="148">
        <f t="shared" si="47"/>
        <v>0.97489440243185688</v>
      </c>
      <c r="AG138" s="148">
        <f t="shared" si="47"/>
        <v>1.1825838726015943</v>
      </c>
      <c r="AH138" s="148">
        <f t="shared" si="47"/>
        <v>15.499931677629409</v>
      </c>
      <c r="AI138" s="149">
        <f t="shared" si="47"/>
        <v>4.4537185972812452</v>
      </c>
    </row>
    <row r="139" spans="10:35" ht="15" hidden="1" customHeight="1">
      <c r="J139" s="65"/>
      <c r="K139" s="65"/>
      <c r="L139" s="65"/>
      <c r="M139" s="65"/>
      <c r="N139" s="65"/>
      <c r="U139" s="167">
        <f t="shared" si="43"/>
        <v>2023</v>
      </c>
      <c r="V139" s="98" t="s">
        <v>225</v>
      </c>
      <c r="W139" s="137">
        <f t="shared" si="46"/>
        <v>10.883062016983951</v>
      </c>
      <c r="X139" s="148">
        <f t="shared" si="46"/>
        <v>-32.512750620228502</v>
      </c>
      <c r="Y139" s="148">
        <f t="shared" si="46"/>
        <v>6.649702071279215</v>
      </c>
      <c r="Z139" s="148">
        <f t="shared" si="46"/>
        <v>1.3288181661217617</v>
      </c>
      <c r="AA139" s="148">
        <f t="shared" si="46"/>
        <v>-15.784682446515413</v>
      </c>
      <c r="AB139" s="149">
        <f t="shared" si="46"/>
        <v>5.4954284877748689</v>
      </c>
      <c r="AD139" s="137">
        <f t="shared" si="47"/>
        <v>9.6552029129596129</v>
      </c>
      <c r="AE139" s="148">
        <f t="shared" si="47"/>
        <v>-11.122685092383414</v>
      </c>
      <c r="AF139" s="148">
        <f t="shared" si="47"/>
        <v>1.3940168237680275</v>
      </c>
      <c r="AG139" s="148">
        <f t="shared" si="47"/>
        <v>1.1997594985921356</v>
      </c>
      <c r="AH139" s="148">
        <f t="shared" si="47"/>
        <v>11.919978061048141</v>
      </c>
      <c r="AI139" s="149">
        <f t="shared" si="47"/>
        <v>4.5283868073622102</v>
      </c>
    </row>
    <row r="140" spans="10:35" ht="15" hidden="1" customHeight="1">
      <c r="J140" s="65"/>
      <c r="K140" s="65"/>
      <c r="L140" s="65"/>
      <c r="M140" s="65"/>
      <c r="N140" s="65"/>
      <c r="U140" s="167">
        <f t="shared" si="43"/>
        <v>2023</v>
      </c>
      <c r="V140" s="98" t="s">
        <v>226</v>
      </c>
      <c r="W140" s="137">
        <f t="shared" si="46"/>
        <v>8.9684925511486497</v>
      </c>
      <c r="X140" s="148">
        <f t="shared" si="46"/>
        <v>17.230703364824386</v>
      </c>
      <c r="Y140" s="148">
        <f t="shared" si="46"/>
        <v>-1.5843263636857765</v>
      </c>
      <c r="Z140" s="148">
        <f t="shared" si="46"/>
        <v>5.9442247450814456</v>
      </c>
      <c r="AA140" s="148">
        <f t="shared" si="46"/>
        <v>-9.4597647421347268</v>
      </c>
      <c r="AB140" s="149">
        <f t="shared" si="46"/>
        <v>8.2709054114868348</v>
      </c>
      <c r="AD140" s="137">
        <f t="shared" si="47"/>
        <v>9.5665600999260878</v>
      </c>
      <c r="AE140" s="148">
        <f t="shared" si="47"/>
        <v>3.2727435440203303</v>
      </c>
      <c r="AF140" s="148">
        <f t="shared" si="47"/>
        <v>0.90888301784822634</v>
      </c>
      <c r="AG140" s="148">
        <f t="shared" si="47"/>
        <v>1.6851236497282682</v>
      </c>
      <c r="AH140" s="148">
        <f t="shared" si="47"/>
        <v>9.6916635589140583</v>
      </c>
      <c r="AI140" s="149">
        <f t="shared" si="47"/>
        <v>5.2287964983397455</v>
      </c>
    </row>
    <row r="141" spans="10:35" ht="15" hidden="1" customHeight="1">
      <c r="J141" s="65"/>
      <c r="K141" s="65"/>
      <c r="L141" s="65"/>
      <c r="M141" s="65"/>
      <c r="N141" s="65"/>
      <c r="U141" s="167">
        <f t="shared" si="43"/>
        <v>2023</v>
      </c>
      <c r="V141" s="98" t="s">
        <v>227</v>
      </c>
      <c r="W141" s="137">
        <f t="shared" si="46"/>
        <v>11.450788337398979</v>
      </c>
      <c r="X141" s="148">
        <f t="shared" si="46"/>
        <v>39.189094351864725</v>
      </c>
      <c r="Y141" s="148">
        <f t="shared" si="46"/>
        <v>-0.53861820632262325</v>
      </c>
      <c r="Z141" s="148">
        <f t="shared" si="46"/>
        <v>11.928893652238472</v>
      </c>
      <c r="AA141" s="148">
        <f t="shared" si="46"/>
        <v>-15.266213501776251</v>
      </c>
      <c r="AB141" s="149">
        <f t="shared" si="46"/>
        <v>8.9541948108253884</v>
      </c>
      <c r="AD141" s="137">
        <f t="shared" si="47"/>
        <v>9.7479078029970712</v>
      </c>
      <c r="AE141" s="148">
        <f t="shared" si="47"/>
        <v>4.3926942680542593</v>
      </c>
      <c r="AF141" s="148">
        <f t="shared" si="47"/>
        <v>0.8293480793729654</v>
      </c>
      <c r="AG141" s="148">
        <f t="shared" si="47"/>
        <v>2.5636474469883539</v>
      </c>
      <c r="AH141" s="148">
        <f t="shared" si="47"/>
        <v>7.2527374195789047</v>
      </c>
      <c r="AI141" s="149">
        <f t="shared" si="47"/>
        <v>5.4788475688459206</v>
      </c>
    </row>
    <row r="142" spans="10:35" ht="15" hidden="1" customHeight="1">
      <c r="J142" s="65"/>
      <c r="K142" s="65"/>
      <c r="L142" s="65"/>
      <c r="M142" s="65"/>
      <c r="N142" s="65"/>
      <c r="U142" s="167">
        <f t="shared" si="43"/>
        <v>2023</v>
      </c>
      <c r="V142" s="98" t="s">
        <v>228</v>
      </c>
      <c r="W142" s="137">
        <f t="shared" si="46"/>
        <v>11.523366004066673</v>
      </c>
      <c r="X142" s="148">
        <f t="shared" si="46"/>
        <v>45.883823844842588</v>
      </c>
      <c r="Y142" s="148">
        <f t="shared" si="46"/>
        <v>22.757561583274139</v>
      </c>
      <c r="Z142" s="148">
        <f t="shared" si="46"/>
        <v>3.4776939426607916</v>
      </c>
      <c r="AA142" s="148">
        <f t="shared" si="46"/>
        <v>26.692172057282885</v>
      </c>
      <c r="AB142" s="149">
        <f t="shared" si="46"/>
        <v>21.27046296266759</v>
      </c>
      <c r="AD142" s="137">
        <f t="shared" si="47"/>
        <v>9.8597207776235436</v>
      </c>
      <c r="AE142" s="148">
        <f t="shared" si="47"/>
        <v>8.9617076028480938</v>
      </c>
      <c r="AF142" s="148">
        <f t="shared" si="47"/>
        <v>1.5910520336839671</v>
      </c>
      <c r="AG142" s="148">
        <f t="shared" si="47"/>
        <v>2.635881667414897</v>
      </c>
      <c r="AH142" s="148">
        <f t="shared" si="47"/>
        <v>8.6129083863546967</v>
      </c>
      <c r="AI142" s="149">
        <f t="shared" si="47"/>
        <v>6.4477477456001022</v>
      </c>
    </row>
    <row r="143" spans="10:35" ht="15" hidden="1" customHeight="1">
      <c r="J143" s="65"/>
      <c r="K143" s="65"/>
      <c r="L143" s="65"/>
      <c r="M143" s="65"/>
      <c r="N143" s="65"/>
      <c r="U143" s="164">
        <f t="shared" ref="U143:U154" si="48">Año_seleccionado_C.1.2</f>
        <v>2024</v>
      </c>
      <c r="V143" s="165" t="s">
        <v>217</v>
      </c>
      <c r="W143" s="169">
        <f t="shared" si="46"/>
        <v>5.8598171161650257</v>
      </c>
      <c r="X143" s="170">
        <f t="shared" si="46"/>
        <v>-2.3456753877371823</v>
      </c>
      <c r="Y143" s="170">
        <f t="shared" si="46"/>
        <v>6.9003489323547722</v>
      </c>
      <c r="Z143" s="170">
        <f t="shared" si="46"/>
        <v>-2.445551182675163</v>
      </c>
      <c r="AA143" s="170">
        <f t="shared" si="46"/>
        <v>6.8939081038563081</v>
      </c>
      <c r="AB143" s="149">
        <f t="shared" si="46"/>
        <v>6.6287835675959057</v>
      </c>
      <c r="AD143" s="169">
        <f t="shared" si="47"/>
        <v>5.8598171161650257</v>
      </c>
      <c r="AE143" s="170">
        <f t="shared" si="47"/>
        <v>-2.3456753877371823</v>
      </c>
      <c r="AF143" s="170">
        <f t="shared" si="47"/>
        <v>6.9003489323547722</v>
      </c>
      <c r="AG143" s="170">
        <f t="shared" si="47"/>
        <v>-2.445551182675163</v>
      </c>
      <c r="AH143" s="170">
        <f t="shared" si="47"/>
        <v>6.8939081038563081</v>
      </c>
      <c r="AI143" s="149">
        <f t="shared" si="47"/>
        <v>6.6287835675959057</v>
      </c>
    </row>
    <row r="144" spans="10:35" ht="15" hidden="1" customHeight="1">
      <c r="J144" s="65"/>
      <c r="K144" s="65"/>
      <c r="L144" s="65"/>
      <c r="M144" s="65"/>
      <c r="N144" s="65"/>
      <c r="U144" s="167">
        <f t="shared" si="48"/>
        <v>2024</v>
      </c>
      <c r="V144" s="98" t="s">
        <v>218</v>
      </c>
      <c r="W144" s="137">
        <f t="shared" si="46"/>
        <v>10.280475899996363</v>
      </c>
      <c r="X144" s="148">
        <f t="shared" si="46"/>
        <v>-84.6486369918739</v>
      </c>
      <c r="Y144" s="148">
        <f t="shared" si="46"/>
        <v>3.0943417123373251</v>
      </c>
      <c r="Z144" s="148">
        <f t="shared" si="46"/>
        <v>24.073230170392716</v>
      </c>
      <c r="AA144" s="148">
        <f t="shared" si="46"/>
        <v>-0.66813241031909198</v>
      </c>
      <c r="AB144" s="149">
        <f t="shared" si="46"/>
        <v>5.9057057447234076</v>
      </c>
      <c r="AD144" s="137">
        <f t="shared" si="47"/>
        <v>7.2827538446444562</v>
      </c>
      <c r="AE144" s="148">
        <f t="shared" si="47"/>
        <v>-3.738424103972688</v>
      </c>
      <c r="AF144" s="148">
        <f t="shared" si="47"/>
        <v>4.0243391951790812</v>
      </c>
      <c r="AG144" s="148">
        <f t="shared" si="47"/>
        <v>9.8414983624897392</v>
      </c>
      <c r="AH144" s="148">
        <f t="shared" si="47"/>
        <v>3.3724396324634185</v>
      </c>
      <c r="AI144" s="149">
        <f t="shared" si="47"/>
        <v>6.2008695502895765</v>
      </c>
    </row>
    <row r="145" spans="3:35" ht="15" hidden="1" customHeight="1">
      <c r="J145" s="65"/>
      <c r="K145" s="65"/>
      <c r="L145" s="65"/>
      <c r="M145" s="65"/>
      <c r="N145" s="65"/>
      <c r="U145" s="167">
        <f t="shared" si="48"/>
        <v>2024</v>
      </c>
      <c r="V145" s="98" t="s">
        <v>219</v>
      </c>
      <c r="W145" s="137" t="str">
        <f t="shared" si="46"/>
        <v>-</v>
      </c>
      <c r="X145" s="148" t="str">
        <f t="shared" si="46"/>
        <v>-</v>
      </c>
      <c r="Y145" s="148" t="str">
        <f t="shared" si="46"/>
        <v>-</v>
      </c>
      <c r="Z145" s="148" t="str">
        <f t="shared" si="46"/>
        <v>-</v>
      </c>
      <c r="AA145" s="148" t="str">
        <f t="shared" si="46"/>
        <v>-</v>
      </c>
      <c r="AB145" s="149" t="str">
        <f t="shared" si="46"/>
        <v>-</v>
      </c>
      <c r="AD145" s="137">
        <f t="shared" si="47"/>
        <v>-16.565880763383305</v>
      </c>
      <c r="AE145" s="148">
        <f t="shared" si="47"/>
        <v>-2.1940330627912634</v>
      </c>
      <c r="AF145" s="148">
        <f t="shared" si="47"/>
        <v>-14.035345107175257</v>
      </c>
      <c r="AG145" s="148">
        <f t="shared" si="47"/>
        <v>-26.134452239545425</v>
      </c>
      <c r="AH145" s="148">
        <f t="shared" si="47"/>
        <v>-23.457601698282858</v>
      </c>
      <c r="AI145" s="149">
        <f t="shared" si="47"/>
        <v>-18.580534115598613</v>
      </c>
    </row>
    <row r="146" spans="3:35" ht="15" hidden="1" customHeight="1">
      <c r="J146" s="65"/>
      <c r="K146" s="65"/>
      <c r="L146" s="65"/>
      <c r="M146" s="65"/>
      <c r="N146" s="65"/>
      <c r="U146" s="167">
        <f t="shared" si="48"/>
        <v>2024</v>
      </c>
      <c r="V146" s="98" t="s">
        <v>220</v>
      </c>
      <c r="W146" s="137" t="str">
        <f t="shared" si="46"/>
        <v>-</v>
      </c>
      <c r="X146" s="148" t="str">
        <f t="shared" si="46"/>
        <v>-</v>
      </c>
      <c r="Y146" s="148" t="str">
        <f t="shared" si="46"/>
        <v>-</v>
      </c>
      <c r="Z146" s="148" t="str">
        <f t="shared" si="46"/>
        <v>-</v>
      </c>
      <c r="AA146" s="148" t="str">
        <f t="shared" si="46"/>
        <v>-</v>
      </c>
      <c r="AB146" s="149" t="str">
        <f t="shared" si="46"/>
        <v>-</v>
      </c>
      <c r="AD146" s="137">
        <f t="shared" si="47"/>
        <v>-40.373910034470683</v>
      </c>
      <c r="AE146" s="148" t="str">
        <f t="shared" si="47"/>
        <v>-</v>
      </c>
      <c r="AF146" s="148">
        <f t="shared" si="47"/>
        <v>-38.59901042170938</v>
      </c>
      <c r="AG146" s="148">
        <f t="shared" si="47"/>
        <v>-48.846852339160272</v>
      </c>
      <c r="AH146" s="148">
        <f t="shared" si="47"/>
        <v>-47.775251175981602</v>
      </c>
      <c r="AI146" s="149">
        <f t="shared" si="47"/>
        <v>-49.583351474330414</v>
      </c>
    </row>
    <row r="147" spans="3:35" ht="15" hidden="1" customHeight="1">
      <c r="J147" s="65"/>
      <c r="K147" s="65"/>
      <c r="L147" s="65"/>
      <c r="M147" s="65"/>
      <c r="N147" s="65"/>
      <c r="U147" s="167">
        <f t="shared" si="48"/>
        <v>2024</v>
      </c>
      <c r="V147" s="98" t="s">
        <v>221</v>
      </c>
      <c r="W147" s="137" t="str">
        <f t="shared" si="46"/>
        <v>-</v>
      </c>
      <c r="X147" s="148" t="str">
        <f t="shared" si="46"/>
        <v>-</v>
      </c>
      <c r="Y147" s="148" t="str">
        <f t="shared" si="46"/>
        <v>-</v>
      </c>
      <c r="Z147" s="148" t="str">
        <f t="shared" si="46"/>
        <v>-</v>
      </c>
      <c r="AA147" s="148" t="str">
        <f t="shared" si="46"/>
        <v>-</v>
      </c>
      <c r="AB147" s="149" t="str">
        <f t="shared" si="46"/>
        <v>-</v>
      </c>
      <c r="AD147" s="137">
        <f t="shared" si="47"/>
        <v>-46.18646307484601</v>
      </c>
      <c r="AE147" s="148" t="str">
        <f t="shared" si="47"/>
        <v>-</v>
      </c>
      <c r="AF147" s="148">
        <f t="shared" si="47"/>
        <v>-44.965222117059206</v>
      </c>
      <c r="AG147" s="148">
        <f t="shared" si="47"/>
        <v>-58.83459271334965</v>
      </c>
      <c r="AH147" s="148">
        <f t="shared" si="47"/>
        <v>-58.202000330862333</v>
      </c>
      <c r="AI147" s="149">
        <f t="shared" si="47"/>
        <v>-54.824360279054517</v>
      </c>
    </row>
    <row r="148" spans="3:35" ht="15" hidden="1" customHeight="1">
      <c r="J148" s="65"/>
      <c r="K148" s="65"/>
      <c r="L148" s="65"/>
      <c r="M148" s="65"/>
      <c r="N148" s="65"/>
      <c r="U148" s="167">
        <f t="shared" si="48"/>
        <v>2024</v>
      </c>
      <c r="V148" s="98" t="s">
        <v>222</v>
      </c>
      <c r="W148" s="137" t="str">
        <f t="shared" ref="W148:AB154" si="49">IF(W110=0,"-",IF(ABS((W122-W110)/ABS(W110))*100&gt;=100,"-",IF((W122/W110)&lt;0,"-",((W122-W110)/ABS(W110))*100)))</f>
        <v>-</v>
      </c>
      <c r="X148" s="148" t="str">
        <f t="shared" si="49"/>
        <v>-</v>
      </c>
      <c r="Y148" s="148" t="str">
        <f t="shared" si="49"/>
        <v>-</v>
      </c>
      <c r="Z148" s="148" t="str">
        <f t="shared" si="49"/>
        <v>-</v>
      </c>
      <c r="AA148" s="148" t="str">
        <f t="shared" si="49"/>
        <v>-</v>
      </c>
      <c r="AB148" s="149" t="str">
        <f t="shared" si="49"/>
        <v>-</v>
      </c>
      <c r="AD148" s="137">
        <f t="shared" ref="AD148:AI154" si="50">IF(AD110=0,"-",IF(ABS((AD122-AD110)/ABS(AD110))*100&gt;=100,"-",IF((AD122/AD110)&lt;0,"-",((AD122-AD110)/ABS(AD110))*100)))</f>
        <v>-50.30935104834041</v>
      </c>
      <c r="AE148" s="148" t="str">
        <f t="shared" si="50"/>
        <v>-</v>
      </c>
      <c r="AF148" s="148">
        <f t="shared" si="50"/>
        <v>-48.827193063568672</v>
      </c>
      <c r="AG148" s="148">
        <f t="shared" si="50"/>
        <v>-66.05177921398095</v>
      </c>
      <c r="AH148" s="148">
        <f t="shared" si="50"/>
        <v>-65.256050192584766</v>
      </c>
      <c r="AI148" s="149">
        <f t="shared" si="50"/>
        <v>-58.829205136938448</v>
      </c>
    </row>
    <row r="149" spans="3:35" ht="15" hidden="1" customHeight="1">
      <c r="J149" s="65"/>
      <c r="K149" s="65"/>
      <c r="L149" s="65"/>
      <c r="M149" s="65"/>
      <c r="N149" s="65"/>
      <c r="U149" s="167">
        <f t="shared" si="48"/>
        <v>2024</v>
      </c>
      <c r="V149" s="98" t="s">
        <v>223</v>
      </c>
      <c r="W149" s="137" t="str">
        <f t="shared" si="49"/>
        <v>-</v>
      </c>
      <c r="X149" s="148" t="str">
        <f t="shared" si="49"/>
        <v>-</v>
      </c>
      <c r="Y149" s="148" t="str">
        <f t="shared" si="49"/>
        <v>-</v>
      </c>
      <c r="Z149" s="148" t="str">
        <f t="shared" si="49"/>
        <v>-</v>
      </c>
      <c r="AA149" s="148" t="str">
        <f t="shared" si="49"/>
        <v>-</v>
      </c>
      <c r="AB149" s="149" t="str">
        <f t="shared" si="49"/>
        <v>-</v>
      </c>
      <c r="AD149" s="137">
        <f t="shared" si="50"/>
        <v>-67.294275444610804</v>
      </c>
      <c r="AE149" s="148" t="str">
        <f t="shared" si="50"/>
        <v>-</v>
      </c>
      <c r="AF149" s="148">
        <f t="shared" si="50"/>
        <v>-59.486917316629594</v>
      </c>
      <c r="AG149" s="148">
        <f t="shared" si="50"/>
        <v>-71.336494375835386</v>
      </c>
      <c r="AH149" s="148">
        <f t="shared" si="50"/>
        <v>-70.1472000959198</v>
      </c>
      <c r="AI149" s="149">
        <f t="shared" si="50"/>
        <v>-69.913606306507461</v>
      </c>
    </row>
    <row r="150" spans="3:35" ht="15" hidden="1" customHeight="1">
      <c r="J150" s="65"/>
      <c r="K150" s="65"/>
      <c r="L150" s="65"/>
      <c r="M150" s="65"/>
      <c r="N150" s="65"/>
      <c r="U150" s="167">
        <f t="shared" si="48"/>
        <v>2024</v>
      </c>
      <c r="V150" s="98" t="s">
        <v>224</v>
      </c>
      <c r="W150" s="137" t="str">
        <f t="shared" si="49"/>
        <v>-</v>
      </c>
      <c r="X150" s="148" t="str">
        <f t="shared" si="49"/>
        <v>-</v>
      </c>
      <c r="Y150" s="148" t="str">
        <f t="shared" si="49"/>
        <v>-</v>
      </c>
      <c r="Z150" s="148" t="str">
        <f t="shared" si="49"/>
        <v>-</v>
      </c>
      <c r="AA150" s="148" t="str">
        <f t="shared" si="49"/>
        <v>-</v>
      </c>
      <c r="AB150" s="149" t="str">
        <f t="shared" si="49"/>
        <v>-</v>
      </c>
      <c r="AD150" s="137">
        <f t="shared" si="50"/>
        <v>-69.927651038297867</v>
      </c>
      <c r="AE150" s="148" t="str">
        <f t="shared" si="50"/>
        <v>-</v>
      </c>
      <c r="AF150" s="148">
        <f t="shared" si="50"/>
        <v>-63.164659674373439</v>
      </c>
      <c r="AG150" s="148">
        <f t="shared" si="50"/>
        <v>-75.228616017175625</v>
      </c>
      <c r="AH150" s="148">
        <f t="shared" si="50"/>
        <v>-75.703702861565958</v>
      </c>
      <c r="AI150" s="149">
        <f t="shared" si="50"/>
        <v>-74.070737069693521</v>
      </c>
    </row>
    <row r="151" spans="3:35" ht="13.2" hidden="1">
      <c r="J151" s="65"/>
      <c r="K151" s="65"/>
      <c r="L151" s="65"/>
      <c r="M151" s="65"/>
      <c r="N151" s="65"/>
      <c r="U151" s="167">
        <f t="shared" si="48"/>
        <v>2024</v>
      </c>
      <c r="V151" s="98" t="s">
        <v>225</v>
      </c>
      <c r="W151" s="137" t="str">
        <f t="shared" si="49"/>
        <v>-</v>
      </c>
      <c r="X151" s="148" t="str">
        <f t="shared" si="49"/>
        <v>-</v>
      </c>
      <c r="Y151" s="148" t="str">
        <f t="shared" si="49"/>
        <v>-</v>
      </c>
      <c r="Z151" s="148" t="str">
        <f t="shared" si="49"/>
        <v>-</v>
      </c>
      <c r="AA151" s="148" t="str">
        <f t="shared" si="49"/>
        <v>-</v>
      </c>
      <c r="AB151" s="149" t="str">
        <f t="shared" si="49"/>
        <v>-</v>
      </c>
      <c r="AD151" s="137">
        <f t="shared" si="50"/>
        <v>-71.978948919107751</v>
      </c>
      <c r="AE151" s="148" t="str">
        <f t="shared" si="50"/>
        <v>-</v>
      </c>
      <c r="AF151" s="148">
        <f t="shared" si="50"/>
        <v>-66.026212399511223</v>
      </c>
      <c r="AG151" s="148">
        <f t="shared" si="50"/>
        <v>-78.141794620834389</v>
      </c>
      <c r="AH151" s="148">
        <f t="shared" si="50"/>
        <v>-77.795743717386728</v>
      </c>
      <c r="AI151" s="149">
        <f t="shared" si="50"/>
        <v>-75.946502454706476</v>
      </c>
    </row>
    <row r="152" spans="3:35" ht="13.2" hidden="1">
      <c r="J152" s="65"/>
      <c r="K152" s="65"/>
      <c r="L152" s="65"/>
      <c r="M152" s="65"/>
      <c r="N152" s="65"/>
      <c r="U152" s="167">
        <f t="shared" si="48"/>
        <v>2024</v>
      </c>
      <c r="V152" s="98" t="s">
        <v>226</v>
      </c>
      <c r="W152" s="137" t="str">
        <f t="shared" si="49"/>
        <v>-</v>
      </c>
      <c r="X152" s="148" t="str">
        <f t="shared" si="49"/>
        <v>-</v>
      </c>
      <c r="Y152" s="148" t="str">
        <f t="shared" si="49"/>
        <v>-</v>
      </c>
      <c r="Z152" s="148" t="str">
        <f t="shared" si="49"/>
        <v>-</v>
      </c>
      <c r="AA152" s="148" t="str">
        <f t="shared" si="49"/>
        <v>-</v>
      </c>
      <c r="AB152" s="149" t="str">
        <f t="shared" si="49"/>
        <v>-</v>
      </c>
      <c r="AD152" s="137">
        <f t="shared" si="50"/>
        <v>-75.576253966220193</v>
      </c>
      <c r="AE152" s="148" t="str">
        <f t="shared" si="50"/>
        <v>-</v>
      </c>
      <c r="AF152" s="148">
        <f t="shared" si="50"/>
        <v>-71.423376684254734</v>
      </c>
      <c r="AG152" s="148">
        <f t="shared" si="50"/>
        <v>-80.471573989681076</v>
      </c>
      <c r="AH152" s="148">
        <f t="shared" si="50"/>
        <v>-79.705941063576319</v>
      </c>
      <c r="AI152" s="149">
        <f t="shared" si="50"/>
        <v>-80.578236118325421</v>
      </c>
    </row>
    <row r="153" spans="3:35" ht="13.2" hidden="1">
      <c r="J153" s="65"/>
      <c r="K153" s="65"/>
      <c r="L153" s="65"/>
      <c r="M153" s="65"/>
      <c r="N153" s="65"/>
      <c r="U153" s="167">
        <f t="shared" si="48"/>
        <v>2024</v>
      </c>
      <c r="V153" s="98" t="s">
        <v>227</v>
      </c>
      <c r="W153" s="137" t="str">
        <f t="shared" si="49"/>
        <v>-</v>
      </c>
      <c r="X153" s="148" t="str">
        <f t="shared" si="49"/>
        <v>-</v>
      </c>
      <c r="Y153" s="148" t="str">
        <f t="shared" si="49"/>
        <v>-</v>
      </c>
      <c r="Z153" s="148" t="str">
        <f t="shared" si="49"/>
        <v>-</v>
      </c>
      <c r="AA153" s="148" t="str">
        <f t="shared" si="49"/>
        <v>-</v>
      </c>
      <c r="AB153" s="149" t="str">
        <f t="shared" si="49"/>
        <v>-</v>
      </c>
      <c r="AD153" s="137">
        <f t="shared" si="50"/>
        <v>-77.963393040621781</v>
      </c>
      <c r="AE153" s="148" t="str">
        <f t="shared" si="50"/>
        <v>-</v>
      </c>
      <c r="AF153" s="148">
        <f t="shared" si="50"/>
        <v>-72.972255533219226</v>
      </c>
      <c r="AG153" s="148">
        <f t="shared" si="50"/>
        <v>-82.299294164057258</v>
      </c>
      <c r="AH153" s="148">
        <f t="shared" si="50"/>
        <v>-81.272721546920522</v>
      </c>
      <c r="AI153" s="149">
        <f t="shared" si="50"/>
        <v>-81.924788504854533</v>
      </c>
    </row>
    <row r="154" spans="3:35" ht="13.2" hidden="1">
      <c r="J154" s="65"/>
      <c r="K154" s="65"/>
      <c r="L154" s="65"/>
      <c r="M154" s="65"/>
      <c r="N154" s="65"/>
      <c r="U154" s="167">
        <f t="shared" si="48"/>
        <v>2024</v>
      </c>
      <c r="V154" s="98" t="s">
        <v>228</v>
      </c>
      <c r="W154" s="137" t="str">
        <f t="shared" si="49"/>
        <v>-</v>
      </c>
      <c r="X154" s="148" t="str">
        <f t="shared" si="49"/>
        <v>-</v>
      </c>
      <c r="Y154" s="148" t="str">
        <f t="shared" si="49"/>
        <v>-</v>
      </c>
      <c r="Z154" s="148" t="str">
        <f t="shared" si="49"/>
        <v>-</v>
      </c>
      <c r="AA154" s="148" t="str">
        <f t="shared" si="49"/>
        <v>-</v>
      </c>
      <c r="AB154" s="149" t="str">
        <f t="shared" si="49"/>
        <v>-</v>
      </c>
      <c r="AD154" s="137">
        <f t="shared" si="50"/>
        <v>-79.372207670112118</v>
      </c>
      <c r="AE154" s="148" t="str">
        <f t="shared" si="50"/>
        <v>-</v>
      </c>
      <c r="AF154" s="148">
        <f t="shared" si="50"/>
        <v>-74.106706054020364</v>
      </c>
      <c r="AG154" s="148">
        <f t="shared" si="50"/>
        <v>-83.709598402592334</v>
      </c>
      <c r="AH154" s="148">
        <f t="shared" si="50"/>
        <v>-82.801177321718882</v>
      </c>
      <c r="AI154" s="149">
        <f t="shared" si="50"/>
        <v>-83.188227925360508</v>
      </c>
    </row>
    <row r="155" spans="3:35" ht="13.2" hidden="1">
      <c r="C155" s="137"/>
      <c r="J155" s="65"/>
      <c r="K155" s="65"/>
      <c r="L155" s="65"/>
      <c r="M155" s="65"/>
      <c r="N155" s="65"/>
    </row>
    <row r="156" spans="3:35" ht="13.2" hidden="1">
      <c r="J156" s="65"/>
      <c r="K156" s="65"/>
      <c r="L156" s="65"/>
      <c r="M156" s="65"/>
      <c r="N156" s="65"/>
      <c r="W156" s="137"/>
      <c r="X156" s="137"/>
      <c r="Y156" s="137"/>
      <c r="Z156" s="137"/>
      <c r="AA156" s="137"/>
      <c r="AB156"/>
    </row>
    <row r="157" spans="3:35" ht="13.2" hidden="1">
      <c r="J157" s="65"/>
      <c r="K157" s="65"/>
      <c r="L157" s="65"/>
      <c r="M157" s="65"/>
      <c r="N157" s="65"/>
      <c r="W157" s="137"/>
      <c r="X157" s="137"/>
      <c r="Y157" s="137"/>
      <c r="Z157" s="137"/>
      <c r="AA157" s="137"/>
      <c r="AB157"/>
    </row>
    <row r="158" spans="3:35" ht="13.2" hidden="1">
      <c r="J158" s="65"/>
      <c r="K158" s="65"/>
      <c r="L158" s="65"/>
      <c r="M158" s="65"/>
      <c r="N158" s="65"/>
      <c r="W158" s="137"/>
      <c r="X158" s="137"/>
      <c r="Y158" s="137"/>
      <c r="Z158" s="137"/>
      <c r="AA158" s="137"/>
      <c r="AB158"/>
    </row>
    <row r="159" spans="3:35" ht="13.2" hidden="1">
      <c r="J159" s="65"/>
      <c r="K159" s="65"/>
      <c r="L159" s="65"/>
      <c r="M159" s="65"/>
      <c r="N159" s="65"/>
      <c r="W159" s="137"/>
      <c r="X159" s="137"/>
      <c r="Y159" s="137"/>
      <c r="Z159" s="137"/>
      <c r="AA159" s="137"/>
      <c r="AB159"/>
    </row>
    <row r="160" spans="3:35" ht="13.2" hidden="1">
      <c r="J160" s="65"/>
      <c r="K160" s="65"/>
      <c r="L160" s="65"/>
      <c r="M160" s="65"/>
      <c r="N160" s="65"/>
      <c r="W160" s="137"/>
      <c r="X160" s="137"/>
      <c r="Y160" s="137"/>
      <c r="Z160" s="137"/>
      <c r="AA160" s="137"/>
      <c r="AB160"/>
    </row>
    <row r="161" spans="10:28" ht="13.2" hidden="1">
      <c r="J161" s="65"/>
      <c r="K161" s="65"/>
      <c r="L161" s="65"/>
      <c r="M161" s="65"/>
      <c r="N161" s="65"/>
      <c r="W161" s="137"/>
      <c r="X161" s="137"/>
      <c r="Y161" s="137"/>
      <c r="Z161" s="137"/>
      <c r="AA161" s="137"/>
      <c r="AB161"/>
    </row>
    <row r="162" spans="10:28" ht="13.2" hidden="1">
      <c r="J162" s="65"/>
      <c r="K162" s="65"/>
      <c r="L162" s="65"/>
      <c r="M162" s="65"/>
      <c r="N162" s="65"/>
      <c r="W162" s="137"/>
      <c r="X162" s="137"/>
      <c r="Y162" s="137"/>
      <c r="Z162" s="137"/>
      <c r="AA162" s="137"/>
      <c r="AB162"/>
    </row>
    <row r="163" spans="10:28" ht="13.2" hidden="1">
      <c r="J163" s="65"/>
      <c r="K163" s="65"/>
      <c r="L163" s="65"/>
      <c r="M163" s="65"/>
      <c r="N163" s="65"/>
      <c r="W163" s="137"/>
      <c r="X163" s="137"/>
      <c r="Y163" s="137"/>
      <c r="Z163" s="137"/>
      <c r="AA163" s="137"/>
      <c r="AB163"/>
    </row>
    <row r="164" spans="10:28" ht="13.2" hidden="1">
      <c r="J164" s="65"/>
      <c r="K164" s="65"/>
      <c r="L164" s="65"/>
      <c r="M164" s="65"/>
      <c r="N164" s="65"/>
      <c r="W164" s="137"/>
      <c r="X164" s="137"/>
      <c r="Y164" s="137"/>
      <c r="Z164" s="137"/>
      <c r="AA164" s="137"/>
      <c r="AB164"/>
    </row>
    <row r="165" spans="10:28" ht="13.2" hidden="1">
      <c r="J165" s="65"/>
      <c r="K165" s="65"/>
      <c r="L165" s="65"/>
      <c r="M165" s="65"/>
      <c r="N165" s="65"/>
      <c r="W165" s="137"/>
      <c r="X165" s="137"/>
      <c r="Y165" s="137"/>
      <c r="Z165" s="137"/>
      <c r="AA165" s="137"/>
      <c r="AB165"/>
    </row>
    <row r="166" spans="10:28" ht="13.2" hidden="1">
      <c r="J166" s="65"/>
      <c r="K166" s="65"/>
      <c r="L166" s="65"/>
      <c r="M166" s="65"/>
      <c r="N166" s="65"/>
      <c r="W166" s="137"/>
      <c r="X166" s="137"/>
      <c r="Y166" s="137"/>
      <c r="Z166" s="137"/>
      <c r="AA166" s="137"/>
      <c r="AB166"/>
    </row>
    <row r="167" spans="10:28" ht="13.2" hidden="1">
      <c r="J167" s="65"/>
      <c r="K167" s="65"/>
      <c r="L167" s="65"/>
      <c r="M167" s="65"/>
      <c r="N167" s="65"/>
      <c r="W167" s="137"/>
      <c r="X167" s="137"/>
      <c r="Y167" s="137"/>
      <c r="Z167" s="137"/>
      <c r="AA167" s="137"/>
      <c r="AB167"/>
    </row>
    <row r="168" spans="10:28" ht="12.6" hidden="1">
      <c r="J168" s="65"/>
      <c r="K168" s="65"/>
      <c r="L168" s="65"/>
      <c r="M168" s="65"/>
      <c r="N168" s="65"/>
    </row>
    <row r="169" spans="10:28" ht="12.6" hidden="1">
      <c r="J169" s="65"/>
      <c r="K169" s="65"/>
      <c r="L169" s="65"/>
      <c r="M169" s="65"/>
      <c r="N169" s="65"/>
    </row>
    <row r="170" spans="10:28" ht="12.6" hidden="1">
      <c r="J170" s="65"/>
      <c r="K170" s="65"/>
      <c r="L170" s="65"/>
      <c r="M170" s="65"/>
      <c r="N170" s="65"/>
    </row>
    <row r="171" spans="10:28" ht="12.6" hidden="1">
      <c r="J171" s="65"/>
      <c r="K171" s="65"/>
      <c r="L171" s="65"/>
      <c r="M171" s="65"/>
      <c r="N171" s="65"/>
    </row>
    <row r="172" spans="10:28" ht="12.6" hidden="1">
      <c r="J172" s="65"/>
      <c r="K172" s="65"/>
      <c r="L172" s="65"/>
      <c r="M172" s="65"/>
      <c r="N172" s="65"/>
    </row>
    <row r="173" spans="10:28" ht="12.6" hidden="1">
      <c r="J173" s="65"/>
      <c r="K173" s="65"/>
      <c r="L173" s="65"/>
      <c r="M173" s="65"/>
      <c r="N173" s="65"/>
    </row>
    <row r="174" spans="10:28" ht="12.6" hidden="1">
      <c r="J174" s="65"/>
      <c r="K174" s="65"/>
      <c r="L174" s="65"/>
      <c r="M174" s="65"/>
      <c r="N174" s="65"/>
    </row>
    <row r="175" spans="10:28" ht="12.6" hidden="1">
      <c r="J175" s="65"/>
      <c r="K175" s="65"/>
      <c r="L175" s="65"/>
      <c r="M175" s="65"/>
      <c r="N175" s="65"/>
    </row>
    <row r="176" spans="10:28" ht="12.6" hidden="1">
      <c r="J176" s="65"/>
      <c r="K176" s="65"/>
      <c r="L176" s="65"/>
      <c r="M176" s="65"/>
      <c r="N176" s="65"/>
    </row>
    <row r="177" spans="10:14" ht="12.6" hidden="1">
      <c r="J177" s="65"/>
      <c r="K177" s="65"/>
      <c r="L177" s="65"/>
      <c r="M177" s="65"/>
      <c r="N177" s="65"/>
    </row>
    <row r="178" spans="10:14" ht="12.6" hidden="1">
      <c r="J178" s="65"/>
      <c r="K178" s="65"/>
      <c r="L178" s="65"/>
      <c r="M178" s="65"/>
      <c r="N178" s="65"/>
    </row>
    <row r="179" spans="10:14" ht="12.6" hidden="1">
      <c r="J179" s="65"/>
      <c r="K179" s="65"/>
      <c r="L179" s="65"/>
      <c r="M179" s="65"/>
      <c r="N179" s="65"/>
    </row>
    <row r="180" spans="10:14" ht="12.6" hidden="1">
      <c r="J180" s="65"/>
      <c r="K180" s="65"/>
      <c r="L180" s="65"/>
      <c r="M180" s="65"/>
      <c r="N180" s="65"/>
    </row>
    <row r="181" spans="10:14" ht="12.6" hidden="1">
      <c r="J181" s="65"/>
      <c r="K181" s="65"/>
      <c r="L181" s="65"/>
      <c r="M181" s="65"/>
      <c r="N181" s="65"/>
    </row>
    <row r="182" spans="10:14" ht="12.6" hidden="1">
      <c r="J182" s="65"/>
      <c r="K182" s="65"/>
      <c r="L182" s="65"/>
      <c r="M182" s="65"/>
      <c r="N182" s="65"/>
    </row>
    <row r="183" spans="10:14" ht="12.6" hidden="1">
      <c r="J183" s="65"/>
      <c r="K183" s="65"/>
      <c r="L183" s="65"/>
      <c r="M183" s="65"/>
      <c r="N183" s="65"/>
    </row>
    <row r="184" spans="10:14" ht="12.6" hidden="1">
      <c r="J184" s="65"/>
      <c r="K184" s="65"/>
      <c r="L184" s="65"/>
      <c r="M184" s="65"/>
      <c r="N184" s="65"/>
    </row>
    <row r="185" spans="10:14" ht="12.6" hidden="1">
      <c r="J185" s="65"/>
      <c r="K185" s="65"/>
      <c r="L185" s="65"/>
      <c r="M185" s="65"/>
      <c r="N185" s="65"/>
    </row>
    <row r="186" spans="10:14" ht="12.6" hidden="1">
      <c r="J186" s="65"/>
      <c r="K186" s="65"/>
      <c r="L186" s="65"/>
      <c r="M186" s="65"/>
      <c r="N186" s="65"/>
    </row>
    <row r="187" spans="10:14" ht="12.6" hidden="1">
      <c r="J187" s="65"/>
      <c r="K187" s="65"/>
      <c r="L187" s="65"/>
      <c r="M187" s="65"/>
      <c r="N187" s="65"/>
    </row>
    <row r="188" spans="10:14" ht="12.6" hidden="1">
      <c r="J188" s="65"/>
      <c r="K188" s="65"/>
      <c r="L188" s="65"/>
      <c r="M188" s="65"/>
      <c r="N188" s="65"/>
    </row>
    <row r="189" spans="10:14" ht="12.6" hidden="1">
      <c r="J189" s="65"/>
      <c r="K189" s="65"/>
      <c r="L189" s="65"/>
      <c r="M189" s="65"/>
      <c r="N189" s="65"/>
    </row>
    <row r="190" spans="10:14" ht="12.6" hidden="1">
      <c r="J190" s="65"/>
      <c r="K190" s="65"/>
      <c r="L190" s="65"/>
      <c r="M190" s="65"/>
      <c r="N190" s="65"/>
    </row>
    <row r="191" spans="10:14" ht="12.6" hidden="1">
      <c r="J191" s="65"/>
      <c r="K191" s="65"/>
      <c r="L191" s="65"/>
      <c r="M191" s="65"/>
      <c r="N191" s="65"/>
    </row>
    <row r="192" spans="10:14" ht="12.6" hidden="1">
      <c r="J192" s="65"/>
      <c r="K192" s="65"/>
      <c r="L192" s="65"/>
      <c r="M192" s="65"/>
      <c r="N192" s="65"/>
    </row>
    <row r="193" spans="10:14" ht="12.6" hidden="1">
      <c r="J193" s="65"/>
      <c r="K193" s="65"/>
      <c r="L193" s="65"/>
      <c r="M193" s="65"/>
      <c r="N193" s="65"/>
    </row>
    <row r="194" spans="10:14" ht="12.6" hidden="1">
      <c r="J194" s="65"/>
      <c r="K194" s="65"/>
      <c r="L194" s="65"/>
      <c r="M194" s="65"/>
      <c r="N194" s="65"/>
    </row>
    <row r="195" spans="10:14" ht="12.6" hidden="1">
      <c r="J195" s="65"/>
      <c r="K195" s="65"/>
      <c r="L195" s="65"/>
      <c r="M195" s="65"/>
      <c r="N195" s="65"/>
    </row>
    <row r="196" spans="10:14" ht="12.6" hidden="1">
      <c r="J196" s="65"/>
      <c r="K196" s="65"/>
      <c r="L196" s="65"/>
      <c r="M196" s="65"/>
      <c r="N196" s="65"/>
    </row>
    <row r="197" spans="10:14" ht="12.6" hidden="1">
      <c r="J197" s="65"/>
      <c r="K197" s="65"/>
      <c r="L197" s="65"/>
      <c r="M197" s="65"/>
      <c r="N197" s="65"/>
    </row>
    <row r="198" spans="10:14" ht="12.6" hidden="1">
      <c r="J198" s="65"/>
      <c r="K198" s="65"/>
      <c r="L198" s="65"/>
      <c r="M198" s="65"/>
      <c r="N198" s="65"/>
    </row>
    <row r="199" spans="10:14" ht="12.6" hidden="1">
      <c r="J199" s="65"/>
      <c r="K199" s="65"/>
      <c r="L199" s="65"/>
      <c r="M199" s="65"/>
      <c r="N199" s="65"/>
    </row>
    <row r="200" spans="10:14" ht="12.6" hidden="1">
      <c r="J200" s="65"/>
      <c r="K200" s="65"/>
      <c r="L200" s="65"/>
      <c r="M200" s="65"/>
      <c r="N200" s="65"/>
    </row>
    <row r="201" spans="10:14" ht="12.6" hidden="1">
      <c r="J201" s="65"/>
      <c r="K201" s="65"/>
      <c r="L201" s="65"/>
      <c r="M201" s="65"/>
      <c r="N201" s="65"/>
    </row>
    <row r="202" spans="10:14" ht="12.6" hidden="1">
      <c r="J202" s="65"/>
      <c r="K202" s="65"/>
      <c r="L202" s="65"/>
      <c r="M202" s="65"/>
      <c r="N202" s="65"/>
    </row>
    <row r="203" spans="10:14" ht="12.6" hidden="1">
      <c r="J203" s="65"/>
      <c r="K203" s="65"/>
      <c r="L203" s="65"/>
      <c r="M203" s="65"/>
      <c r="N203" s="65"/>
    </row>
    <row r="204" spans="10:14" ht="12.6" hidden="1">
      <c r="J204" s="65"/>
      <c r="K204" s="65"/>
      <c r="L204" s="65"/>
      <c r="M204" s="65"/>
      <c r="N204" s="65"/>
    </row>
    <row r="205" spans="10:14" ht="12.6" hidden="1">
      <c r="J205" s="65"/>
      <c r="K205" s="65"/>
      <c r="L205" s="65"/>
      <c r="M205" s="65"/>
      <c r="N205" s="65"/>
    </row>
    <row r="206" spans="10:14" ht="12.6" hidden="1">
      <c r="J206" s="65"/>
      <c r="K206" s="65"/>
      <c r="L206" s="65"/>
      <c r="M206" s="65"/>
      <c r="N206" s="65"/>
    </row>
    <row r="207" spans="10:14" ht="12.6" hidden="1">
      <c r="J207" s="65"/>
      <c r="K207" s="65"/>
      <c r="L207" s="65"/>
      <c r="M207" s="65"/>
      <c r="N207" s="65"/>
    </row>
    <row r="208" spans="10:14" ht="12.6" hidden="1">
      <c r="J208" s="65"/>
      <c r="K208" s="65"/>
      <c r="L208" s="65"/>
      <c r="M208" s="65"/>
      <c r="N208" s="65"/>
    </row>
    <row r="209" spans="10:14" ht="12.6" hidden="1">
      <c r="J209" s="65"/>
      <c r="K209" s="65"/>
      <c r="L209" s="65"/>
      <c r="M209" s="65"/>
      <c r="N209" s="65"/>
    </row>
    <row r="210" spans="10:14" ht="12.6" hidden="1">
      <c r="J210" s="65"/>
      <c r="K210" s="65"/>
      <c r="L210" s="65"/>
      <c r="M210" s="65"/>
      <c r="N210" s="65"/>
    </row>
    <row r="211" spans="10:14" ht="12.6" hidden="1">
      <c r="J211" s="65"/>
      <c r="K211" s="65"/>
      <c r="L211" s="65"/>
      <c r="M211" s="65"/>
      <c r="N211" s="65"/>
    </row>
    <row r="212" spans="10:14" ht="12.6" hidden="1">
      <c r="J212" s="65"/>
      <c r="K212" s="65"/>
      <c r="L212" s="65"/>
      <c r="M212" s="65"/>
      <c r="N212" s="65"/>
    </row>
    <row r="213" spans="10:14" ht="12.6" hidden="1">
      <c r="J213" s="65"/>
      <c r="K213" s="65"/>
      <c r="L213" s="65"/>
      <c r="M213" s="65"/>
      <c r="N213" s="65"/>
    </row>
    <row r="214" spans="10:14" ht="12.6" hidden="1">
      <c r="J214" s="65"/>
      <c r="K214" s="65"/>
      <c r="L214" s="65"/>
      <c r="M214" s="65"/>
      <c r="N214" s="65"/>
    </row>
    <row r="215" spans="10:14" ht="12.6" hidden="1">
      <c r="J215" s="65"/>
      <c r="K215" s="65"/>
      <c r="L215" s="65"/>
      <c r="M215" s="65"/>
      <c r="N215" s="65"/>
    </row>
    <row r="216" spans="10:14" ht="12.6" hidden="1">
      <c r="J216" s="65"/>
      <c r="K216" s="65"/>
      <c r="L216" s="65"/>
      <c r="M216" s="65"/>
      <c r="N216" s="65"/>
    </row>
    <row r="217" spans="10:14" ht="12.6" hidden="1">
      <c r="J217" s="65"/>
      <c r="K217" s="65"/>
      <c r="L217" s="65"/>
      <c r="M217" s="65"/>
      <c r="N217" s="65"/>
    </row>
    <row r="218" spans="10:14" ht="12.6" hidden="1">
      <c r="J218" s="65"/>
      <c r="K218" s="65"/>
      <c r="L218" s="65"/>
      <c r="M218" s="65"/>
      <c r="N218" s="65"/>
    </row>
    <row r="219" spans="10:14" ht="12.6" hidden="1">
      <c r="J219" s="65"/>
      <c r="K219" s="65"/>
      <c r="L219" s="65"/>
      <c r="M219" s="65"/>
      <c r="N219" s="65"/>
    </row>
    <row r="220" spans="10:14" ht="12.6" hidden="1">
      <c r="J220" s="65"/>
      <c r="K220" s="65"/>
      <c r="L220" s="65"/>
      <c r="M220" s="65"/>
      <c r="N220" s="65"/>
    </row>
    <row r="221" spans="10:14" ht="12.6" hidden="1">
      <c r="J221" s="65"/>
      <c r="K221" s="65"/>
      <c r="L221" s="65"/>
      <c r="M221" s="65"/>
      <c r="N221" s="65"/>
    </row>
    <row r="222" spans="10:14" ht="12.6" hidden="1">
      <c r="J222" s="65"/>
      <c r="K222" s="65"/>
      <c r="L222" s="65"/>
      <c r="M222" s="65"/>
      <c r="N222" s="65"/>
    </row>
    <row r="223" spans="10:14" ht="12.6" hidden="1">
      <c r="J223" s="65"/>
      <c r="K223" s="65"/>
      <c r="L223" s="65"/>
      <c r="M223" s="65"/>
      <c r="N223" s="65"/>
    </row>
    <row r="224" spans="10:14" ht="12.6" hidden="1">
      <c r="J224" s="65"/>
      <c r="K224" s="65"/>
      <c r="L224" s="65"/>
      <c r="M224" s="65"/>
      <c r="N224" s="65"/>
    </row>
    <row r="225" spans="10:14" ht="12.6" hidden="1">
      <c r="J225" s="65"/>
      <c r="K225" s="65"/>
      <c r="L225" s="65"/>
      <c r="M225" s="65"/>
      <c r="N225" s="65"/>
    </row>
    <row r="226" spans="10:14" ht="12.6" hidden="1">
      <c r="J226" s="65"/>
      <c r="K226" s="65"/>
      <c r="L226" s="65"/>
      <c r="M226" s="65"/>
      <c r="N226" s="65"/>
    </row>
    <row r="227" spans="10:14" ht="12.6" hidden="1">
      <c r="J227" s="65"/>
      <c r="K227" s="65"/>
      <c r="L227" s="65"/>
      <c r="M227" s="65"/>
      <c r="N227" s="65"/>
    </row>
    <row r="228" spans="10:14" ht="12.6" hidden="1">
      <c r="J228" s="65"/>
      <c r="K228" s="65"/>
      <c r="L228" s="65"/>
      <c r="M228" s="65"/>
      <c r="N228" s="65"/>
    </row>
    <row r="229" spans="10:14" ht="12.6" hidden="1">
      <c r="J229" s="65"/>
      <c r="K229" s="65"/>
      <c r="L229" s="65"/>
      <c r="M229" s="65"/>
      <c r="N229" s="65"/>
    </row>
    <row r="230" spans="10:14" ht="12.6" hidden="1">
      <c r="J230" s="65"/>
      <c r="K230" s="65"/>
      <c r="L230" s="65"/>
      <c r="M230" s="65"/>
      <c r="N230" s="65"/>
    </row>
    <row r="231" spans="10:14" ht="12.6" hidden="1">
      <c r="J231" s="65"/>
      <c r="K231" s="65"/>
      <c r="L231" s="65"/>
      <c r="M231" s="65"/>
      <c r="N231" s="65"/>
    </row>
    <row r="232" spans="10:14" ht="12.6" hidden="1">
      <c r="J232" s="65"/>
      <c r="K232" s="65"/>
      <c r="L232" s="65"/>
      <c r="M232" s="65"/>
      <c r="N232" s="65"/>
    </row>
    <row r="233" spans="10:14" ht="12.6" hidden="1">
      <c r="J233" s="65"/>
      <c r="K233" s="65"/>
      <c r="L233" s="65"/>
      <c r="M233" s="65"/>
      <c r="N233" s="65"/>
    </row>
    <row r="234" spans="10:14" ht="12.6" hidden="1">
      <c r="J234" s="65"/>
      <c r="K234" s="65"/>
      <c r="L234" s="65"/>
      <c r="M234" s="65"/>
      <c r="N234" s="65"/>
    </row>
    <row r="235" spans="10:14" ht="12.6" hidden="1">
      <c r="J235" s="65"/>
      <c r="K235" s="65"/>
      <c r="L235" s="65"/>
      <c r="M235" s="65"/>
      <c r="N235" s="65"/>
    </row>
    <row r="236" spans="10:14" ht="12.6" hidden="1">
      <c r="J236" s="65"/>
      <c r="K236" s="65"/>
      <c r="L236" s="65"/>
      <c r="M236" s="65"/>
      <c r="N236" s="65"/>
    </row>
    <row r="237" spans="10:14" ht="12.6" hidden="1">
      <c r="J237" s="65"/>
      <c r="K237" s="65"/>
      <c r="L237" s="65"/>
      <c r="M237" s="65"/>
      <c r="N237" s="65"/>
    </row>
    <row r="238" spans="10:14" ht="12.6" hidden="1">
      <c r="J238" s="65"/>
      <c r="K238" s="65"/>
      <c r="L238" s="65"/>
      <c r="M238" s="65"/>
      <c r="N238" s="65"/>
    </row>
    <row r="239" spans="10:14" ht="12.6" hidden="1">
      <c r="J239" s="65"/>
      <c r="K239" s="65"/>
      <c r="L239" s="65"/>
      <c r="M239" s="65"/>
      <c r="N239" s="65"/>
    </row>
    <row r="240" spans="10:14" ht="12.6" hidden="1">
      <c r="J240" s="65"/>
      <c r="K240" s="65"/>
      <c r="L240" s="65"/>
      <c r="M240" s="65"/>
      <c r="N240" s="65"/>
    </row>
    <row r="241" spans="10:14" ht="12.6" hidden="1">
      <c r="J241" s="65"/>
      <c r="K241" s="65"/>
      <c r="L241" s="65"/>
      <c r="M241" s="65"/>
      <c r="N241" s="65"/>
    </row>
    <row r="242" spans="10:14" ht="12.6" hidden="1">
      <c r="J242" s="65"/>
      <c r="K242" s="65"/>
      <c r="L242" s="65"/>
      <c r="M242" s="65"/>
      <c r="N242" s="65"/>
    </row>
    <row r="243" spans="10:14" ht="12.6" hidden="1">
      <c r="J243" s="65"/>
      <c r="K243" s="65"/>
      <c r="L243" s="65"/>
      <c r="M243" s="65"/>
      <c r="N243" s="65"/>
    </row>
    <row r="244" spans="10:14" ht="12.6" hidden="1">
      <c r="J244" s="65"/>
      <c r="K244" s="65"/>
      <c r="L244" s="65"/>
      <c r="M244" s="65"/>
      <c r="N244" s="65"/>
    </row>
    <row r="245" spans="10:14" ht="12.6" hidden="1">
      <c r="J245" s="65"/>
      <c r="K245" s="65"/>
      <c r="L245" s="65"/>
      <c r="M245" s="65"/>
      <c r="N245" s="65"/>
    </row>
    <row r="246" spans="10:14" ht="12.6" hidden="1">
      <c r="J246" s="65"/>
      <c r="K246" s="65"/>
      <c r="L246" s="65"/>
      <c r="M246" s="65"/>
      <c r="N246" s="65"/>
    </row>
    <row r="247" spans="10:14" ht="12.6" hidden="1">
      <c r="J247" s="65"/>
      <c r="K247" s="65"/>
      <c r="L247" s="65"/>
      <c r="M247" s="65"/>
      <c r="N247" s="65"/>
    </row>
    <row r="248" spans="10:14" ht="12.6" hidden="1">
      <c r="J248" s="65"/>
      <c r="K248" s="65"/>
      <c r="L248" s="65"/>
      <c r="M248" s="65"/>
      <c r="N248" s="65"/>
    </row>
    <row r="249" spans="10:14" ht="12.6" hidden="1">
      <c r="J249" s="65"/>
      <c r="K249" s="65"/>
      <c r="L249" s="65"/>
      <c r="M249" s="65"/>
      <c r="N249" s="65"/>
    </row>
    <row r="250" spans="10:14" ht="12.6" hidden="1">
      <c r="J250" s="65"/>
      <c r="K250" s="65"/>
      <c r="L250" s="65"/>
      <c r="M250" s="65"/>
      <c r="N250" s="65"/>
    </row>
    <row r="251" spans="10:14" ht="12.6" hidden="1">
      <c r="J251" s="65"/>
      <c r="K251" s="65"/>
      <c r="L251" s="65"/>
      <c r="M251" s="65"/>
      <c r="N251" s="65"/>
    </row>
    <row r="252" spans="10:14" ht="12.6" hidden="1">
      <c r="J252" s="65"/>
      <c r="K252" s="65"/>
      <c r="L252" s="65"/>
      <c r="M252" s="65"/>
      <c r="N252" s="65"/>
    </row>
    <row r="253" spans="10:14" ht="12.6" hidden="1">
      <c r="J253" s="65"/>
      <c r="K253" s="65"/>
      <c r="L253" s="65"/>
      <c r="M253" s="65"/>
      <c r="N253" s="65"/>
    </row>
    <row r="254" spans="10:14" ht="12.6" hidden="1">
      <c r="J254" s="65"/>
      <c r="K254" s="65"/>
      <c r="L254" s="65"/>
      <c r="M254" s="65"/>
      <c r="N254" s="65"/>
    </row>
    <row r="255" spans="10:14" ht="12.6" hidden="1">
      <c r="J255" s="65"/>
      <c r="K255" s="65"/>
      <c r="L255" s="65"/>
      <c r="M255" s="65"/>
      <c r="N255" s="65"/>
    </row>
    <row r="256" spans="10:14" ht="12.6" hidden="1">
      <c r="J256" s="65"/>
      <c r="K256" s="65"/>
      <c r="L256" s="65"/>
      <c r="M256" s="65"/>
      <c r="N256" s="65"/>
    </row>
    <row r="257" spans="10:14" ht="12.6" hidden="1">
      <c r="J257" s="65"/>
      <c r="K257" s="65"/>
      <c r="L257" s="65"/>
      <c r="M257" s="65"/>
      <c r="N257" s="65"/>
    </row>
    <row r="258" spans="10:14" ht="12.6" hidden="1">
      <c r="J258" s="65"/>
      <c r="K258" s="65"/>
      <c r="L258" s="65"/>
      <c r="M258" s="65"/>
      <c r="N258" s="65"/>
    </row>
    <row r="259" spans="10:14" ht="12.6" hidden="1">
      <c r="J259" s="65"/>
      <c r="K259" s="65"/>
      <c r="L259" s="65"/>
      <c r="M259" s="65"/>
      <c r="N259" s="65"/>
    </row>
    <row r="260" spans="10:14" ht="12.6" hidden="1">
      <c r="J260" s="65"/>
      <c r="K260" s="65"/>
      <c r="L260" s="65"/>
      <c r="M260" s="65"/>
      <c r="N260" s="65"/>
    </row>
    <row r="261" spans="10:14" ht="12.6" hidden="1">
      <c r="J261" s="65"/>
      <c r="K261" s="65"/>
      <c r="L261" s="65"/>
      <c r="M261" s="65"/>
      <c r="N261" s="65"/>
    </row>
    <row r="262" spans="10:14" ht="12.6" hidden="1">
      <c r="J262" s="65"/>
      <c r="K262" s="65"/>
      <c r="L262" s="65"/>
      <c r="M262" s="65"/>
      <c r="N262" s="65"/>
    </row>
    <row r="263" spans="10:14" ht="12.6" hidden="1">
      <c r="J263" s="65"/>
      <c r="K263" s="65"/>
      <c r="L263" s="65"/>
      <c r="M263" s="65"/>
      <c r="N263" s="65"/>
    </row>
    <row r="264" spans="10:14" ht="12.6" hidden="1">
      <c r="J264" s="65"/>
      <c r="K264" s="65"/>
      <c r="L264" s="65"/>
      <c r="M264" s="65"/>
      <c r="N264" s="65"/>
    </row>
    <row r="265" spans="10:14" ht="12.6" hidden="1">
      <c r="J265" s="65"/>
      <c r="K265" s="65"/>
      <c r="L265" s="65"/>
      <c r="M265" s="65"/>
      <c r="N265" s="65"/>
    </row>
    <row r="266" spans="10:14" ht="12.6" hidden="1">
      <c r="J266" s="65"/>
      <c r="K266" s="65"/>
      <c r="L266" s="65"/>
      <c r="M266" s="65"/>
      <c r="N266" s="65"/>
    </row>
    <row r="267" spans="10:14" ht="12.6" hidden="1">
      <c r="J267" s="65"/>
      <c r="K267" s="65"/>
      <c r="L267" s="65"/>
      <c r="M267" s="65"/>
      <c r="N267" s="65"/>
    </row>
    <row r="268" spans="10:14" ht="12.6" hidden="1">
      <c r="J268" s="65"/>
      <c r="K268" s="65"/>
      <c r="L268" s="65"/>
      <c r="M268" s="65"/>
      <c r="N268" s="65"/>
    </row>
    <row r="269" spans="10:14" ht="12.6" hidden="1">
      <c r="J269" s="65"/>
      <c r="K269" s="65"/>
      <c r="L269" s="65"/>
      <c r="M269" s="65"/>
      <c r="N269" s="65"/>
    </row>
    <row r="270" spans="10:14" ht="12.6" hidden="1">
      <c r="J270" s="65"/>
      <c r="K270" s="65"/>
      <c r="L270" s="65"/>
      <c r="M270" s="65"/>
      <c r="N270" s="65"/>
    </row>
    <row r="271" spans="10:14" ht="12.6" hidden="1">
      <c r="J271" s="65"/>
      <c r="K271" s="65"/>
      <c r="L271" s="65"/>
      <c r="M271" s="65"/>
      <c r="N271" s="65"/>
    </row>
    <row r="272" spans="10:14" ht="12.6" hidden="1">
      <c r="J272" s="65"/>
      <c r="K272" s="65"/>
      <c r="L272" s="65"/>
      <c r="M272" s="65"/>
      <c r="N272" s="65"/>
    </row>
    <row r="273" spans="10:14" ht="12.6" hidden="1">
      <c r="J273" s="65"/>
      <c r="K273" s="65"/>
      <c r="L273" s="65"/>
      <c r="M273" s="65"/>
      <c r="N273" s="65"/>
    </row>
    <row r="274" spans="10:14" ht="12.6" hidden="1">
      <c r="J274" s="65"/>
      <c r="K274" s="65"/>
      <c r="L274" s="65"/>
      <c r="M274" s="65"/>
      <c r="N274" s="65"/>
    </row>
    <row r="275" spans="10:14" ht="12.6" hidden="1">
      <c r="J275" s="65"/>
      <c r="K275" s="65"/>
      <c r="L275" s="65"/>
      <c r="M275" s="65"/>
      <c r="N275" s="65"/>
    </row>
    <row r="276" spans="10:14" ht="12.6" hidden="1">
      <c r="J276" s="65"/>
      <c r="K276" s="65"/>
      <c r="L276" s="65"/>
      <c r="M276" s="65"/>
      <c r="N276" s="65"/>
    </row>
    <row r="277" spans="10:14" ht="12.6" hidden="1">
      <c r="J277" s="65"/>
      <c r="K277" s="65"/>
      <c r="L277" s="65"/>
      <c r="M277" s="65"/>
      <c r="N277" s="65"/>
    </row>
    <row r="278" spans="10:14" ht="12.6" hidden="1">
      <c r="J278" s="65"/>
      <c r="K278" s="65"/>
      <c r="L278" s="65"/>
      <c r="M278" s="65"/>
      <c r="N278" s="65"/>
    </row>
    <row r="279" spans="10:14" ht="12.6" hidden="1">
      <c r="J279" s="65"/>
      <c r="K279" s="65"/>
      <c r="L279" s="65"/>
      <c r="M279" s="65"/>
      <c r="N279" s="65"/>
    </row>
    <row r="280" spans="10:14" ht="12.6" hidden="1">
      <c r="J280" s="65"/>
      <c r="K280" s="65"/>
      <c r="L280" s="65"/>
      <c r="M280" s="65"/>
      <c r="N280" s="65"/>
    </row>
    <row r="281" spans="10:14" ht="12.6" hidden="1">
      <c r="J281" s="65"/>
      <c r="K281" s="65"/>
      <c r="L281" s="65"/>
      <c r="M281" s="65"/>
      <c r="N281" s="65"/>
    </row>
    <row r="282" spans="10:14" ht="12.6" hidden="1">
      <c r="J282" s="65"/>
      <c r="K282" s="65"/>
      <c r="L282" s="65"/>
      <c r="M282" s="65"/>
      <c r="N282" s="65"/>
    </row>
    <row r="283" spans="10:14" ht="12.6" hidden="1">
      <c r="J283" s="65"/>
      <c r="K283" s="65"/>
      <c r="L283" s="65"/>
      <c r="M283" s="65"/>
      <c r="N283" s="65"/>
    </row>
    <row r="284" spans="10:14" ht="12.6" hidden="1">
      <c r="J284" s="65"/>
      <c r="K284" s="65"/>
      <c r="L284" s="65"/>
      <c r="M284" s="65"/>
      <c r="N284" s="65"/>
    </row>
    <row r="285" spans="10:14" ht="12.6" hidden="1">
      <c r="J285" s="65"/>
      <c r="K285" s="65"/>
      <c r="L285" s="65"/>
      <c r="M285" s="65"/>
      <c r="N285" s="65"/>
    </row>
    <row r="286" spans="10:14" ht="12.6" hidden="1">
      <c r="J286" s="65"/>
      <c r="K286" s="65"/>
      <c r="L286" s="65"/>
      <c r="M286" s="65"/>
      <c r="N286" s="65"/>
    </row>
    <row r="287" spans="10:14" ht="12.6" hidden="1">
      <c r="J287" s="65"/>
      <c r="K287" s="65"/>
      <c r="L287" s="65"/>
      <c r="M287" s="65"/>
      <c r="N287" s="65"/>
    </row>
    <row r="288" spans="10:14" ht="12.6" hidden="1">
      <c r="J288" s="65"/>
      <c r="K288" s="65"/>
      <c r="L288" s="65"/>
      <c r="M288" s="65"/>
      <c r="N288" s="65"/>
    </row>
    <row r="289" spans="10:14" ht="12.6" hidden="1">
      <c r="J289" s="65"/>
      <c r="K289" s="65"/>
      <c r="L289" s="65"/>
      <c r="M289" s="65"/>
      <c r="N289" s="65"/>
    </row>
    <row r="290" spans="10:14" ht="12.6" hidden="1">
      <c r="J290" s="65"/>
      <c r="K290" s="65"/>
      <c r="L290" s="65"/>
      <c r="M290" s="65"/>
      <c r="N290" s="65"/>
    </row>
    <row r="291" spans="10:14" ht="12.6" hidden="1">
      <c r="J291" s="65"/>
      <c r="K291" s="65"/>
      <c r="L291" s="65"/>
      <c r="M291" s="65"/>
      <c r="N291" s="65"/>
    </row>
    <row r="292" spans="10:14" ht="12.6" hidden="1">
      <c r="J292" s="65"/>
      <c r="K292" s="65"/>
      <c r="L292" s="65"/>
      <c r="M292" s="65"/>
      <c r="N292" s="65"/>
    </row>
    <row r="293" spans="10:14" ht="12.6" hidden="1">
      <c r="J293" s="65"/>
      <c r="K293" s="65"/>
      <c r="L293" s="65"/>
      <c r="M293" s="65"/>
      <c r="N293" s="65"/>
    </row>
    <row r="294" spans="10:14" ht="12.6" hidden="1">
      <c r="J294" s="65"/>
      <c r="K294" s="65"/>
      <c r="L294" s="65"/>
      <c r="M294" s="65"/>
      <c r="N294" s="65"/>
    </row>
    <row r="295" spans="10:14" ht="12.6" hidden="1">
      <c r="J295" s="65"/>
      <c r="K295" s="65"/>
      <c r="L295" s="65"/>
      <c r="M295" s="65"/>
      <c r="N295" s="65"/>
    </row>
    <row r="296" spans="10:14" ht="12.6" hidden="1">
      <c r="J296" s="65"/>
      <c r="K296" s="65"/>
      <c r="L296" s="65"/>
      <c r="M296" s="65"/>
      <c r="N296" s="65"/>
    </row>
    <row r="297" spans="10:14" ht="12.6" hidden="1">
      <c r="J297" s="65"/>
      <c r="K297" s="65"/>
      <c r="L297" s="65"/>
      <c r="M297" s="65"/>
      <c r="N297" s="65"/>
    </row>
    <row r="298" spans="10:14" ht="12.6" hidden="1">
      <c r="J298" s="65"/>
      <c r="K298" s="65"/>
      <c r="L298" s="65"/>
      <c r="M298" s="65"/>
      <c r="N298" s="65"/>
    </row>
    <row r="299" spans="10:14" ht="12.6" hidden="1">
      <c r="J299" s="65"/>
      <c r="K299" s="65"/>
      <c r="L299" s="65"/>
      <c r="M299" s="65"/>
      <c r="N299" s="65"/>
    </row>
    <row r="300" spans="10:14" ht="12.6" hidden="1">
      <c r="J300" s="65"/>
      <c r="K300" s="65"/>
      <c r="L300" s="65"/>
      <c r="M300" s="65"/>
      <c r="N300" s="65"/>
    </row>
    <row r="301" spans="10:14" ht="12.6" hidden="1">
      <c r="J301" s="65"/>
      <c r="K301" s="65"/>
      <c r="L301" s="65"/>
      <c r="M301" s="65"/>
      <c r="N301" s="65"/>
    </row>
    <row r="302" spans="10:14" ht="12.6" hidden="1">
      <c r="J302" s="65"/>
      <c r="K302" s="65"/>
      <c r="L302" s="65"/>
      <c r="M302" s="65"/>
      <c r="N302" s="65"/>
    </row>
    <row r="303" spans="10:14" ht="12.6" hidden="1">
      <c r="J303" s="65"/>
      <c r="K303" s="65"/>
      <c r="L303" s="65"/>
      <c r="M303" s="65"/>
      <c r="N303" s="65"/>
    </row>
    <row r="304" spans="10:14" ht="12.6" hidden="1">
      <c r="J304" s="65"/>
      <c r="K304" s="65"/>
      <c r="L304" s="65"/>
      <c r="M304" s="65"/>
      <c r="N304" s="65"/>
    </row>
    <row r="305" spans="10:14" ht="12.6" hidden="1">
      <c r="J305" s="65"/>
      <c r="K305" s="65"/>
      <c r="L305" s="65"/>
      <c r="M305" s="65"/>
      <c r="N305" s="65"/>
    </row>
    <row r="306" spans="10:14" ht="12.6" hidden="1">
      <c r="J306" s="65"/>
      <c r="K306" s="65"/>
      <c r="L306" s="65"/>
      <c r="M306" s="65"/>
      <c r="N306" s="65"/>
    </row>
    <row r="307" spans="10:14" ht="12.6" hidden="1">
      <c r="J307" s="65"/>
      <c r="K307" s="65"/>
      <c r="L307" s="65"/>
      <c r="M307" s="65"/>
      <c r="N307" s="65"/>
    </row>
    <row r="308" spans="10:14" ht="12.6" hidden="1">
      <c r="J308" s="65"/>
      <c r="K308" s="65"/>
      <c r="L308" s="65"/>
      <c r="M308" s="65"/>
      <c r="N308" s="65"/>
    </row>
    <row r="309" spans="10:14" ht="12.6" hidden="1">
      <c r="J309" s="65"/>
      <c r="K309" s="65"/>
      <c r="L309" s="65"/>
      <c r="M309" s="65"/>
      <c r="N309" s="65"/>
    </row>
    <row r="310" spans="10:14" ht="12.6" hidden="1">
      <c r="J310" s="65"/>
      <c r="K310" s="65"/>
      <c r="L310" s="65"/>
      <c r="M310" s="65"/>
      <c r="N310" s="65"/>
    </row>
    <row r="311" spans="10:14" ht="12.6" hidden="1">
      <c r="J311" s="65"/>
      <c r="K311" s="65"/>
      <c r="L311" s="65"/>
      <c r="M311" s="65"/>
      <c r="N311" s="65"/>
    </row>
    <row r="312" spans="10:14" ht="12.6" hidden="1">
      <c r="J312" s="65"/>
      <c r="K312" s="65"/>
      <c r="L312" s="65"/>
      <c r="M312" s="65"/>
      <c r="N312" s="65"/>
    </row>
    <row r="313" spans="10:14" ht="12.6" hidden="1">
      <c r="J313" s="65"/>
      <c r="K313" s="65"/>
      <c r="L313" s="65"/>
      <c r="M313" s="65"/>
      <c r="N313" s="65"/>
    </row>
    <row r="314" spans="10:14" ht="12.6" hidden="1">
      <c r="J314" s="65"/>
      <c r="K314" s="65"/>
      <c r="L314" s="65"/>
      <c r="M314" s="65"/>
      <c r="N314" s="65"/>
    </row>
    <row r="315" spans="10:14" ht="12.6" hidden="1">
      <c r="J315" s="65"/>
      <c r="K315" s="65"/>
      <c r="L315" s="65"/>
      <c r="M315" s="65"/>
      <c r="N315" s="65"/>
    </row>
    <row r="316" spans="10:14" ht="12.6" hidden="1">
      <c r="J316" s="65"/>
      <c r="K316" s="65"/>
      <c r="L316" s="65"/>
      <c r="M316" s="65"/>
      <c r="N316" s="65"/>
    </row>
    <row r="317" spans="10:14" ht="12.6" hidden="1">
      <c r="J317" s="65"/>
      <c r="K317" s="65"/>
      <c r="L317" s="65"/>
      <c r="M317" s="65"/>
      <c r="N317" s="65"/>
    </row>
    <row r="318" spans="10:14" ht="12.6" hidden="1">
      <c r="J318" s="65"/>
      <c r="K318" s="65"/>
      <c r="L318" s="65"/>
      <c r="M318" s="65"/>
      <c r="N318" s="65"/>
    </row>
    <row r="319" spans="10:14" ht="12.6" hidden="1">
      <c r="J319" s="65"/>
      <c r="K319" s="65"/>
      <c r="L319" s="65"/>
      <c r="M319" s="65"/>
      <c r="N319" s="65"/>
    </row>
    <row r="320" spans="10:14" ht="12.6" hidden="1">
      <c r="J320" s="65"/>
      <c r="K320" s="65"/>
      <c r="L320" s="65"/>
      <c r="M320" s="65"/>
      <c r="N320" s="65"/>
    </row>
    <row r="321" spans="10:14" ht="12.6" hidden="1">
      <c r="J321" s="65"/>
      <c r="K321" s="65"/>
      <c r="L321" s="65"/>
      <c r="M321" s="65"/>
      <c r="N321" s="65"/>
    </row>
    <row r="322" spans="10:14" ht="12.6" hidden="1">
      <c r="J322" s="65"/>
      <c r="K322" s="65"/>
      <c r="L322" s="65"/>
      <c r="M322" s="65"/>
      <c r="N322" s="65"/>
    </row>
    <row r="323" spans="10:14" ht="12.6" hidden="1">
      <c r="J323" s="65"/>
      <c r="K323" s="65"/>
      <c r="L323" s="65"/>
      <c r="M323" s="65"/>
      <c r="N323" s="65"/>
    </row>
    <row r="324" spans="10:14" ht="12.6" hidden="1">
      <c r="J324" s="65"/>
      <c r="K324" s="65"/>
      <c r="L324" s="65"/>
      <c r="M324" s="65"/>
      <c r="N324" s="65"/>
    </row>
    <row r="325" spans="10:14" ht="12.6" hidden="1">
      <c r="J325" s="65"/>
      <c r="K325" s="65"/>
      <c r="L325" s="65"/>
      <c r="M325" s="65"/>
      <c r="N325" s="65"/>
    </row>
    <row r="326" spans="10:14" ht="12.6" hidden="1">
      <c r="J326" s="65"/>
      <c r="K326" s="65"/>
      <c r="L326" s="65"/>
      <c r="M326" s="65"/>
      <c r="N326" s="65"/>
    </row>
    <row r="327" spans="10:14" ht="12.6" hidden="1">
      <c r="J327" s="65"/>
      <c r="K327" s="65"/>
      <c r="L327" s="65"/>
      <c r="M327" s="65"/>
      <c r="N327" s="65"/>
    </row>
    <row r="328" spans="10:14" ht="12.6" hidden="1">
      <c r="J328" s="65"/>
      <c r="K328" s="65"/>
      <c r="L328" s="65"/>
      <c r="M328" s="65"/>
      <c r="N328" s="65"/>
    </row>
    <row r="329" spans="10:14" ht="12.6" hidden="1">
      <c r="J329" s="65"/>
      <c r="K329" s="65"/>
      <c r="L329" s="65"/>
      <c r="M329" s="65"/>
      <c r="N329" s="65"/>
    </row>
    <row r="330" spans="10:14" ht="12.6" hidden="1">
      <c r="J330" s="65"/>
      <c r="K330" s="65"/>
      <c r="L330" s="65"/>
      <c r="M330" s="65"/>
      <c r="N330" s="65"/>
    </row>
    <row r="331" spans="10:14" ht="12.6" hidden="1">
      <c r="J331" s="65"/>
      <c r="K331" s="65"/>
      <c r="L331" s="65"/>
      <c r="M331" s="65"/>
      <c r="N331" s="65"/>
    </row>
    <row r="332" spans="10:14" ht="12.6" hidden="1">
      <c r="J332" s="65"/>
      <c r="K332" s="65"/>
      <c r="L332" s="65"/>
      <c r="M332" s="65"/>
      <c r="N332" s="65"/>
    </row>
    <row r="333" spans="10:14" ht="12.6" hidden="1">
      <c r="J333" s="65"/>
      <c r="K333" s="65"/>
      <c r="L333" s="65"/>
      <c r="M333" s="65"/>
      <c r="N333" s="65"/>
    </row>
    <row r="334" spans="10:14" ht="12.6" hidden="1">
      <c r="J334" s="65"/>
      <c r="K334" s="65"/>
      <c r="L334" s="65"/>
      <c r="M334" s="65"/>
      <c r="N334" s="65"/>
    </row>
    <row r="335" spans="10:14" ht="12.6" hidden="1">
      <c r="J335" s="65"/>
      <c r="K335" s="65"/>
      <c r="L335" s="65"/>
      <c r="M335" s="65"/>
      <c r="N335" s="65"/>
    </row>
    <row r="336" spans="10:14" ht="12.6" hidden="1">
      <c r="J336" s="65"/>
      <c r="K336" s="65"/>
      <c r="L336" s="65"/>
      <c r="M336" s="65"/>
      <c r="N336" s="65"/>
    </row>
    <row r="337" spans="10:14" ht="12.6" hidden="1">
      <c r="J337" s="65"/>
      <c r="K337" s="65"/>
      <c r="L337" s="65"/>
      <c r="M337" s="65"/>
      <c r="N337" s="65"/>
    </row>
    <row r="338" spans="10:14" ht="12.6" hidden="1">
      <c r="J338" s="65"/>
      <c r="K338" s="65"/>
      <c r="L338" s="65"/>
      <c r="M338" s="65"/>
      <c r="N338" s="65"/>
    </row>
    <row r="339" spans="10:14" ht="12.6" hidden="1">
      <c r="J339" s="65"/>
      <c r="K339" s="65"/>
      <c r="L339" s="65"/>
      <c r="M339" s="65"/>
      <c r="N339" s="65"/>
    </row>
    <row r="340" spans="10:14" ht="12.6" hidden="1">
      <c r="J340" s="65"/>
      <c r="K340" s="65"/>
      <c r="L340" s="65"/>
      <c r="M340" s="65"/>
      <c r="N340" s="65"/>
    </row>
    <row r="341" spans="10:14" ht="12.6" hidden="1">
      <c r="J341" s="65"/>
      <c r="K341" s="65"/>
      <c r="L341" s="65"/>
      <c r="M341" s="65"/>
      <c r="N341" s="65"/>
    </row>
    <row r="342" spans="10:14" ht="12.6" hidden="1">
      <c r="J342" s="65"/>
      <c r="K342" s="65"/>
      <c r="L342" s="65"/>
      <c r="M342" s="65"/>
      <c r="N342" s="65"/>
    </row>
    <row r="343" spans="10:14" ht="12.6" hidden="1">
      <c r="J343" s="65"/>
      <c r="K343" s="65"/>
      <c r="L343" s="65"/>
      <c r="M343" s="65"/>
      <c r="N343" s="65"/>
    </row>
    <row r="344" spans="10:14" ht="12.6" hidden="1">
      <c r="J344" s="65"/>
      <c r="K344" s="65"/>
      <c r="L344" s="65"/>
      <c r="M344" s="65"/>
      <c r="N344" s="65"/>
    </row>
    <row r="345" spans="10:14" ht="12.6" hidden="1">
      <c r="J345" s="65"/>
      <c r="K345" s="65"/>
      <c r="L345" s="65"/>
      <c r="M345" s="65"/>
      <c r="N345" s="65"/>
    </row>
    <row r="346" spans="10:14" ht="12.6" hidden="1">
      <c r="J346" s="65"/>
      <c r="K346" s="65"/>
      <c r="L346" s="65"/>
      <c r="M346" s="65"/>
      <c r="N346" s="65"/>
    </row>
    <row r="347" spans="10:14" ht="12.6" hidden="1">
      <c r="J347" s="65"/>
      <c r="K347" s="65"/>
      <c r="L347" s="65"/>
      <c r="M347" s="65"/>
      <c r="N347" s="65"/>
    </row>
    <row r="348" spans="10:14" ht="12.6" hidden="1">
      <c r="J348" s="65"/>
      <c r="K348" s="65"/>
      <c r="L348" s="65"/>
      <c r="M348" s="65"/>
      <c r="N348" s="65"/>
    </row>
    <row r="349" spans="10:14" ht="12.6" hidden="1">
      <c r="J349" s="65"/>
      <c r="K349" s="65"/>
      <c r="L349" s="65"/>
      <c r="M349" s="65"/>
      <c r="N349" s="65"/>
    </row>
    <row r="350" spans="10:14" ht="12.6" hidden="1">
      <c r="J350" s="65"/>
      <c r="K350" s="65"/>
      <c r="L350" s="65"/>
      <c r="M350" s="65"/>
      <c r="N350" s="65"/>
    </row>
    <row r="351" spans="10:14" ht="12.6" hidden="1">
      <c r="J351" s="65"/>
      <c r="K351" s="65"/>
      <c r="L351" s="65"/>
      <c r="M351" s="65"/>
      <c r="N351" s="65"/>
    </row>
    <row r="352" spans="10:14" ht="12.6" hidden="1">
      <c r="J352" s="65"/>
      <c r="K352" s="65"/>
      <c r="L352" s="65"/>
      <c r="M352" s="65"/>
      <c r="N352" s="65"/>
    </row>
    <row r="353" spans="10:14" ht="12.6" hidden="1">
      <c r="J353" s="65"/>
      <c r="K353" s="65"/>
      <c r="L353" s="65"/>
      <c r="M353" s="65"/>
      <c r="N353" s="65"/>
    </row>
    <row r="354" spans="10:14" ht="12.6" hidden="1">
      <c r="J354" s="65"/>
      <c r="K354" s="65"/>
      <c r="L354" s="65"/>
      <c r="M354" s="65"/>
      <c r="N354" s="65"/>
    </row>
    <row r="355" spans="10:14" ht="12.6" hidden="1">
      <c r="J355" s="65"/>
      <c r="K355" s="65"/>
      <c r="L355" s="65"/>
      <c r="M355" s="65"/>
      <c r="N355" s="65"/>
    </row>
    <row r="356" spans="10:14" ht="12.6" hidden="1">
      <c r="J356" s="65"/>
      <c r="K356" s="65"/>
      <c r="L356" s="65"/>
      <c r="M356" s="65"/>
      <c r="N356" s="65"/>
    </row>
    <row r="357" spans="10:14" ht="12.6" hidden="1">
      <c r="J357" s="65"/>
      <c r="K357" s="65"/>
      <c r="L357" s="65"/>
      <c r="M357" s="65"/>
      <c r="N357" s="65"/>
    </row>
    <row r="358" spans="10:14" ht="12.6" hidden="1">
      <c r="J358" s="65"/>
      <c r="K358" s="65"/>
      <c r="L358" s="65"/>
      <c r="M358" s="65"/>
      <c r="N358" s="65"/>
    </row>
    <row r="359" spans="10:14" ht="12.6" hidden="1">
      <c r="J359" s="65"/>
      <c r="K359" s="65"/>
      <c r="L359" s="65"/>
      <c r="M359" s="65"/>
      <c r="N359" s="65"/>
    </row>
    <row r="360" spans="10:14" ht="12.6" hidden="1">
      <c r="J360" s="65"/>
      <c r="K360" s="65"/>
      <c r="L360" s="65"/>
      <c r="M360" s="65"/>
      <c r="N360" s="65"/>
    </row>
    <row r="361" spans="10:14" ht="12.6" hidden="1">
      <c r="J361" s="65"/>
      <c r="K361" s="65"/>
      <c r="L361" s="65"/>
      <c r="M361" s="65"/>
      <c r="N361" s="65"/>
    </row>
    <row r="362" spans="10:14" ht="12.6" hidden="1">
      <c r="J362" s="65"/>
      <c r="K362" s="65"/>
      <c r="L362" s="65"/>
      <c r="M362" s="65"/>
      <c r="N362" s="65"/>
    </row>
    <row r="363" spans="10:14" ht="12.6" hidden="1">
      <c r="J363" s="65"/>
      <c r="K363" s="65"/>
      <c r="L363" s="65"/>
      <c r="M363" s="65"/>
      <c r="N363" s="65"/>
    </row>
    <row r="364" spans="10:14" ht="12.6" hidden="1">
      <c r="J364" s="65"/>
      <c r="K364" s="65"/>
      <c r="L364" s="65"/>
      <c r="M364" s="65"/>
      <c r="N364" s="65"/>
    </row>
    <row r="365" spans="10:14" ht="12.6" hidden="1">
      <c r="J365" s="65"/>
      <c r="K365" s="65"/>
      <c r="L365" s="65"/>
      <c r="M365" s="65"/>
      <c r="N365" s="65"/>
    </row>
    <row r="366" spans="10:14" ht="12.6" hidden="1">
      <c r="J366" s="65"/>
      <c r="K366" s="65"/>
      <c r="L366" s="65"/>
      <c r="M366" s="65"/>
      <c r="N366" s="65"/>
    </row>
    <row r="367" spans="10:14" ht="12.6" hidden="1">
      <c r="J367" s="65"/>
      <c r="K367" s="65"/>
      <c r="L367" s="65"/>
      <c r="M367" s="65"/>
      <c r="N367" s="65"/>
    </row>
    <row r="368" spans="10:14" ht="12.6" hidden="1">
      <c r="J368" s="65"/>
      <c r="K368" s="65"/>
      <c r="L368" s="65"/>
      <c r="M368" s="65"/>
      <c r="N368" s="65"/>
    </row>
    <row r="369" spans="10:14" ht="12.6" hidden="1">
      <c r="J369" s="65"/>
      <c r="K369" s="65"/>
      <c r="L369" s="65"/>
      <c r="M369" s="65"/>
      <c r="N369" s="65"/>
    </row>
    <row r="370" spans="10:14" ht="12.6" hidden="1">
      <c r="J370" s="65"/>
      <c r="K370" s="65"/>
      <c r="L370" s="65"/>
      <c r="M370" s="65"/>
      <c r="N370" s="65"/>
    </row>
    <row r="371" spans="10:14" ht="12.6" hidden="1">
      <c r="J371" s="65"/>
      <c r="K371" s="65"/>
      <c r="L371" s="65"/>
      <c r="M371" s="65"/>
      <c r="N371" s="65"/>
    </row>
    <row r="372" spans="10:14" ht="12.6" hidden="1">
      <c r="J372" s="65"/>
      <c r="K372" s="65"/>
      <c r="L372" s="65"/>
      <c r="M372" s="65"/>
      <c r="N372" s="65"/>
    </row>
    <row r="373" spans="10:14" ht="12.6" hidden="1">
      <c r="J373" s="65"/>
      <c r="K373" s="65"/>
      <c r="L373" s="65"/>
      <c r="M373" s="65"/>
      <c r="N373" s="65"/>
    </row>
    <row r="374" spans="10:14" ht="12.6" hidden="1">
      <c r="J374" s="65"/>
      <c r="K374" s="65"/>
      <c r="L374" s="65"/>
      <c r="M374" s="65"/>
      <c r="N374" s="65"/>
    </row>
    <row r="375" spans="10:14" ht="12.6" hidden="1">
      <c r="J375" s="65"/>
      <c r="K375" s="65"/>
      <c r="L375" s="65"/>
      <c r="M375" s="65"/>
      <c r="N375" s="65"/>
    </row>
    <row r="376" spans="10:14" ht="12.6" hidden="1">
      <c r="J376" s="65"/>
      <c r="K376" s="65"/>
      <c r="L376" s="65"/>
      <c r="M376" s="65"/>
      <c r="N376" s="65"/>
    </row>
    <row r="377" spans="10:14" ht="12.6" hidden="1">
      <c r="J377" s="65"/>
      <c r="K377" s="65"/>
      <c r="L377" s="65"/>
      <c r="M377" s="65"/>
      <c r="N377" s="65"/>
    </row>
    <row r="378" spans="10:14" ht="12.6" hidden="1">
      <c r="J378" s="65"/>
      <c r="K378" s="65"/>
      <c r="L378" s="65"/>
      <c r="M378" s="65"/>
      <c r="N378" s="65"/>
    </row>
    <row r="379" spans="10:14" ht="12.6" hidden="1">
      <c r="J379" s="65"/>
      <c r="K379" s="65"/>
      <c r="L379" s="65"/>
      <c r="M379" s="65"/>
      <c r="N379" s="65"/>
    </row>
    <row r="380" spans="10:14" ht="12.6" hidden="1">
      <c r="J380" s="65"/>
      <c r="K380" s="65"/>
      <c r="L380" s="65"/>
      <c r="M380" s="65"/>
      <c r="N380" s="65"/>
    </row>
    <row r="381" spans="10:14" ht="12.6" hidden="1">
      <c r="J381" s="65"/>
      <c r="K381" s="65"/>
      <c r="L381" s="65"/>
      <c r="M381" s="65"/>
      <c r="N381" s="65"/>
    </row>
    <row r="382" spans="10:14" ht="12.6" hidden="1">
      <c r="J382" s="65"/>
      <c r="K382" s="65"/>
      <c r="L382" s="65"/>
      <c r="M382" s="65"/>
      <c r="N382" s="65"/>
    </row>
    <row r="383" spans="10:14" ht="12.6" hidden="1">
      <c r="J383" s="65"/>
      <c r="K383" s="65"/>
      <c r="L383" s="65"/>
      <c r="M383" s="65"/>
      <c r="N383" s="65"/>
    </row>
    <row r="384" spans="10:14" ht="12.6" hidden="1">
      <c r="J384" s="65"/>
      <c r="K384" s="65"/>
      <c r="L384" s="65"/>
      <c r="M384" s="65"/>
      <c r="N384" s="65"/>
    </row>
    <row r="385" spans="10:14" ht="12.6" hidden="1">
      <c r="J385" s="65"/>
      <c r="K385" s="65"/>
      <c r="L385" s="65"/>
      <c r="M385" s="65"/>
      <c r="N385" s="65"/>
    </row>
    <row r="386" spans="10:14" ht="12.6" hidden="1">
      <c r="J386" s="65"/>
      <c r="K386" s="65"/>
      <c r="L386" s="65"/>
      <c r="M386" s="65"/>
      <c r="N386" s="65"/>
    </row>
    <row r="387" spans="10:14" ht="12.6" hidden="1">
      <c r="J387" s="65"/>
      <c r="K387" s="65"/>
      <c r="L387" s="65"/>
      <c r="M387" s="65"/>
      <c r="N387" s="65"/>
    </row>
    <row r="388" spans="10:14" ht="12.6" hidden="1">
      <c r="J388" s="65"/>
      <c r="K388" s="65"/>
      <c r="L388" s="65"/>
      <c r="M388" s="65"/>
      <c r="N388" s="65"/>
    </row>
    <row r="389" spans="10:14" ht="12.6" hidden="1">
      <c r="J389" s="65"/>
      <c r="K389" s="65"/>
      <c r="L389" s="65"/>
      <c r="M389" s="65"/>
      <c r="N389" s="65"/>
    </row>
    <row r="390" spans="10:14" ht="12.6" hidden="1">
      <c r="J390" s="65"/>
      <c r="K390" s="65"/>
      <c r="L390" s="65"/>
      <c r="M390" s="65"/>
      <c r="N390" s="65"/>
    </row>
    <row r="391" spans="10:14" ht="12.6" hidden="1">
      <c r="J391" s="65"/>
      <c r="K391" s="65"/>
      <c r="L391" s="65"/>
      <c r="M391" s="65"/>
      <c r="N391" s="65"/>
    </row>
    <row r="392" spans="10:14" ht="12.6" hidden="1">
      <c r="J392" s="65"/>
      <c r="K392" s="65"/>
      <c r="L392" s="65"/>
      <c r="M392" s="65"/>
      <c r="N392" s="65"/>
    </row>
    <row r="393" spans="10:14" ht="12.6" hidden="1">
      <c r="J393" s="65"/>
      <c r="K393" s="65"/>
      <c r="L393" s="65"/>
      <c r="M393" s="65"/>
      <c r="N393" s="65"/>
    </row>
    <row r="394" spans="10:14" ht="12.6" hidden="1">
      <c r="J394" s="65"/>
      <c r="K394" s="65"/>
      <c r="L394" s="65"/>
      <c r="M394" s="65"/>
      <c r="N394" s="65"/>
    </row>
    <row r="395" spans="10:14" ht="12.6" hidden="1">
      <c r="J395" s="65"/>
      <c r="K395" s="65"/>
      <c r="L395" s="65"/>
      <c r="M395" s="65"/>
      <c r="N395" s="65"/>
    </row>
    <row r="396" spans="10:14" ht="12.6" hidden="1">
      <c r="J396" s="65"/>
      <c r="K396" s="65"/>
      <c r="L396" s="65"/>
      <c r="M396" s="65"/>
      <c r="N396" s="65"/>
    </row>
    <row r="397" spans="10:14" ht="12.6" hidden="1">
      <c r="J397" s="65"/>
      <c r="K397" s="65"/>
      <c r="L397" s="65"/>
      <c r="M397" s="65"/>
      <c r="N397" s="65"/>
    </row>
    <row r="398" spans="10:14" ht="12.6" hidden="1">
      <c r="J398" s="65"/>
      <c r="K398" s="65"/>
      <c r="L398" s="65"/>
      <c r="M398" s="65"/>
      <c r="N398" s="65"/>
    </row>
    <row r="399" spans="10:14" ht="12.6" hidden="1">
      <c r="J399" s="65"/>
      <c r="K399" s="65"/>
      <c r="L399" s="65"/>
      <c r="M399" s="65"/>
      <c r="N399" s="65"/>
    </row>
    <row r="400" spans="10:14" ht="12.6" hidden="1">
      <c r="J400" s="65"/>
      <c r="K400" s="65"/>
      <c r="L400" s="65"/>
      <c r="M400" s="65"/>
      <c r="N400" s="65"/>
    </row>
    <row r="401" spans="10:14" ht="12.6" hidden="1">
      <c r="J401" s="65"/>
      <c r="K401" s="65"/>
      <c r="L401" s="65"/>
      <c r="M401" s="65"/>
      <c r="N401" s="65"/>
    </row>
    <row r="402" spans="10:14" ht="12.6" hidden="1">
      <c r="J402" s="65"/>
      <c r="K402" s="65"/>
      <c r="L402" s="65"/>
      <c r="M402" s="65"/>
      <c r="N402" s="65"/>
    </row>
    <row r="403" spans="10:14" ht="12.6" hidden="1">
      <c r="J403" s="65"/>
      <c r="K403" s="65"/>
      <c r="L403" s="65"/>
      <c r="M403" s="65"/>
      <c r="N403" s="65"/>
    </row>
    <row r="404" spans="10:14" ht="12.6" hidden="1">
      <c r="J404" s="65"/>
      <c r="K404" s="65"/>
      <c r="L404" s="65"/>
      <c r="M404" s="65"/>
      <c r="N404" s="65"/>
    </row>
    <row r="405" spans="10:14" ht="12.6" hidden="1">
      <c r="J405" s="65"/>
      <c r="K405" s="65"/>
      <c r="L405" s="65"/>
      <c r="M405" s="65"/>
      <c r="N405" s="65"/>
    </row>
    <row r="406" spans="10:14" ht="12.6" hidden="1">
      <c r="J406" s="65"/>
      <c r="K406" s="65"/>
      <c r="L406" s="65"/>
      <c r="M406" s="65"/>
      <c r="N406" s="65"/>
    </row>
    <row r="407" spans="10:14" ht="12.6" hidden="1">
      <c r="J407" s="65"/>
      <c r="K407" s="65"/>
      <c r="L407" s="65"/>
      <c r="M407" s="65"/>
      <c r="N407" s="65"/>
    </row>
    <row r="408" spans="10:14" ht="12.6" hidden="1">
      <c r="J408" s="65"/>
      <c r="K408" s="65"/>
      <c r="L408" s="65"/>
      <c r="M408" s="65"/>
      <c r="N408" s="65"/>
    </row>
    <row r="409" spans="10:14" ht="12.6" hidden="1">
      <c r="J409" s="65"/>
      <c r="K409" s="65"/>
      <c r="L409" s="65"/>
      <c r="M409" s="65"/>
      <c r="N409" s="65"/>
    </row>
    <row r="410" spans="10:14" ht="12.6" hidden="1">
      <c r="J410" s="65"/>
      <c r="K410" s="65"/>
      <c r="L410" s="65"/>
      <c r="M410" s="65"/>
      <c r="N410" s="65"/>
    </row>
    <row r="411" spans="10:14" ht="12.6" hidden="1">
      <c r="J411" s="65"/>
      <c r="K411" s="65"/>
      <c r="L411" s="65"/>
      <c r="M411" s="65"/>
      <c r="N411" s="65"/>
    </row>
    <row r="412" spans="10:14" ht="12.6" hidden="1">
      <c r="J412" s="65"/>
      <c r="K412" s="65"/>
      <c r="L412" s="65"/>
      <c r="M412" s="65"/>
      <c r="N412" s="65"/>
    </row>
    <row r="413" spans="10:14" ht="12.6" hidden="1">
      <c r="J413" s="65"/>
      <c r="K413" s="65"/>
      <c r="L413" s="65"/>
      <c r="M413" s="65"/>
      <c r="N413" s="65"/>
    </row>
    <row r="414" spans="10:14" ht="12.6" hidden="1">
      <c r="J414" s="65"/>
      <c r="K414" s="65"/>
      <c r="L414" s="65"/>
      <c r="M414" s="65"/>
      <c r="N414" s="65"/>
    </row>
    <row r="415" spans="10:14" ht="12.6" hidden="1">
      <c r="J415" s="65"/>
      <c r="K415" s="65"/>
      <c r="L415" s="65"/>
      <c r="M415" s="65"/>
      <c r="N415" s="65"/>
    </row>
    <row r="416" spans="10:14" ht="12.6" hidden="1">
      <c r="J416" s="65"/>
      <c r="K416" s="65"/>
      <c r="L416" s="65"/>
      <c r="M416" s="65"/>
      <c r="N416" s="65"/>
    </row>
    <row r="417" spans="10:14" ht="12.6" hidden="1">
      <c r="J417" s="65"/>
      <c r="K417" s="65"/>
      <c r="L417" s="65"/>
      <c r="M417" s="65"/>
      <c r="N417" s="65"/>
    </row>
    <row r="418" spans="10:14" ht="12.6" hidden="1">
      <c r="J418" s="65"/>
      <c r="K418" s="65"/>
      <c r="L418" s="65"/>
      <c r="M418" s="65"/>
      <c r="N418" s="65"/>
    </row>
    <row r="419" spans="10:14" ht="12.6" hidden="1">
      <c r="J419" s="65"/>
      <c r="K419" s="65"/>
      <c r="L419" s="65"/>
      <c r="M419" s="65"/>
      <c r="N419" s="65"/>
    </row>
    <row r="420" spans="10:14" ht="12.6" hidden="1">
      <c r="J420" s="65"/>
      <c r="K420" s="65"/>
      <c r="L420" s="65"/>
      <c r="M420" s="65"/>
      <c r="N420" s="65"/>
    </row>
    <row r="421" spans="10:14" ht="12.6" hidden="1">
      <c r="J421" s="65"/>
      <c r="K421" s="65"/>
      <c r="L421" s="65"/>
      <c r="M421" s="65"/>
      <c r="N421" s="65"/>
    </row>
    <row r="422" spans="10:14" ht="12.6" hidden="1">
      <c r="J422" s="65"/>
      <c r="K422" s="65"/>
      <c r="L422" s="65"/>
      <c r="M422" s="65"/>
      <c r="N422" s="65"/>
    </row>
    <row r="423" spans="10:14" ht="12.6" hidden="1">
      <c r="J423" s="65"/>
      <c r="K423" s="65"/>
      <c r="L423" s="65"/>
      <c r="M423" s="65"/>
      <c r="N423" s="65"/>
    </row>
    <row r="424" spans="10:14" ht="12.6" hidden="1">
      <c r="J424" s="65"/>
      <c r="K424" s="65"/>
      <c r="L424" s="65"/>
      <c r="M424" s="65"/>
      <c r="N424" s="65"/>
    </row>
    <row r="425" spans="10:14" ht="12.6" hidden="1">
      <c r="J425" s="65"/>
      <c r="K425" s="65"/>
      <c r="L425" s="65"/>
      <c r="M425" s="65"/>
      <c r="N425" s="65"/>
    </row>
    <row r="426" spans="10:14" ht="12.6" hidden="1">
      <c r="J426" s="65"/>
      <c r="K426" s="65"/>
      <c r="L426" s="65"/>
      <c r="M426" s="65"/>
      <c r="N426" s="65"/>
    </row>
    <row r="427" spans="10:14" ht="12.6" hidden="1">
      <c r="J427" s="65"/>
      <c r="K427" s="65"/>
      <c r="L427" s="65"/>
      <c r="M427" s="65"/>
      <c r="N427" s="65"/>
    </row>
    <row r="428" spans="10:14" ht="12.6" hidden="1">
      <c r="J428" s="65"/>
      <c r="K428" s="65"/>
      <c r="L428" s="65"/>
      <c r="M428" s="65"/>
      <c r="N428" s="65"/>
    </row>
    <row r="429" spans="10:14" ht="12.6" hidden="1">
      <c r="J429" s="65"/>
      <c r="K429" s="65"/>
      <c r="L429" s="65"/>
      <c r="M429" s="65"/>
      <c r="N429" s="65"/>
    </row>
    <row r="430" spans="10:14" ht="12.6" hidden="1">
      <c r="J430" s="65"/>
      <c r="K430" s="65"/>
      <c r="L430" s="65"/>
      <c r="M430" s="65"/>
      <c r="N430" s="65"/>
    </row>
    <row r="431" spans="10:14" ht="12.6" hidden="1">
      <c r="J431" s="65"/>
      <c r="K431" s="65"/>
      <c r="L431" s="65"/>
      <c r="M431" s="65"/>
      <c r="N431" s="65"/>
    </row>
    <row r="432" spans="10:14" ht="12.6" hidden="1">
      <c r="J432" s="65"/>
      <c r="K432" s="65"/>
      <c r="L432" s="65"/>
      <c r="M432" s="65"/>
      <c r="N432" s="65"/>
    </row>
    <row r="433" spans="10:14" ht="12.6" hidden="1">
      <c r="J433" s="65"/>
      <c r="K433" s="65"/>
      <c r="L433" s="65"/>
      <c r="M433" s="65"/>
      <c r="N433" s="65"/>
    </row>
    <row r="434" spans="10:14" ht="12.6" hidden="1">
      <c r="J434" s="65"/>
      <c r="K434" s="65"/>
      <c r="L434" s="65"/>
      <c r="M434" s="65"/>
      <c r="N434" s="65"/>
    </row>
    <row r="435" spans="10:14" ht="12.6" hidden="1">
      <c r="J435" s="65"/>
      <c r="K435" s="65"/>
      <c r="L435" s="65"/>
      <c r="M435" s="65"/>
      <c r="N435" s="65"/>
    </row>
    <row r="436" spans="10:14" ht="12.6" hidden="1">
      <c r="J436" s="65"/>
      <c r="K436" s="65"/>
      <c r="L436" s="65"/>
      <c r="M436" s="65"/>
      <c r="N436" s="65"/>
    </row>
    <row r="437" spans="10:14" ht="12.6" hidden="1">
      <c r="J437" s="65"/>
      <c r="K437" s="65"/>
      <c r="L437" s="65"/>
      <c r="M437" s="65"/>
      <c r="N437" s="65"/>
    </row>
    <row r="438" spans="10:14" ht="12.6" hidden="1">
      <c r="J438" s="65"/>
      <c r="K438" s="65"/>
      <c r="L438" s="65"/>
      <c r="M438" s="65"/>
      <c r="N438" s="65"/>
    </row>
    <row r="439" spans="10:14" ht="12.6" hidden="1">
      <c r="J439" s="65"/>
      <c r="K439" s="65"/>
      <c r="L439" s="65"/>
      <c r="M439" s="65"/>
      <c r="N439" s="65"/>
    </row>
    <row r="440" spans="10:14" ht="12.6" hidden="1">
      <c r="J440" s="65"/>
      <c r="K440" s="65"/>
      <c r="L440" s="65"/>
      <c r="M440" s="65"/>
      <c r="N440" s="65"/>
    </row>
    <row r="441" spans="10:14" ht="12.6" hidden="1">
      <c r="J441" s="65"/>
      <c r="K441" s="65"/>
      <c r="L441" s="65"/>
      <c r="M441" s="65"/>
      <c r="N441" s="65"/>
    </row>
    <row r="442" spans="10:14" ht="12.6" hidden="1">
      <c r="J442" s="65"/>
      <c r="K442" s="65"/>
      <c r="L442" s="65"/>
      <c r="M442" s="65"/>
      <c r="N442" s="65"/>
    </row>
    <row r="443" spans="10:14" ht="12.6" hidden="1">
      <c r="J443" s="65"/>
      <c r="K443" s="65"/>
      <c r="L443" s="65"/>
      <c r="M443" s="65"/>
      <c r="N443" s="65"/>
    </row>
    <row r="444" spans="10:14" ht="12.6" hidden="1">
      <c r="J444" s="65"/>
      <c r="K444" s="65"/>
      <c r="L444" s="65"/>
      <c r="M444" s="65"/>
      <c r="N444" s="65"/>
    </row>
    <row r="445" spans="10:14" ht="12.6" hidden="1">
      <c r="J445" s="65"/>
      <c r="K445" s="65"/>
      <c r="L445" s="65"/>
      <c r="M445" s="65"/>
      <c r="N445" s="65"/>
    </row>
    <row r="446" spans="10:14" ht="12.6" hidden="1">
      <c r="J446" s="65"/>
      <c r="K446" s="65"/>
      <c r="L446" s="65"/>
      <c r="M446" s="65"/>
      <c r="N446" s="65"/>
    </row>
    <row r="447" spans="10:14" ht="12.6" hidden="1">
      <c r="J447" s="65"/>
      <c r="K447" s="65"/>
      <c r="L447" s="65"/>
      <c r="M447" s="65"/>
      <c r="N447" s="65"/>
    </row>
    <row r="448" spans="10:14" ht="12.6" hidden="1">
      <c r="J448" s="65"/>
      <c r="K448" s="65"/>
      <c r="L448" s="65"/>
      <c r="M448" s="65"/>
      <c r="N448" s="65"/>
    </row>
    <row r="449" spans="10:14" ht="12.6" hidden="1">
      <c r="J449" s="65"/>
      <c r="K449" s="65"/>
      <c r="L449" s="65"/>
      <c r="M449" s="65"/>
      <c r="N449" s="65"/>
    </row>
    <row r="450" spans="10:14" ht="12.6" hidden="1">
      <c r="J450" s="65"/>
      <c r="K450" s="65"/>
      <c r="L450" s="65"/>
      <c r="M450" s="65"/>
      <c r="N450" s="65"/>
    </row>
    <row r="451" spans="10:14" ht="12.6" hidden="1">
      <c r="J451" s="65"/>
      <c r="K451" s="65"/>
      <c r="L451" s="65"/>
      <c r="M451" s="65"/>
      <c r="N451" s="65"/>
    </row>
    <row r="452" spans="10:14" ht="12.6" hidden="1">
      <c r="J452" s="65"/>
      <c r="K452" s="65"/>
      <c r="L452" s="65"/>
      <c r="M452" s="65"/>
      <c r="N452" s="65"/>
    </row>
    <row r="453" spans="10:14" ht="12.6" hidden="1">
      <c r="J453" s="65"/>
      <c r="K453" s="65"/>
      <c r="L453" s="65"/>
      <c r="M453" s="65"/>
      <c r="N453" s="65"/>
    </row>
    <row r="454" spans="10:14" ht="12.6" hidden="1">
      <c r="J454" s="65"/>
      <c r="K454" s="65"/>
      <c r="L454" s="65"/>
      <c r="M454" s="65"/>
      <c r="N454" s="65"/>
    </row>
    <row r="455" spans="10:14" ht="12.6" hidden="1">
      <c r="J455" s="65"/>
      <c r="K455" s="65"/>
      <c r="L455" s="65"/>
      <c r="M455" s="65"/>
      <c r="N455" s="65"/>
    </row>
    <row r="456" spans="10:14" ht="12.6" hidden="1">
      <c r="J456" s="65"/>
      <c r="K456" s="65"/>
      <c r="L456" s="65"/>
      <c r="M456" s="65"/>
      <c r="N456" s="65"/>
    </row>
    <row r="457" spans="10:14" ht="12.6" hidden="1">
      <c r="J457" s="65"/>
      <c r="K457" s="65"/>
      <c r="L457" s="65"/>
      <c r="M457" s="65"/>
      <c r="N457" s="65"/>
    </row>
    <row r="458" spans="10:14" ht="12.6" hidden="1">
      <c r="J458" s="65"/>
      <c r="K458" s="65"/>
      <c r="L458" s="65"/>
      <c r="M458" s="65"/>
      <c r="N458" s="65"/>
    </row>
    <row r="459" spans="10:14" ht="12.6" hidden="1">
      <c r="J459" s="65"/>
      <c r="K459" s="65"/>
      <c r="L459" s="65"/>
      <c r="M459" s="65"/>
      <c r="N459" s="65"/>
    </row>
    <row r="460" spans="10:14" ht="12.6" hidden="1">
      <c r="J460" s="65"/>
      <c r="K460" s="65"/>
      <c r="L460" s="65"/>
      <c r="M460" s="65"/>
      <c r="N460" s="65"/>
    </row>
    <row r="461" spans="10:14" ht="12.6" hidden="1">
      <c r="J461" s="65"/>
      <c r="K461" s="65"/>
      <c r="L461" s="65"/>
      <c r="M461" s="65"/>
      <c r="N461" s="65"/>
    </row>
    <row r="462" spans="10:14" ht="12.6" hidden="1">
      <c r="J462" s="65"/>
      <c r="K462" s="65"/>
      <c r="L462" s="65"/>
      <c r="M462" s="65"/>
      <c r="N462" s="65"/>
    </row>
    <row r="463" spans="10:14" ht="12.6" hidden="1">
      <c r="J463" s="65"/>
      <c r="K463" s="65"/>
      <c r="L463" s="65"/>
      <c r="M463" s="65"/>
      <c r="N463" s="65"/>
    </row>
    <row r="464" spans="10:14" ht="12.6" hidden="1">
      <c r="J464" s="65"/>
      <c r="K464" s="65"/>
      <c r="L464" s="65"/>
      <c r="M464" s="65"/>
      <c r="N464" s="65"/>
    </row>
    <row r="465" spans="10:14" ht="12.6" hidden="1">
      <c r="J465" s="65"/>
      <c r="K465" s="65"/>
      <c r="L465" s="65"/>
      <c r="M465" s="65"/>
      <c r="N465" s="65"/>
    </row>
    <row r="466" spans="10:14" ht="12.6" hidden="1">
      <c r="J466" s="65"/>
      <c r="K466" s="65"/>
      <c r="L466" s="65"/>
      <c r="M466" s="65"/>
      <c r="N466" s="65"/>
    </row>
    <row r="467" spans="10:14" ht="12.6" hidden="1">
      <c r="J467" s="65"/>
      <c r="K467" s="65"/>
      <c r="L467" s="65"/>
      <c r="M467" s="65"/>
      <c r="N467" s="65"/>
    </row>
    <row r="468" spans="10:14" ht="12.6" hidden="1">
      <c r="J468" s="65"/>
      <c r="K468" s="65"/>
      <c r="L468" s="65"/>
      <c r="M468" s="65"/>
      <c r="N468" s="65"/>
    </row>
    <row r="469" spans="10:14" ht="12.6" hidden="1">
      <c r="J469" s="65"/>
      <c r="K469" s="65"/>
      <c r="L469" s="65"/>
      <c r="M469" s="65"/>
      <c r="N469" s="65"/>
    </row>
    <row r="470" spans="10:14" ht="12.6" hidden="1">
      <c r="J470" s="65"/>
      <c r="K470" s="65"/>
      <c r="L470" s="65"/>
      <c r="M470" s="65"/>
      <c r="N470" s="65"/>
    </row>
    <row r="471" spans="10:14" ht="12.6" hidden="1">
      <c r="J471" s="65"/>
      <c r="K471" s="65"/>
      <c r="L471" s="65"/>
      <c r="M471" s="65"/>
      <c r="N471" s="65"/>
    </row>
    <row r="472" spans="10:14" ht="12.6" hidden="1">
      <c r="J472" s="65"/>
      <c r="K472" s="65"/>
      <c r="L472" s="65"/>
      <c r="M472" s="65"/>
      <c r="N472" s="65"/>
    </row>
    <row r="473" spans="10:14" ht="12.6" hidden="1">
      <c r="J473" s="65"/>
      <c r="K473" s="65"/>
      <c r="L473" s="65"/>
      <c r="M473" s="65"/>
      <c r="N473" s="65"/>
    </row>
    <row r="474" spans="10:14" ht="12.6" hidden="1">
      <c r="J474" s="65"/>
      <c r="K474" s="65"/>
      <c r="L474" s="65"/>
      <c r="M474" s="65"/>
      <c r="N474" s="65"/>
    </row>
    <row r="475" spans="10:14" ht="12.6" hidden="1">
      <c r="J475" s="65"/>
      <c r="K475" s="65"/>
      <c r="L475" s="65"/>
      <c r="M475" s="65"/>
      <c r="N475" s="65"/>
    </row>
    <row r="476" spans="10:14" ht="12.6" hidden="1">
      <c r="J476" s="65"/>
      <c r="K476" s="65"/>
      <c r="L476" s="65"/>
      <c r="M476" s="65"/>
      <c r="N476" s="65"/>
    </row>
    <row r="477" spans="10:14" ht="12.6" hidden="1">
      <c r="J477" s="65"/>
      <c r="K477" s="65"/>
      <c r="L477" s="65"/>
      <c r="M477" s="65"/>
      <c r="N477" s="65"/>
    </row>
    <row r="478" spans="10:14" ht="12.6" hidden="1">
      <c r="J478" s="65"/>
      <c r="K478" s="65"/>
      <c r="L478" s="65"/>
      <c r="M478" s="65"/>
      <c r="N478" s="65"/>
    </row>
    <row r="479" spans="10:14" ht="12.6" hidden="1">
      <c r="J479" s="65"/>
      <c r="K479" s="65"/>
      <c r="L479" s="65"/>
      <c r="M479" s="65"/>
      <c r="N479" s="65"/>
    </row>
    <row r="480" spans="10:14" ht="12.6" hidden="1">
      <c r="J480" s="65"/>
      <c r="K480" s="65"/>
      <c r="L480" s="65"/>
      <c r="M480" s="65"/>
      <c r="N480" s="65"/>
    </row>
    <row r="481" spans="10:14" ht="12.6" hidden="1">
      <c r="J481" s="65"/>
      <c r="K481" s="65"/>
      <c r="L481" s="65"/>
      <c r="M481" s="65"/>
      <c r="N481" s="65"/>
    </row>
    <row r="482" spans="10:14" ht="12.6" hidden="1">
      <c r="J482" s="65"/>
      <c r="K482" s="65"/>
      <c r="L482" s="65"/>
      <c r="M482" s="65"/>
      <c r="N482" s="65"/>
    </row>
    <row r="483" spans="10:14" ht="12.6" hidden="1">
      <c r="J483" s="65"/>
      <c r="K483" s="65"/>
      <c r="L483" s="65"/>
      <c r="M483" s="65"/>
      <c r="N483" s="65"/>
    </row>
    <row r="484" spans="10:14" ht="12.6" hidden="1">
      <c r="J484" s="65"/>
      <c r="K484" s="65"/>
      <c r="L484" s="65"/>
      <c r="M484" s="65"/>
      <c r="N484" s="65"/>
    </row>
    <row r="485" spans="10:14" ht="12.6" hidden="1">
      <c r="J485" s="65"/>
      <c r="K485" s="65"/>
      <c r="L485" s="65"/>
      <c r="M485" s="65"/>
      <c r="N485" s="65"/>
    </row>
    <row r="486" spans="10:14" ht="12.6" hidden="1">
      <c r="J486" s="65"/>
      <c r="K486" s="65"/>
      <c r="L486" s="65"/>
      <c r="M486" s="65"/>
      <c r="N486" s="65"/>
    </row>
    <row r="487" spans="10:14" ht="12.6" hidden="1">
      <c r="J487" s="65"/>
      <c r="K487" s="65"/>
      <c r="L487" s="65"/>
      <c r="M487" s="65"/>
      <c r="N487" s="65"/>
    </row>
    <row r="488" spans="10:14" ht="12.6" hidden="1">
      <c r="J488" s="65"/>
      <c r="K488" s="65"/>
      <c r="L488" s="65"/>
      <c r="M488" s="65"/>
      <c r="N488" s="65"/>
    </row>
    <row r="489" spans="10:14" ht="12.6" hidden="1">
      <c r="J489" s="65"/>
      <c r="K489" s="65"/>
      <c r="L489" s="65"/>
      <c r="M489" s="65"/>
      <c r="N489" s="65"/>
    </row>
    <row r="490" spans="10:14" ht="12.6" hidden="1">
      <c r="J490" s="65"/>
      <c r="K490" s="65"/>
      <c r="L490" s="65"/>
      <c r="M490" s="65"/>
      <c r="N490" s="65"/>
    </row>
    <row r="491" spans="10:14" ht="12.6" hidden="1">
      <c r="J491" s="65"/>
      <c r="K491" s="65"/>
      <c r="L491" s="65"/>
      <c r="M491" s="65"/>
      <c r="N491" s="65"/>
    </row>
    <row r="492" spans="10:14" ht="12.6" hidden="1">
      <c r="J492" s="65"/>
      <c r="K492" s="65"/>
      <c r="L492" s="65"/>
      <c r="M492" s="65"/>
      <c r="N492" s="65"/>
    </row>
    <row r="493" spans="10:14" ht="12.6" hidden="1">
      <c r="J493" s="65"/>
      <c r="K493" s="65"/>
      <c r="L493" s="65"/>
      <c r="M493" s="65"/>
      <c r="N493" s="65"/>
    </row>
    <row r="494" spans="10:14" ht="12.6" hidden="1">
      <c r="J494" s="65"/>
      <c r="K494" s="65"/>
      <c r="L494" s="65"/>
      <c r="M494" s="65"/>
      <c r="N494" s="65"/>
    </row>
    <row r="495" spans="10:14" ht="12.6" hidden="1">
      <c r="J495" s="65"/>
      <c r="K495" s="65"/>
      <c r="L495" s="65"/>
      <c r="M495" s="65"/>
      <c r="N495" s="65"/>
    </row>
    <row r="496" spans="10:14" ht="12.6" hidden="1">
      <c r="J496" s="65"/>
      <c r="K496" s="65"/>
      <c r="L496" s="65"/>
      <c r="M496" s="65"/>
      <c r="N496" s="65"/>
    </row>
    <row r="497" spans="10:14" ht="12.6" hidden="1">
      <c r="J497" s="65"/>
      <c r="K497" s="65"/>
      <c r="L497" s="65"/>
      <c r="M497" s="65"/>
      <c r="N497" s="65"/>
    </row>
    <row r="498" spans="10:14" ht="12.6" hidden="1">
      <c r="J498" s="65"/>
      <c r="K498" s="65"/>
      <c r="L498" s="65"/>
      <c r="M498" s="65"/>
      <c r="N498" s="65"/>
    </row>
    <row r="499" spans="10:14" ht="12.6" hidden="1">
      <c r="J499" s="65"/>
      <c r="K499" s="65"/>
      <c r="L499" s="65"/>
      <c r="M499" s="65"/>
      <c r="N499" s="65"/>
    </row>
    <row r="500" spans="10:14" ht="12.6" hidden="1">
      <c r="J500" s="65"/>
      <c r="K500" s="65"/>
      <c r="L500" s="65"/>
      <c r="M500" s="65"/>
      <c r="N500" s="65"/>
    </row>
    <row r="501" spans="10:14" ht="12.6" hidden="1">
      <c r="J501" s="65"/>
      <c r="K501" s="65"/>
      <c r="L501" s="65"/>
      <c r="M501" s="65"/>
      <c r="N501" s="65"/>
    </row>
    <row r="502" spans="10:14" ht="12.6" hidden="1">
      <c r="J502" s="65"/>
      <c r="K502" s="65"/>
      <c r="L502" s="65"/>
      <c r="M502" s="65"/>
      <c r="N502" s="65"/>
    </row>
    <row r="503" spans="10:14" ht="12.6" hidden="1">
      <c r="J503" s="65"/>
      <c r="K503" s="65"/>
      <c r="L503" s="65"/>
      <c r="M503" s="65"/>
      <c r="N503" s="65"/>
    </row>
    <row r="504" spans="10:14" ht="12.6" hidden="1">
      <c r="J504" s="65"/>
      <c r="K504" s="65"/>
      <c r="L504" s="65"/>
      <c r="M504" s="65"/>
      <c r="N504" s="65"/>
    </row>
    <row r="505" spans="10:14" ht="12.6" hidden="1">
      <c r="J505" s="65"/>
      <c r="K505" s="65"/>
      <c r="L505" s="65"/>
      <c r="M505" s="65"/>
      <c r="N505" s="65"/>
    </row>
    <row r="506" spans="10:14" ht="12.6" hidden="1">
      <c r="J506" s="65"/>
      <c r="K506" s="65"/>
      <c r="L506" s="65"/>
      <c r="M506" s="65"/>
      <c r="N506" s="65"/>
    </row>
    <row r="507" spans="10:14" ht="12.6" hidden="1">
      <c r="J507" s="65"/>
      <c r="K507" s="65"/>
      <c r="L507" s="65"/>
      <c r="M507" s="65"/>
      <c r="N507" s="65"/>
    </row>
    <row r="508" spans="10:14" ht="12.6" hidden="1">
      <c r="J508" s="65"/>
      <c r="K508" s="65"/>
      <c r="L508" s="65"/>
      <c r="M508" s="65"/>
      <c r="N508" s="65"/>
    </row>
    <row r="509" spans="10:14" ht="12.6" hidden="1">
      <c r="J509" s="65"/>
      <c r="K509" s="65"/>
      <c r="L509" s="65"/>
      <c r="M509" s="65"/>
      <c r="N509" s="65"/>
    </row>
    <row r="510" spans="10:14" ht="12.6" hidden="1">
      <c r="J510" s="65"/>
      <c r="K510" s="65"/>
      <c r="L510" s="65"/>
      <c r="M510" s="65"/>
      <c r="N510" s="65"/>
    </row>
    <row r="511" spans="10:14" ht="12.6" hidden="1">
      <c r="J511" s="65"/>
      <c r="K511" s="65"/>
      <c r="L511" s="65"/>
      <c r="M511" s="65"/>
      <c r="N511" s="65"/>
    </row>
    <row r="512" spans="10:14" ht="12.6" hidden="1">
      <c r="J512" s="65"/>
      <c r="K512" s="65"/>
      <c r="L512" s="65"/>
      <c r="M512" s="65"/>
      <c r="N512" s="65"/>
    </row>
    <row r="513" spans="10:14" ht="12.6" hidden="1">
      <c r="J513" s="65"/>
      <c r="K513" s="65"/>
      <c r="L513" s="65"/>
      <c r="M513" s="65"/>
      <c r="N513" s="65"/>
    </row>
    <row r="514" spans="10:14" ht="12.6" hidden="1">
      <c r="J514" s="65"/>
      <c r="K514" s="65"/>
      <c r="L514" s="65"/>
      <c r="M514" s="65"/>
      <c r="N514" s="65"/>
    </row>
    <row r="515" spans="10:14" ht="12.6" hidden="1">
      <c r="J515" s="65"/>
      <c r="K515" s="65"/>
      <c r="L515" s="65"/>
      <c r="M515" s="65"/>
      <c r="N515" s="65"/>
    </row>
    <row r="516" spans="10:14" ht="12.6" hidden="1">
      <c r="J516" s="65"/>
      <c r="K516" s="65"/>
      <c r="L516" s="65"/>
      <c r="M516" s="65"/>
      <c r="N516" s="65"/>
    </row>
    <row r="517" spans="10:14" ht="12.6" hidden="1">
      <c r="J517" s="65"/>
      <c r="K517" s="65"/>
      <c r="L517" s="65"/>
      <c r="M517" s="65"/>
      <c r="N517" s="65"/>
    </row>
    <row r="518" spans="10:14" ht="12.6" hidden="1">
      <c r="J518" s="65"/>
      <c r="K518" s="65"/>
      <c r="L518" s="65"/>
      <c r="M518" s="65"/>
      <c r="N518" s="65"/>
    </row>
    <row r="519" spans="10:14" ht="12.6" hidden="1">
      <c r="J519" s="65"/>
      <c r="K519" s="65"/>
      <c r="L519" s="65"/>
      <c r="M519" s="65"/>
      <c r="N519" s="65"/>
    </row>
    <row r="520" spans="10:14" ht="12.6" hidden="1">
      <c r="J520" s="65"/>
      <c r="K520" s="65"/>
      <c r="L520" s="65"/>
      <c r="M520" s="65"/>
      <c r="N520" s="65"/>
    </row>
    <row r="521" spans="10:14" ht="12.6" hidden="1">
      <c r="J521" s="65"/>
      <c r="K521" s="65"/>
      <c r="L521" s="65"/>
      <c r="M521" s="65"/>
      <c r="N521" s="65"/>
    </row>
    <row r="522" spans="10:14" ht="12.6" hidden="1">
      <c r="J522" s="65"/>
      <c r="K522" s="65"/>
      <c r="L522" s="65"/>
      <c r="M522" s="65"/>
      <c r="N522" s="65"/>
    </row>
    <row r="523" spans="10:14" ht="12.6" hidden="1">
      <c r="J523" s="65"/>
      <c r="K523" s="65"/>
      <c r="L523" s="65"/>
      <c r="M523" s="65"/>
      <c r="N523" s="65"/>
    </row>
    <row r="524" spans="10:14" ht="12.6" hidden="1">
      <c r="J524" s="65"/>
      <c r="K524" s="65"/>
      <c r="L524" s="65"/>
      <c r="M524" s="65"/>
      <c r="N524" s="65"/>
    </row>
    <row r="525" spans="10:14" ht="12.6" hidden="1">
      <c r="J525" s="65"/>
      <c r="K525" s="65"/>
      <c r="L525" s="65"/>
      <c r="M525" s="65"/>
      <c r="N525" s="65"/>
    </row>
    <row r="526" spans="10:14" ht="12.6" hidden="1">
      <c r="J526" s="65"/>
      <c r="K526" s="65"/>
      <c r="L526" s="65"/>
      <c r="M526" s="65"/>
      <c r="N526" s="65"/>
    </row>
    <row r="527" spans="10:14" ht="12.6" hidden="1">
      <c r="J527" s="65"/>
      <c r="K527" s="65"/>
      <c r="L527" s="65"/>
      <c r="M527" s="65"/>
      <c r="N527" s="65"/>
    </row>
    <row r="528" spans="10:14" ht="12.6" hidden="1">
      <c r="J528" s="65"/>
      <c r="K528" s="65"/>
      <c r="L528" s="65"/>
      <c r="M528" s="65"/>
      <c r="N528" s="65"/>
    </row>
    <row r="529" spans="10:14" ht="12.6" hidden="1">
      <c r="J529" s="65"/>
      <c r="K529" s="65"/>
      <c r="L529" s="65"/>
      <c r="M529" s="65"/>
      <c r="N529" s="65"/>
    </row>
    <row r="530" spans="10:14" ht="12.6" hidden="1">
      <c r="J530" s="65"/>
      <c r="K530" s="65"/>
      <c r="L530" s="65"/>
      <c r="M530" s="65"/>
      <c r="N530" s="65"/>
    </row>
    <row r="531" spans="10:14" ht="12.6" hidden="1">
      <c r="J531" s="65"/>
      <c r="K531" s="65"/>
      <c r="L531" s="65"/>
      <c r="M531" s="65"/>
      <c r="N531" s="65"/>
    </row>
    <row r="532" spans="10:14" ht="12.6" hidden="1">
      <c r="J532" s="65"/>
      <c r="K532" s="65"/>
      <c r="L532" s="65"/>
      <c r="M532" s="65"/>
      <c r="N532" s="65"/>
    </row>
    <row r="533" spans="10:14" ht="12.6" hidden="1">
      <c r="J533" s="65"/>
      <c r="K533" s="65"/>
      <c r="L533" s="65"/>
      <c r="M533" s="65"/>
      <c r="N533" s="65"/>
    </row>
    <row r="534" spans="10:14" ht="12.6" hidden="1">
      <c r="J534" s="65"/>
      <c r="K534" s="65"/>
      <c r="L534" s="65"/>
      <c r="M534" s="65"/>
      <c r="N534" s="65"/>
    </row>
    <row r="535" spans="10:14" ht="12.6" hidden="1">
      <c r="J535" s="65"/>
      <c r="K535" s="65"/>
      <c r="L535" s="65"/>
      <c r="M535" s="65"/>
      <c r="N535" s="65"/>
    </row>
    <row r="536" spans="10:14" ht="12.6" hidden="1">
      <c r="J536" s="65"/>
      <c r="K536" s="65"/>
      <c r="L536" s="65"/>
      <c r="M536" s="65"/>
      <c r="N536" s="65"/>
    </row>
    <row r="537" spans="10:14" ht="12.6" hidden="1">
      <c r="J537" s="65"/>
      <c r="K537" s="65"/>
      <c r="L537" s="65"/>
      <c r="M537" s="65"/>
      <c r="N537" s="65"/>
    </row>
    <row r="538" spans="10:14" ht="12.6" hidden="1">
      <c r="J538" s="65"/>
      <c r="K538" s="65"/>
      <c r="L538" s="65"/>
      <c r="M538" s="65"/>
      <c r="N538" s="65"/>
    </row>
    <row r="539" spans="10:14" ht="12.6" hidden="1">
      <c r="J539" s="65"/>
      <c r="K539" s="65"/>
      <c r="L539" s="65"/>
      <c r="M539" s="65"/>
      <c r="N539" s="65"/>
    </row>
    <row r="540" spans="10:14" ht="12.6" hidden="1">
      <c r="J540" s="65"/>
      <c r="K540" s="65"/>
      <c r="L540" s="65"/>
      <c r="M540" s="65"/>
      <c r="N540" s="65"/>
    </row>
    <row r="541" spans="10:14" ht="12.6" hidden="1">
      <c r="J541" s="65"/>
      <c r="K541" s="65"/>
      <c r="L541" s="65"/>
      <c r="M541" s="65"/>
      <c r="N541" s="65"/>
    </row>
    <row r="542" spans="10:14" ht="12.6" hidden="1">
      <c r="J542" s="65"/>
      <c r="K542" s="65"/>
      <c r="L542" s="65"/>
      <c r="M542" s="65"/>
      <c r="N542" s="65"/>
    </row>
    <row r="543" spans="10:14" ht="12.6" hidden="1">
      <c r="J543" s="65"/>
      <c r="K543" s="65"/>
      <c r="L543" s="65"/>
      <c r="M543" s="65"/>
      <c r="N543" s="65"/>
    </row>
    <row r="544" spans="10:14" ht="12.6" hidden="1">
      <c r="J544" s="65"/>
      <c r="K544" s="65"/>
      <c r="L544" s="65"/>
      <c r="M544" s="65"/>
      <c r="N544" s="65"/>
    </row>
    <row r="545" spans="10:14" ht="12.6" hidden="1">
      <c r="J545" s="65"/>
      <c r="K545" s="65"/>
      <c r="L545" s="65"/>
      <c r="M545" s="65"/>
      <c r="N545" s="65"/>
    </row>
    <row r="546" spans="10:14" ht="12.6" hidden="1">
      <c r="J546" s="65"/>
      <c r="K546" s="65"/>
      <c r="L546" s="65"/>
      <c r="M546" s="65"/>
      <c r="N546" s="65"/>
    </row>
    <row r="547" spans="10:14" ht="12.6" hidden="1">
      <c r="J547" s="65"/>
      <c r="K547" s="65"/>
      <c r="L547" s="65"/>
      <c r="M547" s="65"/>
      <c r="N547" s="65"/>
    </row>
    <row r="548" spans="10:14" ht="12.6" hidden="1">
      <c r="J548" s="65"/>
      <c r="K548" s="65"/>
      <c r="L548" s="65"/>
      <c r="M548" s="65"/>
      <c r="N548" s="65"/>
    </row>
    <row r="549" spans="10:14" ht="12.6" hidden="1">
      <c r="J549" s="65"/>
      <c r="K549" s="65"/>
      <c r="L549" s="65"/>
      <c r="M549" s="65"/>
      <c r="N549" s="65"/>
    </row>
    <row r="550" spans="10:14" ht="12.6" hidden="1">
      <c r="J550" s="65"/>
      <c r="K550" s="65"/>
      <c r="L550" s="65"/>
      <c r="M550" s="65"/>
      <c r="N550" s="65"/>
    </row>
    <row r="551" spans="10:14" ht="12.6" hidden="1">
      <c r="J551" s="65"/>
      <c r="K551" s="65"/>
      <c r="L551" s="65"/>
      <c r="M551" s="65"/>
      <c r="N551" s="65"/>
    </row>
    <row r="552" spans="10:14" ht="12.6" hidden="1">
      <c r="J552" s="65"/>
      <c r="K552" s="65"/>
      <c r="L552" s="65"/>
      <c r="M552" s="65"/>
      <c r="N552" s="65"/>
    </row>
    <row r="553" spans="10:14" ht="12.6" hidden="1">
      <c r="J553" s="65"/>
      <c r="K553" s="65"/>
      <c r="L553" s="65"/>
      <c r="M553" s="65"/>
      <c r="N553" s="65"/>
    </row>
    <row r="554" spans="10:14" ht="12.6" hidden="1">
      <c r="J554" s="65"/>
      <c r="K554" s="65"/>
      <c r="L554" s="65"/>
      <c r="M554" s="65"/>
      <c r="N554" s="65"/>
    </row>
    <row r="555" spans="10:14" ht="12.6" hidden="1">
      <c r="J555" s="65"/>
      <c r="K555" s="65"/>
      <c r="L555" s="65"/>
      <c r="M555" s="65"/>
      <c r="N555" s="65"/>
    </row>
    <row r="556" spans="10:14" ht="12.6" hidden="1">
      <c r="J556" s="65"/>
      <c r="K556" s="65"/>
      <c r="L556" s="65"/>
      <c r="M556" s="65"/>
      <c r="N556" s="65"/>
    </row>
    <row r="557" spans="10:14" ht="12.6" hidden="1">
      <c r="J557" s="65"/>
      <c r="K557" s="65"/>
      <c r="L557" s="65"/>
      <c r="M557" s="65"/>
      <c r="N557" s="65"/>
    </row>
    <row r="558" spans="10:14" ht="12.6" hidden="1">
      <c r="J558" s="65"/>
      <c r="K558" s="65"/>
      <c r="L558" s="65"/>
      <c r="M558" s="65"/>
      <c r="N558" s="65"/>
    </row>
    <row r="559" spans="10:14" ht="12.6" hidden="1">
      <c r="J559" s="65"/>
      <c r="K559" s="65"/>
      <c r="L559" s="65"/>
      <c r="M559" s="65"/>
      <c r="N559" s="65"/>
    </row>
    <row r="560" spans="10:14" ht="12.6" hidden="1">
      <c r="J560" s="65"/>
      <c r="K560" s="65"/>
      <c r="L560" s="65"/>
      <c r="M560" s="65"/>
      <c r="N560" s="65"/>
    </row>
    <row r="561" spans="10:14" ht="12.6" hidden="1">
      <c r="J561" s="65"/>
      <c r="K561" s="65"/>
      <c r="L561" s="65"/>
      <c r="M561" s="65"/>
      <c r="N561" s="65"/>
    </row>
    <row r="562" spans="10:14" ht="12.6" hidden="1">
      <c r="J562" s="65"/>
      <c r="K562" s="65"/>
      <c r="L562" s="65"/>
      <c r="M562" s="65"/>
      <c r="N562" s="65"/>
    </row>
    <row r="563" spans="10:14" ht="12.6" hidden="1">
      <c r="J563" s="65"/>
      <c r="K563" s="65"/>
      <c r="L563" s="65"/>
      <c r="M563" s="65"/>
      <c r="N563" s="65"/>
    </row>
    <row r="564" spans="10:14" ht="12.6" hidden="1">
      <c r="J564" s="65"/>
      <c r="K564" s="65"/>
      <c r="L564" s="65"/>
      <c r="M564" s="65"/>
      <c r="N564" s="65"/>
    </row>
    <row r="565" spans="10:14" ht="12.6" hidden="1">
      <c r="J565" s="65"/>
      <c r="K565" s="65"/>
      <c r="L565" s="65"/>
      <c r="M565" s="65"/>
      <c r="N565" s="65"/>
    </row>
    <row r="566" spans="10:14" ht="12.6" hidden="1">
      <c r="J566" s="65"/>
      <c r="K566" s="65"/>
      <c r="L566" s="65"/>
      <c r="M566" s="65"/>
      <c r="N566" s="65"/>
    </row>
    <row r="567" spans="10:14" ht="12.6" hidden="1">
      <c r="J567" s="65"/>
      <c r="K567" s="65"/>
      <c r="L567" s="65"/>
      <c r="M567" s="65"/>
      <c r="N567" s="65"/>
    </row>
    <row r="568" spans="10:14" ht="12.6" hidden="1">
      <c r="J568" s="65"/>
      <c r="K568" s="65"/>
      <c r="L568" s="65"/>
      <c r="M568" s="65"/>
      <c r="N568" s="65"/>
    </row>
    <row r="569" spans="10:14" ht="12.6" hidden="1">
      <c r="J569" s="65"/>
      <c r="K569" s="65"/>
      <c r="L569" s="65"/>
      <c r="M569" s="65"/>
      <c r="N569" s="65"/>
    </row>
    <row r="570" spans="10:14" ht="12.6" hidden="1">
      <c r="J570" s="65"/>
      <c r="K570" s="65"/>
      <c r="L570" s="65"/>
      <c r="M570" s="65"/>
      <c r="N570" s="65"/>
    </row>
    <row r="571" spans="10:14" ht="12.6" hidden="1">
      <c r="J571" s="65"/>
      <c r="K571" s="65"/>
      <c r="L571" s="65"/>
      <c r="M571" s="65"/>
      <c r="N571" s="65"/>
    </row>
    <row r="572" spans="10:14" ht="12.6" hidden="1">
      <c r="J572" s="65"/>
      <c r="K572" s="65"/>
      <c r="L572" s="65"/>
      <c r="M572" s="65"/>
      <c r="N572" s="65"/>
    </row>
    <row r="573" spans="10:14" ht="12.6" hidden="1">
      <c r="J573" s="65"/>
      <c r="K573" s="65"/>
      <c r="L573" s="65"/>
      <c r="M573" s="65"/>
      <c r="N573" s="65"/>
    </row>
    <row r="574" spans="10:14" ht="12.6" hidden="1">
      <c r="J574" s="65"/>
      <c r="K574" s="65"/>
      <c r="L574" s="65"/>
      <c r="M574" s="65"/>
      <c r="N574" s="65"/>
    </row>
    <row r="575" spans="10:14" ht="12.6" hidden="1">
      <c r="J575" s="65"/>
      <c r="K575" s="65"/>
      <c r="L575" s="65"/>
      <c r="M575" s="65"/>
      <c r="N575" s="65"/>
    </row>
    <row r="576" spans="10:14" ht="12.6" hidden="1">
      <c r="J576" s="65"/>
      <c r="K576" s="65"/>
      <c r="L576" s="65"/>
      <c r="M576" s="65"/>
      <c r="N576" s="65"/>
    </row>
    <row r="577" spans="10:14" ht="12.6" hidden="1">
      <c r="J577" s="65"/>
      <c r="K577" s="65"/>
      <c r="L577" s="65"/>
      <c r="M577" s="65"/>
      <c r="N577" s="65"/>
    </row>
    <row r="578" spans="10:14" ht="12.6" hidden="1">
      <c r="J578" s="65"/>
      <c r="K578" s="65"/>
      <c r="L578" s="65"/>
      <c r="M578" s="65"/>
      <c r="N578" s="65"/>
    </row>
    <row r="579" spans="10:14" ht="12.6" hidden="1">
      <c r="J579" s="65"/>
      <c r="K579" s="65"/>
      <c r="L579" s="65"/>
      <c r="M579" s="65"/>
      <c r="N579" s="65"/>
    </row>
    <row r="580" spans="10:14" ht="12.6" hidden="1">
      <c r="J580" s="65"/>
      <c r="K580" s="65"/>
      <c r="L580" s="65"/>
      <c r="M580" s="65"/>
      <c r="N580" s="65"/>
    </row>
    <row r="581" spans="10:14" ht="12.6" hidden="1">
      <c r="J581" s="65"/>
      <c r="K581" s="65"/>
      <c r="L581" s="65"/>
      <c r="M581" s="65"/>
      <c r="N581" s="65"/>
    </row>
    <row r="582" spans="10:14" ht="12.6" hidden="1">
      <c r="J582" s="65"/>
      <c r="K582" s="65"/>
      <c r="L582" s="65"/>
      <c r="M582" s="65"/>
      <c r="N582" s="65"/>
    </row>
    <row r="583" spans="10:14" ht="12.6" hidden="1">
      <c r="J583" s="65"/>
      <c r="K583" s="65"/>
      <c r="L583" s="65"/>
      <c r="M583" s="65"/>
      <c r="N583" s="65"/>
    </row>
    <row r="584" spans="10:14" ht="12.6" hidden="1">
      <c r="J584" s="65"/>
      <c r="K584" s="65"/>
      <c r="L584" s="65"/>
      <c r="M584" s="65"/>
      <c r="N584" s="65"/>
    </row>
    <row r="585" spans="10:14" ht="12.6" hidden="1">
      <c r="J585" s="65"/>
      <c r="K585" s="65"/>
      <c r="L585" s="65"/>
      <c r="M585" s="65"/>
      <c r="N585" s="65"/>
    </row>
    <row r="586" spans="10:14" ht="12.6" hidden="1">
      <c r="J586" s="65"/>
      <c r="K586" s="65"/>
      <c r="L586" s="65"/>
      <c r="M586" s="65"/>
      <c r="N586" s="65"/>
    </row>
    <row r="587" spans="10:14" ht="12.6" hidden="1"/>
    <row r="588" spans="10:14" ht="12.6" hidden="1"/>
  </sheetData>
  <mergeCells count="8">
    <mergeCell ref="C55:H55"/>
    <mergeCell ref="J55:O55"/>
    <mergeCell ref="B3:O3"/>
    <mergeCell ref="B4:O4"/>
    <mergeCell ref="B5:O5"/>
    <mergeCell ref="C9:H9"/>
    <mergeCell ref="J9:O9"/>
    <mergeCell ref="C44:O45"/>
  </mergeCells>
  <printOptions horizontalCentered="1" verticalCentered="1"/>
  <pageMargins left="0.19685039370078741" right="0.19685039370078741" top="0.78740157480314965" bottom="0.19685039370078741" header="0" footer="0"/>
  <pageSetup paperSize="9" scale="70" orientation="portrait" r:id="rId1"/>
  <headerFooter>
    <oddHeader xml:space="preserve">&amp;L
             &amp;G&amp;C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Drop Down 1">
              <controlPr defaultSize="0" autoLine="0" autoPict="0">
                <anchor moveWithCells="1">
                  <from>
                    <xdr:col>7</xdr:col>
                    <xdr:colOff>297180</xdr:colOff>
                    <xdr:row>6</xdr:row>
                    <xdr:rowOff>22860</xdr:rowOff>
                  </from>
                  <to>
                    <xdr:col>9</xdr:col>
                    <xdr:colOff>327660</xdr:colOff>
                    <xdr:row>6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33"/>
  <sheetViews>
    <sheetView showGridLines="0" showRowColHeaders="0" zoomScaleNormal="100" workbookViewId="0"/>
  </sheetViews>
  <sheetFormatPr baseColWidth="10" defaultColWidth="0" defaultRowHeight="12.75" customHeight="1" zeroHeight="1"/>
  <cols>
    <col min="1" max="1" width="1.453125" style="2" customWidth="1"/>
    <col min="2" max="2" width="38.08984375" style="2" customWidth="1"/>
    <col min="3" max="3" width="0.7265625" style="2" customWidth="1"/>
    <col min="4" max="6" width="10.6328125" style="2" customWidth="1"/>
    <col min="7" max="7" width="9.08984375" style="2" customWidth="1"/>
    <col min="8" max="8" width="0.7265625" style="2" customWidth="1"/>
    <col min="9" max="11" width="10.6328125" style="2" customWidth="1"/>
    <col min="12" max="12" width="9.08984375" style="2" customWidth="1"/>
    <col min="13" max="13" width="1.453125" style="2" customWidth="1"/>
    <col min="14" max="14" width="19.26953125" style="2" hidden="1" customWidth="1"/>
    <col min="15" max="15" width="8" style="2" hidden="1" customWidth="1"/>
    <col min="16" max="16384" width="11" style="2" hidden="1"/>
  </cols>
  <sheetData>
    <row r="1" spans="2:62" ht="5.2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</row>
    <row r="2" spans="2:62" ht="15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</row>
    <row r="3" spans="2:62" ht="22.2" customHeight="1">
      <c r="B3" s="326" t="s">
        <v>108</v>
      </c>
      <c r="C3" s="326"/>
      <c r="D3" s="338"/>
      <c r="E3" s="338"/>
      <c r="F3" s="338"/>
      <c r="G3" s="338"/>
      <c r="H3" s="338"/>
      <c r="I3" s="338"/>
      <c r="J3" s="338"/>
      <c r="K3" s="338"/>
      <c r="L3" s="338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</row>
    <row r="4" spans="2:62" ht="22.2" customHeight="1">
      <c r="B4" s="326" t="s">
        <v>109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171"/>
      <c r="N4" s="6" t="s">
        <v>110</v>
      </c>
      <c r="O4" s="7">
        <v>29</v>
      </c>
      <c r="P4" s="7">
        <f>INDEX(Años,O4)</f>
        <v>2024</v>
      </c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</row>
    <row r="5" spans="2:62" ht="16.2" customHeight="1">
      <c r="B5" s="339" t="s">
        <v>77</v>
      </c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171"/>
      <c r="N5" s="6" t="s">
        <v>111</v>
      </c>
      <c r="O5" s="7">
        <v>2</v>
      </c>
      <c r="P5" s="7" t="str">
        <f>INDEX(Meses,O5)</f>
        <v>FEBRUARY</v>
      </c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</row>
    <row r="6" spans="2:62" ht="18" customHeight="1" thickBot="1"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171"/>
      <c r="N6" s="6" t="s">
        <v>112</v>
      </c>
      <c r="P6" s="8" t="str">
        <f>CONCATENATE("&lt;=",O5)</f>
        <v>&lt;=2</v>
      </c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</row>
    <row r="7" spans="2:62" ht="18.899999999999999" customHeight="1" thickTop="1" thickBot="1">
      <c r="B7" s="7"/>
      <c r="C7" s="7"/>
      <c r="D7" s="172" t="s">
        <v>113</v>
      </c>
      <c r="E7" s="114"/>
      <c r="F7" s="173" t="s">
        <v>114</v>
      </c>
      <c r="G7" s="174"/>
      <c r="H7" s="7"/>
      <c r="L7" s="7"/>
      <c r="M7" s="171"/>
      <c r="N7" s="6" t="s">
        <v>115</v>
      </c>
      <c r="O7" s="10"/>
      <c r="P7" s="11">
        <f>P4-1</f>
        <v>2023</v>
      </c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</row>
    <row r="8" spans="2:62" ht="14.4" customHeight="1" thickTop="1">
      <c r="B8" s="7"/>
      <c r="C8" s="7"/>
      <c r="D8" s="7"/>
      <c r="E8" s="7"/>
      <c r="F8" s="7"/>
      <c r="G8" s="7"/>
      <c r="H8" s="7"/>
      <c r="K8"/>
      <c r="L8" s="7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</row>
    <row r="9" spans="2:62" ht="20.100000000000001" customHeight="1" thickBot="1">
      <c r="B9" s="341"/>
      <c r="C9" s="175"/>
      <c r="D9" s="343" t="s">
        <v>116</v>
      </c>
      <c r="E9" s="344" t="e">
        <f>CONCATENATE("INFORME MENSUAL DE RECAUDACIÓN TRIBUTARIA. ",#REF!," ",#REF!)</f>
        <v>#REF!</v>
      </c>
      <c r="F9" s="344" t="e">
        <f>CONCATENATE("INFORME MENSUAL DE RECAUDACIÓN TRIBUTARIA. ",#REF!," ",#REF!)</f>
        <v>#REF!</v>
      </c>
      <c r="G9" s="344" t="e">
        <f>CONCATENATE("INFORME MENSUAL DE RECAUDACIÓN TRIBUTARIA. ",#REF!," ",#REF!)</f>
        <v>#REF!</v>
      </c>
      <c r="H9" s="17"/>
      <c r="I9" s="343" t="s">
        <v>73</v>
      </c>
      <c r="J9" s="344" t="e">
        <f>CONCATENATE("INFORME MENSUAL DE RECAUDACIÓN TRIBUTARIA. ",#REF!," ",#REF!)</f>
        <v>#REF!</v>
      </c>
      <c r="K9" s="344" t="e">
        <f>CONCATENATE("INFORME MENSUAL DE RECAUDACIÓN TRIBUTARIA. ",#REF!," ",#REF!)</f>
        <v>#REF!</v>
      </c>
      <c r="L9" s="344" t="e">
        <f>CONCATENATE("INFORME MENSUAL DE RECAUDACIÓN TRIBUTARIA. ",#REF!," ",#REF!)</f>
        <v>#REF!</v>
      </c>
      <c r="M9" s="171"/>
      <c r="N9"/>
      <c r="O9"/>
      <c r="P9"/>
      <c r="Q9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</row>
    <row r="10" spans="2:62" ht="4.5" customHeight="1">
      <c r="B10" s="341"/>
      <c r="C10" s="175"/>
      <c r="D10" s="20"/>
      <c r="E10" s="17"/>
      <c r="F10" s="17"/>
      <c r="G10" s="17"/>
      <c r="H10" s="17"/>
      <c r="I10" s="20"/>
      <c r="J10" s="17"/>
      <c r="K10" s="17"/>
      <c r="L10" s="17"/>
      <c r="M10" s="171"/>
      <c r="N10"/>
      <c r="O10"/>
      <c r="P10"/>
      <c r="Q10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</row>
    <row r="11" spans="2:62" ht="15" customHeight="1" thickBot="1">
      <c r="B11" s="341"/>
      <c r="C11" s="175"/>
      <c r="D11" s="20"/>
      <c r="E11" s="17"/>
      <c r="F11" s="334" t="str">
        <f>CONCATENATE("Comparison ",MID($D$12,3,2),"/",MID($E$12,3,2))</f>
        <v>Comparison 24/23</v>
      </c>
      <c r="G11" s="334">
        <v>0</v>
      </c>
      <c r="H11" s="17"/>
      <c r="I11" s="20"/>
      <c r="J11" s="17"/>
      <c r="K11" s="334" t="str">
        <f>CONCATENATE("Comparison ",MID($D$12,3,2),"/",MID($E$12,3,2))</f>
        <v>Comparison 24/23</v>
      </c>
      <c r="L11" s="334">
        <v>0</v>
      </c>
      <c r="M11" s="171"/>
      <c r="N11"/>
      <c r="O11"/>
      <c r="P11"/>
      <c r="Q1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</row>
    <row r="12" spans="2:62" ht="20.100000000000001" customHeight="1">
      <c r="B12" s="342"/>
      <c r="C12" s="176"/>
      <c r="D12" s="177">
        <f>P4</f>
        <v>2024</v>
      </c>
      <c r="E12" s="177">
        <f>P7</f>
        <v>2023</v>
      </c>
      <c r="F12" s="178" t="s">
        <v>117</v>
      </c>
      <c r="G12" s="179" t="s">
        <v>118</v>
      </c>
      <c r="H12" s="178"/>
      <c r="I12" s="177">
        <f>P4</f>
        <v>2024</v>
      </c>
      <c r="J12" s="177">
        <f>P7</f>
        <v>2023</v>
      </c>
      <c r="K12" s="178" t="s">
        <v>117</v>
      </c>
      <c r="L12" s="179" t="s">
        <v>118</v>
      </c>
      <c r="M12" s="171"/>
      <c r="N12"/>
      <c r="O12"/>
      <c r="P12"/>
      <c r="Q12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</row>
    <row r="13" spans="2:62" ht="20.100000000000001" customHeight="1">
      <c r="B13" s="176"/>
      <c r="C13" s="176"/>
      <c r="D13" s="178"/>
      <c r="E13" s="178"/>
      <c r="F13" s="178"/>
      <c r="G13" s="178"/>
      <c r="H13" s="178"/>
      <c r="I13" s="178"/>
      <c r="J13" s="178"/>
      <c r="K13" s="178"/>
      <c r="L13" s="111"/>
      <c r="M13" s="171"/>
      <c r="N13"/>
      <c r="O13"/>
      <c r="P13"/>
      <c r="Q13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</row>
    <row r="14" spans="2:62" ht="17.100000000000001" customHeight="1">
      <c r="B14" s="180" t="s">
        <v>53</v>
      </c>
      <c r="C14" s="56"/>
      <c r="D14" s="248">
        <f>-SUMIFS(IRPF_devoluciones_total,Años_datos,Año_seleccionado_C.2.1,Mes_datos,Mes_seleccionado_C.2.1)/1000</f>
        <v>249.352</v>
      </c>
      <c r="E14" s="248">
        <f>-SUMIFS(IRPF_devoluciones_total,Años_datos,Año_anterior_seleccionado_C.2.1,Mes_datos,Mes_seleccionado_C.2.1)/1000</f>
        <v>205.41200000000001</v>
      </c>
      <c r="F14" s="263">
        <f>+D14-E14</f>
        <v>43.94</v>
      </c>
      <c r="G14" s="181">
        <f>IF(E14=0,"-",IF(ABS((D14-E14)/ABS(E14))*100&gt;=100,"-",IF(D14/E14&lt;0,"-",(D14-E14)/ABS(E14)*100)))</f>
        <v>21.391155336591826</v>
      </c>
      <c r="H14" s="182"/>
      <c r="I14" s="248">
        <f>-SUMIFS(IRPF_devoluciones_total,Años_datos,Año_seleccionado_C.2.1,Datos_periodo,Periodo_seleccionado_C.2.1)/1000</f>
        <v>610.83699999999999</v>
      </c>
      <c r="J14" s="248">
        <f>-SUMIFS(IRPF_devoluciones_total,Años_datos,Año_anterior_seleccionado_C.2.1,Datos_periodo,Periodo_seleccionado_C.2.1)/1000</f>
        <v>590.37800000000004</v>
      </c>
      <c r="K14" s="263">
        <f>+I14-J14</f>
        <v>20.458999999999946</v>
      </c>
      <c r="L14" s="181">
        <f>IF(J14=0,"-",IF(ABS((I14-J14)/ABS(J14))*100&gt;=100,"-",IF(I14/J14&lt;0,"-",(I14-J14)/ABS(J14)*100)))</f>
        <v>3.465406908794018</v>
      </c>
      <c r="M14" s="171"/>
      <c r="N14"/>
      <c r="O14"/>
      <c r="P14"/>
      <c r="Q14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</row>
    <row r="15" spans="2:62" ht="17.100000000000001" customHeight="1">
      <c r="B15" s="183" t="s">
        <v>119</v>
      </c>
      <c r="C15" s="183"/>
      <c r="D15" s="262">
        <f>-SUMIFS(IRPF_devoluciones_RDeclaracAnual,Años_datos,Año_seleccionado_C.2.1,Mes_datos,Mes_seleccionado_C.2.1)/1000</f>
        <v>217.511</v>
      </c>
      <c r="E15" s="262">
        <f>-SUMIFS(IRPF_devoluciones_RDeclaracAnual,Años_datos,Año_anterior_seleccionado_C.2.1,Mes_datos,Mes_seleccionado_C.2.1)/1000</f>
        <v>145.91200000000001</v>
      </c>
      <c r="F15" s="254">
        <f t="shared" ref="F15:F67" si="0">+D15-E15</f>
        <v>71.59899999999999</v>
      </c>
      <c r="G15" s="51">
        <f>IF(E15=0,"-",IF(ABS((D15-E15)/ABS(E15))*100&gt;=100,"-",IF(D15/E15&lt;0,"-",(D15-E15)/ABS(E15)*100)))</f>
        <v>49.069987389659516</v>
      </c>
      <c r="H15" s="50"/>
      <c r="I15" s="262">
        <f>-SUMIFS(IRPF_devoluciones_RDeclaracAnual,Años_datos,Año_seleccionado_C.2.1,Datos_periodo,Periodo_seleccionado_C.2.1)/1000</f>
        <v>549.40899999999999</v>
      </c>
      <c r="J15" s="262">
        <f>-SUMIFS(IRPF_devoluciones_RDeclaracAnual,Años_datos,Año_anterior_seleccionado_C.2.1,Datos_periodo,Periodo_seleccionado_C.2.1)/1000</f>
        <v>451.154</v>
      </c>
      <c r="K15" s="254">
        <f t="shared" ref="K15:K67" si="1">+I15-J15</f>
        <v>98.254999999999995</v>
      </c>
      <c r="L15" s="51">
        <f>IF(J15=0,"-",IF(ABS((I15-J15)/ABS(J15))*100&gt;=100,"-",IF(I15/J15&lt;0,"-",(I15-J15)/ABS(J15)*100)))</f>
        <v>21.778594448902147</v>
      </c>
      <c r="M15" s="171"/>
      <c r="N15"/>
      <c r="O15"/>
      <c r="P15"/>
      <c r="Q15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</row>
    <row r="16" spans="2:62" ht="17.100000000000001" customHeight="1">
      <c r="B16" s="183" t="s">
        <v>120</v>
      </c>
      <c r="C16" s="183"/>
      <c r="D16" s="262">
        <f>-SUMIFS(IRPF_devoluciones_liquidac_Admon,Años_datos,Año_seleccionado_C.2.1,Mes_datos,Mes_seleccionado_C.2.1)/1000</f>
        <v>9.0359999999999996</v>
      </c>
      <c r="E16" s="262">
        <f>-SUMIFS(IRPF_devoluciones_liquidac_Admon,Años_datos,Año_anterior_seleccionado_C.2.1,Mes_datos,Mes_seleccionado_C.2.1)/1000</f>
        <v>21.527999999999999</v>
      </c>
      <c r="F16" s="254">
        <f t="shared" si="0"/>
        <v>-12.491999999999999</v>
      </c>
      <c r="G16" s="51">
        <f>IF(E16=0,"-",IF(ABS((D16-E16)/ABS(E16))*100&gt;=100,"-",IF(D16/E16&lt;0,"-",(D16-E16)/ABS(E16)*100)))</f>
        <v>-58.026755852842804</v>
      </c>
      <c r="H16" s="50"/>
      <c r="I16" s="262">
        <f>-SUMIFS(IRPF_devoluciones_liquidac_Admon,Años_datos,Año_seleccionado_C.2.1,Datos_periodo,Periodo_seleccionado_C.2.1)/1000</f>
        <v>16.581</v>
      </c>
      <c r="J16" s="262">
        <f>-SUMIFS(IRPF_devoluciones_liquidac_Admon,Años_datos,Año_anterior_seleccionado_C.2.1,Datos_periodo,Periodo_seleccionado_C.2.1)/1000</f>
        <v>51.725000000000001</v>
      </c>
      <c r="K16" s="254">
        <f t="shared" si="1"/>
        <v>-35.144000000000005</v>
      </c>
      <c r="L16" s="51">
        <f>IF(J16=0,"-",IF(ABS((I16-J16)/ABS(J16))*100&gt;=100,"-",IF(I16/J16&lt;0,"-",(I16-J16)/ABS(J16)*100)))</f>
        <v>-67.943934267762202</v>
      </c>
      <c r="M16" s="171"/>
      <c r="N16"/>
      <c r="O16"/>
      <c r="P16"/>
      <c r="Q16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</row>
    <row r="17" spans="2:62" ht="17.100000000000001" customHeight="1">
      <c r="B17" s="183" t="s">
        <v>121</v>
      </c>
      <c r="C17" s="183"/>
      <c r="D17" s="262">
        <f>-SUMIFS(IRPF_devoluciones_otras,Años_datos,Año_seleccionado_C.2.1,Mes_datos,Mes_seleccionado_C.2.1)/1000</f>
        <v>22.805</v>
      </c>
      <c r="E17" s="262">
        <f>-SUMIFS(IRPF_devoluciones_otras,Años_datos,Año_anterior_seleccionado_C.2.1,Mes_datos,Mes_seleccionado_C.2.1)/1000</f>
        <v>37.972000000000001</v>
      </c>
      <c r="F17" s="254">
        <f t="shared" si="0"/>
        <v>-15.167000000000002</v>
      </c>
      <c r="G17" s="51">
        <f>IF(E17=0,"-",IF(ABS((D17-E17)/ABS(E17))*100&gt;=100,"-",IF(D17/E17&lt;0,"-",(D17-E17)/ABS(E17)*100)))</f>
        <v>-39.942589276308858</v>
      </c>
      <c r="H17" s="50"/>
      <c r="I17" s="262">
        <f>-SUMIFS(IRPF_devoluciones_otras,Años_datos,Año_seleccionado_C.2.1,Datos_periodo,Periodo_seleccionado_C.2.1)/1000</f>
        <v>44.432000000000002</v>
      </c>
      <c r="J17" s="262">
        <f>-SUMIFS(IRPF_devoluciones_otras,Años_datos,Año_anterior_seleccionado_C.2.1,Datos_periodo,Periodo_seleccionado_C.2.1)/1000</f>
        <v>64.991</v>
      </c>
      <c r="K17" s="254">
        <f t="shared" si="1"/>
        <v>-20.558999999999997</v>
      </c>
      <c r="L17" s="51">
        <f>IF(J17=0,"-",IF(ABS((I17-J17)/ABS(J17))*100&gt;=100,"-",IF(I17/J17&lt;0,"-",(I17-J17)/ABS(J17)*100)))</f>
        <v>-31.633610807650285</v>
      </c>
      <c r="M17" s="171"/>
      <c r="N17"/>
      <c r="O17"/>
      <c r="P17"/>
      <c r="Q17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</row>
    <row r="18" spans="2:62" ht="17.100000000000001" customHeight="1">
      <c r="B18" s="183" t="s">
        <v>122</v>
      </c>
      <c r="C18" s="183"/>
      <c r="D18" s="262">
        <f>-SUMIFS(IRPF_devoluciones_Tesoro,Años_datos,Año_seleccionado_C.2.1,Mes_datos,Mes_seleccionado_C.2.1)/1000</f>
        <v>0</v>
      </c>
      <c r="E18" s="262">
        <f>-SUMIFS(IRPF_devoluciones_Tesoro,Años_datos,Año_anterior_seleccionado_C.2.1,Mes_datos,Mes_seleccionado_C.2.1)/1000</f>
        <v>0</v>
      </c>
      <c r="F18" s="253">
        <f t="shared" si="0"/>
        <v>0</v>
      </c>
      <c r="G18" s="48" t="str">
        <f>IF(E18=0,"-",IF(ABS((D18-E18)/ABS(E18))*100&gt;=100,"-",IF(D18/E18&lt;0,"-",(D18-E18)/ABS(E18)*100)))</f>
        <v>-</v>
      </c>
      <c r="H18" s="47"/>
      <c r="I18" s="262">
        <f>-SUMIFS(IRPF_devoluciones_Tesoro,Años_datos,Año_seleccionado_C.2.1,Datos_periodo,Periodo_seleccionado_C.2.1)/1000</f>
        <v>0.41499999999999998</v>
      </c>
      <c r="J18" s="262">
        <f>-SUMIFS(IRPF_devoluciones_Tesoro,Años_datos,Año_anterior_seleccionado_C.2.1,Datos_periodo,Periodo_seleccionado_C.2.1)/1000</f>
        <v>22.507999999999999</v>
      </c>
      <c r="K18" s="253">
        <f t="shared" si="1"/>
        <v>-22.093</v>
      </c>
      <c r="L18" s="48">
        <f>IF(J18=0,"-",IF(ABS((I18-J18)/ABS(J18))*100&gt;=100,"-",IF(I18/J18&lt;0,"-",(I18-J18)/ABS(J18)*100)))</f>
        <v>-98.15621112493335</v>
      </c>
      <c r="M18" s="171"/>
      <c r="N18"/>
      <c r="O18"/>
      <c r="P18"/>
      <c r="Q18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</row>
    <row r="19" spans="2:62" ht="5.0999999999999996" customHeight="1">
      <c r="B19" s="183"/>
      <c r="C19" s="183"/>
      <c r="D19" s="184"/>
      <c r="E19" s="184"/>
      <c r="F19" s="47"/>
      <c r="G19" s="48"/>
      <c r="H19" s="47"/>
      <c r="I19" s="184"/>
      <c r="J19" s="184"/>
      <c r="K19" s="47"/>
      <c r="L19" s="48"/>
      <c r="M19" s="171"/>
      <c r="N19"/>
      <c r="O19"/>
      <c r="P19"/>
      <c r="Q19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</row>
    <row r="20" spans="2:62" s="185" customFormat="1" ht="17.100000000000001" customHeight="1">
      <c r="B20" s="180" t="s">
        <v>54</v>
      </c>
      <c r="C20" s="56"/>
      <c r="D20" s="248">
        <f>-SUMIFS(IS_devoluciones_total,Años_datos,Año_seleccionado_C.2.1,Mes_datos,Mes_seleccionado_C.2.1)/1000</f>
        <v>738.43100000000004</v>
      </c>
      <c r="E20" s="248">
        <f>-SUMIFS(IS_devoluciones_total,Años_datos,Año_anterior_seleccionado_C.2.1,Mes_datos,Mes_seleccionado_C.2.1)/1000</f>
        <v>507.26299999999998</v>
      </c>
      <c r="F20" s="263">
        <f t="shared" si="0"/>
        <v>231.16800000000006</v>
      </c>
      <c r="G20" s="181">
        <f>IF(E20=0,"-",IF(ABS((D20-E20)/ABS(E20))*100&gt;=100,"-",IF(D20/E20&lt;0,"-",(D20-E20)/ABS(E20)*100)))</f>
        <v>45.571626552695562</v>
      </c>
      <c r="H20" s="182"/>
      <c r="I20" s="248">
        <f>-SUMIFS(IS_devoluciones_total,Años_datos,Año_seleccionado_C.2.1,Datos_periodo,Periodo_seleccionado_C.2.1)/1000</f>
        <v>7712.3029999999999</v>
      </c>
      <c r="J20" s="248">
        <f>-SUMIFS(IS_devoluciones_total,Años_datos,Año_anterior_seleccionado_C.2.1,Datos_periodo,Periodo_seleccionado_C.2.1)/1000</f>
        <v>7297.6049999999996</v>
      </c>
      <c r="K20" s="263">
        <f t="shared" si="1"/>
        <v>414.69800000000032</v>
      </c>
      <c r="L20" s="181">
        <f>IF(J20=0,"-",IF(ABS((I20-J20)/ABS(J20))*100&gt;=100,"-",IF(I20/J20&lt;0,"-",(I20-J20)/ABS(J20)*100)))</f>
        <v>5.6826588997349177</v>
      </c>
      <c r="M20" s="171"/>
      <c r="N20"/>
      <c r="O20"/>
      <c r="P20"/>
      <c r="Q20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</row>
    <row r="21" spans="2:62" ht="17.100000000000001" customHeight="1">
      <c r="B21" s="183" t="s">
        <v>123</v>
      </c>
      <c r="C21" s="183"/>
      <c r="D21" s="262">
        <f>-SUMIFS(IS_devoluciones_RDA,Años_datos,Año_seleccionado_C.2.1,Mes_datos,Mes_seleccionado_C.2.1)/1000</f>
        <v>337.67700000000002</v>
      </c>
      <c r="E21" s="262">
        <f>-SUMIFS(IS_devoluciones_RDA,Años_datos,Año_anterior_seleccionado_C.2.1,Mes_datos,Mes_seleccionado_C.2.1)/1000</f>
        <v>461.42899999999997</v>
      </c>
      <c r="F21" s="254">
        <f t="shared" si="0"/>
        <v>-123.75199999999995</v>
      </c>
      <c r="G21" s="51">
        <f>IF(E21=0,"-",IF(ABS((D21-E21)/ABS(E21))*100&gt;=100,"-",IF(D21/E21&lt;0,"-",(D21-E21)/ABS(E21)*100)))</f>
        <v>-26.819293975887938</v>
      </c>
      <c r="H21" s="50"/>
      <c r="I21" s="262">
        <f>-SUMIFS(IS_devoluciones_RDA,Años_datos,Año_seleccionado_C.2.1,Datos_periodo,Periodo_seleccionado_C.2.1)/1000</f>
        <v>7249.9189999999999</v>
      </c>
      <c r="J21" s="262">
        <f>-SUMIFS(IS_devoluciones_RDA,Años_datos,Año_anterior_seleccionado_C.2.1,Datos_periodo,Periodo_seleccionado_C.2.1)/1000</f>
        <v>7208.8249999999998</v>
      </c>
      <c r="K21" s="254">
        <f t="shared" si="1"/>
        <v>41.094000000000051</v>
      </c>
      <c r="L21" s="51">
        <f>IF(J21=0,"-",IF(ABS((I21-J21)/ABS(J21))*100&gt;=100,"-",IF(I21/J21&lt;0,"-",(I21-J21)/ABS(J21)*100)))</f>
        <v>0.57005129129920684</v>
      </c>
      <c r="M21" s="171"/>
      <c r="N21"/>
      <c r="O21"/>
      <c r="P21"/>
      <c r="Q2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</row>
    <row r="22" spans="2:62" ht="17.100000000000001" customHeight="1">
      <c r="B22" s="183" t="s">
        <v>120</v>
      </c>
      <c r="C22" s="183"/>
      <c r="D22" s="262">
        <f>-SUMIFS(IS_devoluciones_liq_Admon,Años_datos,Año_seleccionado_C.2.1,Mes_datos,Mes_seleccionado_C.2.1)/1000</f>
        <v>397.11900000000003</v>
      </c>
      <c r="E22" s="262">
        <f>-SUMIFS(IS_devoluciones_liq_Admon,Años_datos,Año_anterior_seleccionado_C.2.1,Mes_datos,Mes_seleccionado_C.2.1)/1000</f>
        <v>42.860999999999997</v>
      </c>
      <c r="F22" s="254">
        <f t="shared" si="0"/>
        <v>354.25800000000004</v>
      </c>
      <c r="G22" s="51" t="str">
        <f>IF(E22=0,"-",IF(ABS((D22-E22)/ABS(E22))*100&gt;=100,"-",IF(D22/E22&lt;0,"-",(D22-E22)/ABS(E22)*100)))</f>
        <v>-</v>
      </c>
      <c r="H22" s="50"/>
      <c r="I22" s="262">
        <f>-SUMIFS(IS_devoluciones_liq_Admon,Años_datos,Año_seleccionado_C.2.1,Datos_periodo,Periodo_seleccionado_C.2.1)/1000</f>
        <v>456.04199999999997</v>
      </c>
      <c r="J22" s="262">
        <f>-SUMIFS(IS_devoluciones_liq_Admon,Años_datos,Año_anterior_seleccionado_C.2.1,Datos_periodo,Periodo_seleccionado_C.2.1)/1000</f>
        <v>84.191999999999993</v>
      </c>
      <c r="K22" s="254">
        <f t="shared" si="1"/>
        <v>371.84999999999997</v>
      </c>
      <c r="L22" s="51" t="str">
        <f>IF(J22=0,"-",IF(ABS((I22-J22)/ABS(J22))*100&gt;=100,"-",IF(I22/J22&lt;0,"-",(I22-J22)/ABS(J22)*100)))</f>
        <v>-</v>
      </c>
      <c r="M22" s="171"/>
      <c r="N22"/>
      <c r="O22"/>
      <c r="P22"/>
      <c r="Q22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</row>
    <row r="23" spans="2:62" ht="17.100000000000001" customHeight="1">
      <c r="B23" s="183" t="s">
        <v>121</v>
      </c>
      <c r="C23" s="183"/>
      <c r="D23" s="262">
        <f>-SUMIFS(IS_devoluciones_otras,Años_datos,Año_seleccionado_C.2.1,Mes_datos,Mes_seleccionado_C.2.1)/1000-SUMIFS(IS_devoluciones_Tesoro,Años_datos,Año_seleccionado_C.2.1,Mes_datos,Mes_seleccionado_C.2.1)/1000</f>
        <v>3.6349999999999998</v>
      </c>
      <c r="E23" s="262">
        <f>-SUMIFS(IS_devoluciones_otras,Años_datos,Año_anterior_seleccionado_C.2.1,Mes_datos,Mes_seleccionado_C.2.1)/1000-SUMIFS(IS_devoluciones_Tesoro,Años_datos,Año_anterior_seleccionado_C.2.1,Mes_datos,Mes_seleccionado_C.2.1)/1000</f>
        <v>2.9729999999999999</v>
      </c>
      <c r="F23" s="254">
        <f t="shared" si="0"/>
        <v>0.66199999999999992</v>
      </c>
      <c r="G23" s="51">
        <f>IF(E23=0,"-",IF(ABS((D23-E23)/ABS(E23))*100&gt;=100,"-",IF(D23/E23&lt;0,"-",(D23-E23)/ABS(E23)*100)))</f>
        <v>22.267070299360913</v>
      </c>
      <c r="H23" s="50"/>
      <c r="I23" s="262">
        <f>-SUMIFS(IS_devoluciones_otras,Años_datos,Año_seleccionado_C.2.1,Datos_periodo,Periodo_seleccionado_C.2.1)/1000-SUMIFS(IS_devoluciones_Tesoro,Años_datos,Año_seleccionado_C.2.1,Datos_periodo,Periodo_seleccionado_C.2.1)/1000</f>
        <v>6.3419999999999996</v>
      </c>
      <c r="J23" s="262">
        <f>-SUMIFS(IS_devoluciones_otras,Años_datos,Año_anterior_seleccionado_C.2.1,Datos_periodo,Periodo_seleccionado_C.2.1)/1000-SUMIFS(IS_devoluciones_Tesoro,Años_datos,Año_anterior_seleccionado_C.2.1,Datos_periodo,Periodo_seleccionado_C.2.1)/1000</f>
        <v>4.5880000000000001</v>
      </c>
      <c r="K23" s="254">
        <f t="shared" si="1"/>
        <v>1.7539999999999996</v>
      </c>
      <c r="L23" s="51">
        <f>IF(J23=0,"-",IF(ABS((I23-J23)/ABS(J23))*100&gt;=100,"-",IF(I23/J23&lt;0,"-",(I23-J23)/ABS(J23)*100)))</f>
        <v>38.230165649520472</v>
      </c>
      <c r="M23" s="171"/>
      <c r="N23"/>
      <c r="O23"/>
      <c r="P23"/>
      <c r="Q23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</row>
    <row r="24" spans="2:62" ht="5.0999999999999996" customHeight="1">
      <c r="B24" s="183"/>
      <c r="C24" s="183"/>
      <c r="D24" s="184"/>
      <c r="E24" s="184"/>
      <c r="F24" s="50"/>
      <c r="G24" s="51"/>
      <c r="H24" s="50"/>
      <c r="I24" s="184"/>
      <c r="J24" s="184"/>
      <c r="K24" s="50"/>
      <c r="L24" s="51"/>
      <c r="M24" s="171"/>
      <c r="N24"/>
      <c r="O24"/>
      <c r="P24"/>
      <c r="Q24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</row>
    <row r="25" spans="2:62" ht="17.100000000000001" customHeight="1">
      <c r="B25" s="180" t="s">
        <v>124</v>
      </c>
      <c r="C25" s="56"/>
      <c r="D25" s="248">
        <f>-SUMIFS(IRNR_devoluciones,Años_datos,Año_seleccionado_C.2.1,Mes_datos,Mes_seleccionado_C.2.1)/1000</f>
        <v>31.164000000000001</v>
      </c>
      <c r="E25" s="248">
        <f>-SUMIFS(IRNR_devoluciones,Años_datos,Año_anterior_seleccionado_C.2.1,Mes_datos,Mes_seleccionado_C.2.1)/1000</f>
        <v>38.305</v>
      </c>
      <c r="F25" s="263">
        <f t="shared" si="0"/>
        <v>-7.1409999999999982</v>
      </c>
      <c r="G25" s="181">
        <f>IF(E25=0,"-",IF(ABS((D25-E25)/ABS(E25))*100&gt;=100,"-",IF(D25/E25&lt;0,"-",(D25-E25)/ABS(E25)*100)))</f>
        <v>-18.642474872732016</v>
      </c>
      <c r="H25" s="182"/>
      <c r="I25" s="248">
        <f>-SUMIFS(IRNR_devoluciones,Años_datos,Año_seleccionado_C.2.1,Datos_periodo,Periodo_seleccionado_C.2.1)/1000</f>
        <v>66.528000000000006</v>
      </c>
      <c r="J25" s="248">
        <f>-SUMIFS(IRNR_devoluciones,Años_datos,Año_anterior_seleccionado_C.2.1,Datos_periodo,Periodo_seleccionado_C.2.1)/1000</f>
        <v>95.322999999999993</v>
      </c>
      <c r="K25" s="263">
        <f t="shared" si="1"/>
        <v>-28.794999999999987</v>
      </c>
      <c r="L25" s="181">
        <f>IF(J25=0,"-",IF(ABS((I25-J25)/ABS(J25))*100&gt;=100,"-",IF(I25/J25&lt;0,"-",(I25-J25)/ABS(J25)*100)))</f>
        <v>-30.207819728711844</v>
      </c>
      <c r="M25" s="171"/>
      <c r="N25"/>
      <c r="O25"/>
      <c r="P25"/>
      <c r="Q25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</row>
    <row r="26" spans="2:62" ht="17.100000000000001" hidden="1" customHeight="1">
      <c r="B26" s="183" t="s">
        <v>125</v>
      </c>
      <c r="C26" s="183"/>
      <c r="D26" s="184">
        <v>49.966000000000001</v>
      </c>
      <c r="E26" s="184">
        <v>29.306000000000001</v>
      </c>
      <c r="F26" s="50">
        <f t="shared" si="0"/>
        <v>20.66</v>
      </c>
      <c r="G26" s="51">
        <f>IF(E26=0,"-",IF(ABS((D26-E26)/ABS(E26))*100&gt;200,"-",IF(D26/E26&lt;0,"-",(D26-E26)/ABS(E26)*100)))</f>
        <v>70.497509042516896</v>
      </c>
      <c r="H26" s="50"/>
      <c r="I26" s="184">
        <v>344.69</v>
      </c>
      <c r="J26" s="184">
        <v>208.667</v>
      </c>
      <c r="K26" s="50">
        <f t="shared" si="1"/>
        <v>136.023</v>
      </c>
      <c r="L26" s="51">
        <f>IF(J26=0,"-",IF(ABS((I26-J26)/ABS(J26))*100&gt;200,"-",IF(I26/J26&lt;0,"-",(I26-J26)/ABS(J26)*100)))</f>
        <v>65.186637082049387</v>
      </c>
      <c r="M26" s="171"/>
      <c r="N26"/>
      <c r="O26"/>
      <c r="P26"/>
      <c r="Q26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</row>
    <row r="27" spans="2:62" ht="17.100000000000001" hidden="1" customHeight="1">
      <c r="B27" s="183" t="s">
        <v>126</v>
      </c>
      <c r="C27" s="183"/>
      <c r="D27" s="184">
        <v>0</v>
      </c>
      <c r="E27" s="184">
        <v>0</v>
      </c>
      <c r="F27" s="50">
        <f t="shared" si="0"/>
        <v>0</v>
      </c>
      <c r="G27" s="51" t="str">
        <f>IF(E27=0,"-",IF(ABS((D27-E27)/ABS(E27))*100&gt;200,"-",IF(D27/E27&lt;0,"-",(D27-E27)/ABS(E27)*100)))</f>
        <v>-</v>
      </c>
      <c r="H27" s="50"/>
      <c r="I27" s="184">
        <v>0</v>
      </c>
      <c r="J27" s="184">
        <v>0</v>
      </c>
      <c r="K27" s="50">
        <f t="shared" si="1"/>
        <v>0</v>
      </c>
      <c r="L27" s="51" t="str">
        <f>IF(J27=0,"-",IF(ABS((I27-J27)/ABS(J27))*100&gt;200,"-",IF(I27/J27&lt;0,"-",(I27-J27)/ABS(J27)*100)))</f>
        <v>-</v>
      </c>
      <c r="M27" s="171"/>
      <c r="N27"/>
      <c r="O27"/>
      <c r="P27"/>
      <c r="Q27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</row>
    <row r="28" spans="2:62" ht="5.0999999999999996" customHeight="1">
      <c r="B28" s="183"/>
      <c r="C28" s="183"/>
      <c r="D28" s="184"/>
      <c r="E28" s="184"/>
      <c r="F28" s="50"/>
      <c r="G28" s="51"/>
      <c r="H28" s="50"/>
      <c r="I28" s="184"/>
      <c r="J28" s="184"/>
      <c r="K28" s="50"/>
      <c r="L28" s="51"/>
      <c r="M28" s="171"/>
      <c r="N28"/>
      <c r="O28"/>
      <c r="P28"/>
      <c r="Q28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</row>
    <row r="29" spans="2:62" s="185" customFormat="1" ht="17.100000000000001" customHeight="1">
      <c r="B29" s="180" t="s">
        <v>85</v>
      </c>
      <c r="C29" s="56"/>
      <c r="D29" s="248">
        <f>-SUMIFS(IVA_devoluciones_total,Años_datos,Año_seleccionado_C.2.1,Mes_datos,Mes_seleccionado_C.2.1)/1000</f>
        <v>1479.5239999999999</v>
      </c>
      <c r="E29" s="248">
        <f>-SUMIFS(IVA_devoluciones_total,Años_datos,Año_anterior_seleccionado_C.2.1,Mes_datos,Mes_seleccionado_C.2.1)/1000</f>
        <v>1567.2840000000001</v>
      </c>
      <c r="F29" s="263">
        <f t="shared" si="0"/>
        <v>-87.760000000000218</v>
      </c>
      <c r="G29" s="181">
        <f>IF(E29=0,"-",IF(ABS((D29-E29)/ABS(E29))*100&gt;=100,"-",IF(D29/E29&lt;0,"-",(D29-E29)/ABS(E29)*100)))</f>
        <v>-5.5994956880820714</v>
      </c>
      <c r="H29" s="182"/>
      <c r="I29" s="248">
        <f>-SUMIFS(IVA_devoluciones_total,Años_datos,Año_seleccionado_C.2.1,Datos_periodo,Periodo_seleccionado_C.2.1)/1000</f>
        <v>3482.3249999999998</v>
      </c>
      <c r="J29" s="248">
        <f>-SUMIFS(IVA_devoluciones_total,Años_datos,Año_anterior_seleccionado_C.2.1,Datos_periodo,Periodo_seleccionado_C.2.1)/1000</f>
        <v>3803.7179999999998</v>
      </c>
      <c r="K29" s="263">
        <f t="shared" si="1"/>
        <v>-321.39300000000003</v>
      </c>
      <c r="L29" s="181">
        <f>IF(J29=0,"-",IF(ABS((I29-J29)/ABS(J29))*100&gt;=100,"-",IF(I29/J29&lt;0,"-",(I29-J29)/ABS(J29)*100)))</f>
        <v>-8.4494434129974945</v>
      </c>
      <c r="M29" s="171"/>
      <c r="N29"/>
      <c r="O29"/>
      <c r="P29"/>
      <c r="Q29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</row>
    <row r="30" spans="2:62" ht="17.100000000000001" customHeight="1">
      <c r="B30" s="183" t="s">
        <v>127</v>
      </c>
      <c r="C30" s="183"/>
      <c r="D30" s="262">
        <f>-SUMIFS(IVA_devoluciones_anuales_y_otras,Años_datos,Año_seleccionado_C.2.1,Mes_datos,Mes_seleccionado_C.2.1)/1000</f>
        <v>213.77500000000001</v>
      </c>
      <c r="E30" s="262">
        <f>-SUMIFS(IVA_devoluciones_anuales_y_otras,Años_datos,Año_anterior_seleccionado_C.2.1,Mes_datos,Mes_seleccionado_C.2.1)/1000</f>
        <v>218.74100000000001</v>
      </c>
      <c r="F30" s="254">
        <f t="shared" si="0"/>
        <v>-4.9660000000000082</v>
      </c>
      <c r="G30" s="51">
        <f>IF(E30=0,"-",IF(ABS((D30-E30)/ABS(E30))*100&gt;=100,"-",IF(D30/E30&lt;0,"-",(D30-E30)/ABS(E30)*100)))</f>
        <v>-2.2702648337531639</v>
      </c>
      <c r="H30" s="50"/>
      <c r="I30" s="262">
        <f>-SUMIFS(IVA_devoluciones_anuales_y_otras,Años_datos,Año_seleccionado_C.2.1,Datos_periodo,Periodo_seleccionado_C.2.1)/1000</f>
        <v>342.399</v>
      </c>
      <c r="J30" s="262">
        <f>-SUMIFS(IVA_devoluciones_anuales_y_otras,Años_datos,Año_anterior_seleccionado_C.2.1,Datos_periodo,Periodo_seleccionado_C.2.1)/1000</f>
        <v>352.84</v>
      </c>
      <c r="K30" s="254">
        <f t="shared" si="1"/>
        <v>-10.440999999999974</v>
      </c>
      <c r="L30" s="51">
        <f>IF(J30=0,"-",IF(ABS((I30-J30)/ABS(J30))*100&gt;=100,"-",IF(I30/J30&lt;0,"-",(I30-J30)/ABS(J30)*100)))</f>
        <v>-2.9591316177304088</v>
      </c>
      <c r="M30" s="171"/>
      <c r="N30"/>
      <c r="O30"/>
      <c r="P30"/>
      <c r="Q30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</row>
    <row r="31" spans="2:62" ht="17.100000000000001" customHeight="1">
      <c r="B31" s="183" t="s">
        <v>128</v>
      </c>
      <c r="C31" s="183"/>
      <c r="D31" s="262">
        <f>-SUMIFS(IVA_devoluciones_mensuales,Años_datos,Año_seleccionado_C.2.1,Mes_datos,Mes_seleccionado_C.2.1)/1000</f>
        <v>1256.211</v>
      </c>
      <c r="E31" s="262">
        <f>-SUMIFS(IVA_devoluciones_mensuales,Años_datos,Año_anterior_seleccionado_C.2.1,Mes_datos,Mes_seleccionado_C.2.1)/1000</f>
        <v>1291.904</v>
      </c>
      <c r="F31" s="254">
        <f t="shared" si="0"/>
        <v>-35.692999999999984</v>
      </c>
      <c r="G31" s="51">
        <f>IF(E31=0,"-",IF(ABS((D31-E31)/ABS(E31))*100&gt;=100,"-",IF(D31/E31&lt;0,"-",(D31-E31)/ABS(E31)*100)))</f>
        <v>-2.762821386109183</v>
      </c>
      <c r="H31" s="50"/>
      <c r="I31" s="262">
        <f>-SUMIFS(IVA_devoluciones_mensuales,Años_datos,Año_seleccionado_C.2.1,Datos_periodo,Periodo_seleccionado_C.2.1)/1000</f>
        <v>3130.3879999999999</v>
      </c>
      <c r="J31" s="262">
        <f>-SUMIFS(IVA_devoluciones_mensuales,Años_datos,Año_anterior_seleccionado_C.2.1,Datos_periodo,Periodo_seleccionado_C.2.1)/1000</f>
        <v>3394.239</v>
      </c>
      <c r="K31" s="254">
        <f t="shared" si="1"/>
        <v>-263.85100000000011</v>
      </c>
      <c r="L31" s="51">
        <f>IF(J31=0,"-",IF(ABS((I31-J31)/ABS(J31))*100&gt;=100,"-",IF(I31/J31&lt;0,"-",(I31-J31)/ABS(J31)*100)))</f>
        <v>-7.7734950308449138</v>
      </c>
      <c r="M31" s="171"/>
      <c r="N31"/>
      <c r="O31"/>
      <c r="P31"/>
      <c r="Q3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</row>
    <row r="32" spans="2:62" ht="17.100000000000001" customHeight="1">
      <c r="B32" s="183" t="s">
        <v>129</v>
      </c>
      <c r="C32" s="183"/>
      <c r="D32" s="262">
        <f>-SUMIFS(IVA_devoluciones_AjustesPV,Años_datos,Año_seleccionado_C.2.1,Mes_datos,Mes_seleccionado_C.2.1)/1000</f>
        <v>0</v>
      </c>
      <c r="E32" s="262">
        <f>-SUMIFS(IVA_devoluciones_AjustesPV,Años_datos,Año_anterior_seleccionado_C.2.1,Mes_datos,Mes_seleccionado_C.2.1)/1000</f>
        <v>0</v>
      </c>
      <c r="F32" s="254">
        <f t="shared" si="0"/>
        <v>0</v>
      </c>
      <c r="G32" s="51" t="str">
        <f>IF(E32=0,"-",IF(ABS((D32-E32)/ABS(E32))*100&gt;=100,"-",IF(D32/E32&lt;0,"-",(D32-E32)/ABS(E32)*100)))</f>
        <v>-</v>
      </c>
      <c r="H32" s="50"/>
      <c r="I32" s="262">
        <f>-SUMIFS(IVA_devoluciones_AjustesPV,Años_datos,Año_seleccionado_C.2.1,Datos_periodo,Periodo_seleccionado_C.2.1)/1000</f>
        <v>0</v>
      </c>
      <c r="J32" s="262">
        <f>-SUMIFS(IVA_devoluciones_AjustesPV,Años_datos,Año_anterior_seleccionado_C.2.1,Datos_periodo,Periodo_seleccionado_C.2.1)/1000</f>
        <v>0</v>
      </c>
      <c r="K32" s="254">
        <f t="shared" si="1"/>
        <v>0</v>
      </c>
      <c r="L32" s="51" t="str">
        <f>IF(J32=0,"-",IF(ABS((I32-J32)/ABS(J32))*100&gt;=100,"-",IF(I32/J32&lt;0,"-",(I32-J32)/ABS(J32)*100)))</f>
        <v>-</v>
      </c>
      <c r="M32" s="171"/>
      <c r="N32"/>
      <c r="O32"/>
      <c r="P32"/>
      <c r="Q32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</row>
    <row r="33" spans="2:62" ht="17.100000000000001" customHeight="1">
      <c r="B33" s="183" t="s">
        <v>130</v>
      </c>
      <c r="C33" s="183"/>
      <c r="D33" s="262">
        <f>-SUMIFS(IVA_devoluciones_ajustesNavarra,Años_datos,Año_seleccionado_C.2.1,Mes_datos,Mes_seleccionado_C.2.1)/1000</f>
        <v>9.5380000000000003</v>
      </c>
      <c r="E33" s="262">
        <f>-SUMIFS(IVA_devoluciones_ajustesNavarra,Años_datos,Año_anterior_seleccionado_C.2.1,Mes_datos,Mes_seleccionado_C.2.1)/1000</f>
        <v>56.639000000000003</v>
      </c>
      <c r="F33" s="254">
        <f t="shared" si="0"/>
        <v>-47.100999999999999</v>
      </c>
      <c r="G33" s="51">
        <f>IF(E33=0,"-",IF(ABS((D33-E33)/ABS(E33))*100&gt;=100,"-",IF(D33/E33&lt;0,"-",(D33-E33)/ABS(E33)*100)))</f>
        <v>-83.160013418315998</v>
      </c>
      <c r="H33" s="50"/>
      <c r="I33" s="262">
        <f>-SUMIFS(IVA_devoluciones_ajustesNavarra,Años_datos,Año_seleccionado_C.2.1,Datos_periodo,Periodo_seleccionado_C.2.1)/1000</f>
        <v>9.5380000000000003</v>
      </c>
      <c r="J33" s="262">
        <f>-SUMIFS(IVA_devoluciones_ajustesNavarra,Años_datos,Año_anterior_seleccionado_C.2.1,Datos_periodo,Periodo_seleccionado_C.2.1)/1000</f>
        <v>56.639000000000003</v>
      </c>
      <c r="K33" s="254">
        <f t="shared" si="1"/>
        <v>-47.100999999999999</v>
      </c>
      <c r="L33" s="51">
        <f>IF(J33=0,"-",IF(ABS((I33-J33)/ABS(J33))*100&gt;=100,"-",IF(I33/J33&lt;0,"-",(I33-J33)/ABS(J33)*100)))</f>
        <v>-83.160013418315998</v>
      </c>
      <c r="M33" s="171"/>
      <c r="N33"/>
      <c r="O33"/>
      <c r="P33"/>
      <c r="Q33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</row>
    <row r="34" spans="2:62" ht="5.0999999999999996" customHeight="1">
      <c r="B34" s="183"/>
      <c r="C34" s="183"/>
      <c r="D34" s="184"/>
      <c r="E34" s="184"/>
      <c r="F34" s="50"/>
      <c r="G34" s="51"/>
      <c r="H34" s="50"/>
      <c r="I34" s="184"/>
      <c r="J34" s="184"/>
      <c r="K34" s="50"/>
      <c r="L34" s="51"/>
      <c r="M34" s="171"/>
      <c r="N34"/>
      <c r="O34"/>
      <c r="P34"/>
      <c r="Q34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</row>
    <row r="35" spans="2:62" s="185" customFormat="1" ht="17.100000000000001" customHeight="1">
      <c r="B35" s="180" t="s">
        <v>61</v>
      </c>
      <c r="C35" s="56"/>
      <c r="D35" s="248">
        <f>-SUMIFS(IIEE_devoluciones_total,Años_datos,Año_seleccionado_C.2.1,Mes_datos,Mes_seleccionado_C.2.1)/1000</f>
        <v>45.472999999999999</v>
      </c>
      <c r="E35" s="248">
        <f>-SUMIFS(IIEE_devoluciones_total,Años_datos,Año_anterior_seleccionado_C.2.1,Mes_datos,Mes_seleccionado_C.2.1)/1000</f>
        <v>35.048999999999999</v>
      </c>
      <c r="F35" s="263">
        <f t="shared" si="0"/>
        <v>10.423999999999999</v>
      </c>
      <c r="G35" s="181">
        <f>IF(E35=0,"-",IF(ABS((D35-E35)/ABS(E35))*100&gt;=100,"-",IF(D35/E35&lt;0,"-",(D35-E35)/ABS(E35)*100)))</f>
        <v>29.741219435647238</v>
      </c>
      <c r="H35" s="182"/>
      <c r="I35" s="248">
        <f>-SUMIFS(IIEE_devoluciones_total,Años_datos,Año_seleccionado_C.2.1,Datos_periodo,Periodo_seleccionado_C.2.1)/1000</f>
        <v>87.042000000000002</v>
      </c>
      <c r="J35" s="248">
        <f>-SUMIFS(IIEE_devoluciones_total,Años_datos,Año_anterior_seleccionado_C.2.1,Datos_periodo,Periodo_seleccionado_C.2.1)/1000</f>
        <v>61.720999999999997</v>
      </c>
      <c r="K35" s="263">
        <f t="shared" si="1"/>
        <v>25.321000000000005</v>
      </c>
      <c r="L35" s="181">
        <f>IF(J35=0,"-",IF(ABS((I35-J35)/ABS(J35))*100&gt;=100,"-",IF(I35/J35&lt;0,"-",(I35-J35)/ABS(J35)*100)))</f>
        <v>41.024934787187519</v>
      </c>
      <c r="M35" s="171"/>
      <c r="N35"/>
      <c r="O35"/>
      <c r="P35"/>
      <c r="Q35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</row>
    <row r="36" spans="2:62" s="185" customFormat="1" ht="5.0999999999999996" customHeight="1">
      <c r="B36" s="44"/>
      <c r="C36" s="44"/>
      <c r="D36" s="186"/>
      <c r="E36" s="186"/>
      <c r="F36" s="30"/>
      <c r="G36" s="52"/>
      <c r="H36" s="30"/>
      <c r="I36" s="186"/>
      <c r="J36" s="186"/>
      <c r="K36" s="30"/>
      <c r="L36" s="52"/>
      <c r="M36" s="171"/>
      <c r="N36"/>
      <c r="O36"/>
      <c r="P36"/>
      <c r="Q36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</row>
    <row r="37" spans="2:62" s="185" customFormat="1" ht="15" customHeight="1">
      <c r="B37" s="56" t="s">
        <v>57</v>
      </c>
      <c r="C37" s="56"/>
      <c r="D37" s="264">
        <f>-SUMIFS(Resto_ingresos_devoluciones_total,Años_datos,Año_seleccionado_C.2.1,Mes_datos,Mes_seleccionado_C.2.1)/1000</f>
        <v>117.592</v>
      </c>
      <c r="E37" s="264">
        <f>-SUMIFS(Resto_ingresos_devoluciones_total,Años_datos,Año_anterior_seleccionado_C.2.1,Mes_datos,Mes_seleccionado_C.2.1)/1000</f>
        <v>58.384999999999998</v>
      </c>
      <c r="F37" s="255">
        <f t="shared" si="0"/>
        <v>59.207000000000001</v>
      </c>
      <c r="G37" s="52" t="str">
        <f>IF(E37=0,"-",IF(ABS((D37-E37)/ABS(E37))*100&gt;=100,"-",IF(D37/E37&lt;0,"-",(D37-E37)/ABS(E37)*100)))</f>
        <v>-</v>
      </c>
      <c r="H37" s="30"/>
      <c r="I37" s="264">
        <f>-SUMIFS(Resto_ingresos_devoluciones_total,Años_datos,Año_seleccionado_C.2.1,Datos_periodo,Periodo_seleccionado_C.2.1)/1000</f>
        <v>139.55799999999999</v>
      </c>
      <c r="J37" s="264">
        <f>-SUMIFS(Resto_ingresos_devoluciones_total,Años_datos,Año_anterior_seleccionado_C.2.1,Datos_periodo,Periodo_seleccionado_C.2.1)/1000</f>
        <v>123.962</v>
      </c>
      <c r="K37" s="255">
        <f t="shared" si="1"/>
        <v>15.595999999999989</v>
      </c>
      <c r="L37" s="52">
        <f>IF(J37=0,"-",IF(ABS((I37-J37)/ABS(J37))*100&gt;=100,"-",IF(I37/J37&lt;0,"-",(I37-J37)/ABS(J37)*100)))</f>
        <v>12.581274906826275</v>
      </c>
      <c r="M37" s="171"/>
      <c r="N37"/>
      <c r="O37"/>
      <c r="P37"/>
      <c r="Q37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</row>
    <row r="38" spans="2:62" s="185" customFormat="1" ht="5.0999999999999996" customHeight="1">
      <c r="B38" s="56"/>
      <c r="C38" s="56"/>
      <c r="D38" s="186"/>
      <c r="E38" s="186"/>
      <c r="F38" s="30"/>
      <c r="G38" s="52"/>
      <c r="H38" s="30"/>
      <c r="I38" s="186"/>
      <c r="J38" s="186"/>
      <c r="K38" s="30"/>
      <c r="L38" s="52"/>
      <c r="M38" s="171"/>
      <c r="N38"/>
      <c r="O38"/>
      <c r="P38"/>
      <c r="Q38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</row>
    <row r="39" spans="2:62" ht="20.100000000000001" customHeight="1">
      <c r="B39" s="187" t="s">
        <v>131</v>
      </c>
      <c r="C39" s="188"/>
      <c r="D39" s="256">
        <f>-SUMIFS(Ingresos_totales_devoluciones,Años_datos,Año_seleccionado_C.2.1,Mes_datos,Mes_seleccionado_C.2.1)/1000</f>
        <v>2661.5360000000001</v>
      </c>
      <c r="E39" s="256">
        <f>-SUMIFS(Ingresos_totales_devoluciones,Años_datos,Año_anterior_seleccionado_C.2.1,Mes_datos,Mes_seleccionado_C.2.1)/1000</f>
        <v>2411.6979999999999</v>
      </c>
      <c r="F39" s="265">
        <f t="shared" si="0"/>
        <v>249.83800000000019</v>
      </c>
      <c r="G39" s="189">
        <f>IF(E39=0,"-",IF(ABS((D39-E39)/ABS(E39))*100&gt;=100,"-",IF(D39/E39&lt;0,"-",(D39-E39)/ABS(E39)*100)))</f>
        <v>10.359423111849004</v>
      </c>
      <c r="H39" s="182"/>
      <c r="I39" s="256">
        <f>-SUMIFS(Ingresos_totales_devoluciones,Años_datos,Año_seleccionado_C.2.1,Datos_periodo,Periodo_seleccionado_C.2.1)/1000</f>
        <v>12098.593000000001</v>
      </c>
      <c r="J39" s="256">
        <f>-SUMIFS(Ingresos_totales_devoluciones,Años_datos,Año_anterior_seleccionado_C.2.1,Datos_periodo,Periodo_seleccionado_C.2.1)/1000</f>
        <v>11972.707</v>
      </c>
      <c r="K39" s="265">
        <f t="shared" si="1"/>
        <v>125.88600000000042</v>
      </c>
      <c r="L39" s="189">
        <f>IF(J39=0,"-",IF(ABS((I39-J39)/ABS(J39))*100&gt;=100,"-",IF(I39/J39&lt;0,"-",(I39-J39)/ABS(J39)*100)))</f>
        <v>1.0514414158803052</v>
      </c>
      <c r="M39" s="171"/>
      <c r="N39"/>
      <c r="O39"/>
      <c r="P39"/>
      <c r="Q39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</row>
    <row r="40" spans="2:62" ht="18" customHeight="1">
      <c r="B40" s="190"/>
      <c r="C40" s="190"/>
      <c r="D40" s="191"/>
      <c r="E40" s="191"/>
      <c r="F40" s="192"/>
      <c r="G40" s="27"/>
      <c r="H40" s="192"/>
      <c r="I40" s="191"/>
      <c r="J40" s="191"/>
      <c r="K40" s="192"/>
      <c r="L40" s="27"/>
      <c r="M40" s="171"/>
      <c r="N40"/>
      <c r="O40"/>
      <c r="P40"/>
      <c r="Q40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</row>
    <row r="41" spans="2:62" ht="18" customHeight="1">
      <c r="B41" s="190"/>
      <c r="C41" s="190"/>
      <c r="D41" s="191"/>
      <c r="E41" s="191"/>
      <c r="F41" s="192"/>
      <c r="G41" s="27"/>
      <c r="H41" s="192"/>
      <c r="I41" s="191"/>
      <c r="J41" s="191"/>
      <c r="K41" s="192"/>
      <c r="L41" s="27"/>
      <c r="M41" s="171"/>
      <c r="N41"/>
      <c r="O41"/>
      <c r="P41"/>
      <c r="Q4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</row>
    <row r="42" spans="2:62" ht="18" customHeight="1">
      <c r="B42" s="190"/>
      <c r="C42" s="190"/>
      <c r="D42" s="191"/>
      <c r="E42" s="191"/>
      <c r="F42" s="192"/>
      <c r="G42" s="27"/>
      <c r="H42" s="192"/>
      <c r="I42" s="191"/>
      <c r="J42" s="191"/>
      <c r="K42" s="192"/>
      <c r="L42" s="27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</row>
    <row r="43" spans="2:62" ht="17.100000000000001" customHeight="1">
      <c r="B43" s="180" t="s">
        <v>53</v>
      </c>
      <c r="C43" s="56"/>
      <c r="D43" s="248">
        <f>D44+D45</f>
        <v>4892.8789999999999</v>
      </c>
      <c r="E43" s="248">
        <f>E44+E45</f>
        <v>4745.5639999999994</v>
      </c>
      <c r="F43" s="263">
        <f t="shared" si="0"/>
        <v>147.31500000000051</v>
      </c>
      <c r="G43" s="181">
        <f>IF(E43=0,"-",IF(ABS((D43-E43)/ABS(E43))*100&gt;=100,"-",IF(D43/E43&lt;0,"-",(D43-E43)/ABS(E43)*100)))</f>
        <v>3.1042674801140713</v>
      </c>
      <c r="H43" s="182"/>
      <c r="I43" s="248">
        <f>I44+I45</f>
        <v>9932.3450000000012</v>
      </c>
      <c r="J43" s="248">
        <f>J44+J45</f>
        <v>9491.3369999999995</v>
      </c>
      <c r="K43" s="263">
        <f t="shared" si="1"/>
        <v>441.00800000000163</v>
      </c>
      <c r="L43" s="181">
        <f>IF(J43=0,"-",IF(ABS((I43-J43)/ABS(J43))*100&gt;=100,"-",IF(I43/J43&lt;0,"-",(I43-J43)/ABS(J43)*100)))</f>
        <v>4.6464265255780264</v>
      </c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</row>
    <row r="44" spans="2:62" ht="17.100000000000001" customHeight="1">
      <c r="B44" s="183" t="s">
        <v>132</v>
      </c>
      <c r="C44" s="183"/>
      <c r="D44" s="254">
        <f>-SUMIFS(IRPF_Asig_Iglesia,Años_datos,Año_seleccionado_C.2.1,Mes_datos,Mes_seleccionado_C.2.1)/1000</f>
        <v>18.725999999999999</v>
      </c>
      <c r="E44" s="254">
        <f>-SUMIFS(IRPF_Asig_Iglesia,Años_datos,Año_anterior_seleccionado_C.2.1,Mes_datos,Mes_seleccionado_C.2.1)/1000</f>
        <v>17.364000000000001</v>
      </c>
      <c r="F44" s="254">
        <f t="shared" si="0"/>
        <v>1.3619999999999983</v>
      </c>
      <c r="G44" s="51">
        <f>IF(E44=0,"-",IF(ABS((D44-E44)/ABS(E44))*100&gt;=100,"-",IF(D44/E44&lt;0,"-",(D44-E44)/ABS(E44)*100)))</f>
        <v>7.8438147892190644</v>
      </c>
      <c r="H44" s="50"/>
      <c r="I44" s="254">
        <f>-SUMIFS(IRPF_Asig_Iglesia,Años_datos,Año_seleccionado_C.2.1,Datos_periodo,Periodo_seleccionado_C.2.1)/1000</f>
        <v>184.03800000000001</v>
      </c>
      <c r="J44" s="254">
        <f>-SUMIFS(IRPF_Asig_Iglesia,Años_datos,Año_anterior_seleccionado_C.2.1,Datos_periodo,Periodo_seleccionado_C.2.1)/1000</f>
        <v>34.935000000000002</v>
      </c>
      <c r="K44" s="254">
        <f t="shared" si="1"/>
        <v>149.10300000000001</v>
      </c>
      <c r="L44" s="51" t="str">
        <f>IF(J44=0,"-",IF(ABS((I44-J44)/ABS(J44))*100&gt;=100,"-",IF(I44/J44&lt;0,"-",(I44-J44)/ABS(J44)*100)))</f>
        <v>-</v>
      </c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</row>
    <row r="45" spans="2:62" ht="17.100000000000001" customHeight="1">
      <c r="B45" s="183" t="s">
        <v>133</v>
      </c>
      <c r="C45" s="183"/>
      <c r="D45" s="262">
        <f>SUMIFS(IRPF_AATT,Años_datos,Año_seleccionado_C.2.1,Mes_datos,Mes_seleccionado_C.2.1)/1000</f>
        <v>4874.1530000000002</v>
      </c>
      <c r="E45" s="262">
        <f>SUMIFS(IRPF_AATT,Años_datos,Año_anterior_seleccionado_C.2.1,Mes_datos,Mes_seleccionado_C.2.1)/1000</f>
        <v>4728.2</v>
      </c>
      <c r="F45" s="254">
        <f t="shared" si="0"/>
        <v>145.95300000000043</v>
      </c>
      <c r="G45" s="51">
        <f>IF(E45=0,"-",IF(ABS((D45-E45)/ABS(E45))*100&gt;=100,"-",IF(D45/E45&lt;0,"-",(D45-E45)/ABS(E45)*100)))</f>
        <v>3.0868618078761569</v>
      </c>
      <c r="H45" s="50"/>
      <c r="I45" s="262">
        <f>SUMIFS(IRPF_AATT,Años_datos,Año_seleccionado_C.2.1,Datos_periodo,Periodo_seleccionado_C.2.1)/1000</f>
        <v>9748.3070000000007</v>
      </c>
      <c r="J45" s="262">
        <f>SUMIFS(IRPF_AATT,Años_datos,Año_anterior_seleccionado_C.2.1,Datos_periodo,Periodo_seleccionado_C.2.1)/1000</f>
        <v>9456.402</v>
      </c>
      <c r="K45" s="254">
        <f t="shared" si="1"/>
        <v>291.90500000000065</v>
      </c>
      <c r="L45" s="51">
        <f>IF(J45=0,"-",IF(ABS((I45-J45)/ABS(J45))*100&gt;=100,"-",IF(I45/J45&lt;0,"-",(I45-J45)/ABS(J45)*100)))</f>
        <v>3.0868505801678126</v>
      </c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</row>
    <row r="46" spans="2:62" ht="5.0999999999999996" customHeight="1">
      <c r="B46" s="183"/>
      <c r="C46" s="183"/>
      <c r="D46" s="184"/>
      <c r="E46" s="184"/>
      <c r="F46" s="50"/>
      <c r="G46" s="51"/>
      <c r="H46" s="50"/>
      <c r="I46" s="184"/>
      <c r="J46" s="184"/>
      <c r="K46" s="50"/>
      <c r="L46" s="5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</row>
    <row r="47" spans="2:62" ht="17.100000000000001" customHeight="1">
      <c r="B47" s="180" t="s">
        <v>134</v>
      </c>
      <c r="C47" s="56"/>
      <c r="D47" s="248">
        <f>SUMIFS(IVA_AATT,Años_datos,Año_seleccionado_C.2.1,Mes_datos,Mes_seleccionado_C.2.1)/1000</f>
        <v>3591.33</v>
      </c>
      <c r="E47" s="248">
        <f>SUMIFS(IVA_AATT,Años_datos,Año_anterior_seleccionado_C.2.1,Mes_datos,Mes_seleccionado_C.2.1)/1000</f>
        <v>3590.87</v>
      </c>
      <c r="F47" s="263">
        <f t="shared" si="0"/>
        <v>0.46000000000003638</v>
      </c>
      <c r="G47" s="181">
        <f>IF(E47=0,"-",IF(ABS((D47-E47)/ABS(E47))*100&gt;=100,"-",IF(D47/E47&lt;0,"-",(D47-E47)/ABS(E47)*100)))</f>
        <v>1.2810266035808492E-2</v>
      </c>
      <c r="H47" s="182"/>
      <c r="I47" s="248">
        <f>SUMIFS(IVA_AATT,Años_datos,Año_seleccionado_C.2.1,Datos_periodo,Periodo_seleccionado_C.2.1)/1000</f>
        <v>7182.66</v>
      </c>
      <c r="J47" s="248">
        <f>SUMIFS(IVA_AATT,Años_datos,Año_anterior_seleccionado_C.2.1,Datos_periodo,Periodo_seleccionado_C.2.1)/1000</f>
        <v>7181.7389999999996</v>
      </c>
      <c r="K47" s="263">
        <f t="shared" si="1"/>
        <v>0.92100000000027649</v>
      </c>
      <c r="L47" s="181">
        <f>IF(J47=0,"-",IF(ABS((I47-J47)/ABS(J47))*100&gt;=100,"-",IF(I47/J47&lt;0,"-",(I47-J47)/ABS(J47)*100)))</f>
        <v>1.2824192023690593E-2</v>
      </c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</row>
    <row r="48" spans="2:62" ht="5.0999999999999996" customHeight="1">
      <c r="B48" s="56"/>
      <c r="C48" s="56"/>
      <c r="D48" s="186"/>
      <c r="E48" s="186"/>
      <c r="F48" s="30"/>
      <c r="G48" s="52"/>
      <c r="H48" s="30"/>
      <c r="I48" s="186"/>
      <c r="J48" s="186"/>
      <c r="K48" s="30"/>
      <c r="L48" s="52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</row>
    <row r="49" spans="2:62" ht="17.100000000000001" customHeight="1">
      <c r="B49" s="180" t="s">
        <v>135</v>
      </c>
      <c r="C49" s="56"/>
      <c r="D49" s="248">
        <f>SUMIFS(IIEE_AATT_total,Años_datos,Año_seleccionado_C.2.1,Mes_datos,Mes_seleccionado_C.2.1)/1000</f>
        <v>1189.1469999999999</v>
      </c>
      <c r="E49" s="248">
        <f>SUMIFS(IIEE_AATT_total,Años_datos,Año_anterior_seleccionado_C.2.1,Mes_datos,Mes_seleccionado_C.2.1)/1000</f>
        <v>1188.999</v>
      </c>
      <c r="F49" s="263">
        <f t="shared" si="0"/>
        <v>0.14799999999991087</v>
      </c>
      <c r="G49" s="181">
        <f>IF(E49=0,"-",IF(ABS((D49-E49)/ABS(E49))*100&gt;=100,"-",IF(D49/E49&lt;0,"-",(D49-E49)/ABS(E49)*100)))</f>
        <v>1.244744528800368E-2</v>
      </c>
      <c r="H49" s="182"/>
      <c r="I49" s="248">
        <f>SUMIFS(IIEE_AATT_total,Años_datos,Año_seleccionado_C.2.1,Datos_periodo,Periodo_seleccionado_C.2.1)/1000</f>
        <v>2378.2939999999999</v>
      </c>
      <c r="J49" s="248">
        <f>SUMIFS(IIEE_AATT_total,Años_datos,Año_anterior_seleccionado_C.2.1,Datos_periodo,Periodo_seleccionado_C.2.1)/1000</f>
        <v>2378.0010000000002</v>
      </c>
      <c r="K49" s="263">
        <f t="shared" si="1"/>
        <v>0.29299999999966531</v>
      </c>
      <c r="L49" s="181">
        <f>IF(J49=0,"-",IF(ABS((I49-J49)/ABS(J49))*100&gt;=100,"-",IF(I49/J49&lt;0,"-",(I49-J49)/ABS(J49)*100)))</f>
        <v>1.2321273203823939E-2</v>
      </c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</row>
    <row r="50" spans="2:62" ht="5.0999999999999996" customHeight="1">
      <c r="B50" s="56"/>
      <c r="C50" s="56"/>
      <c r="D50" s="186"/>
      <c r="E50" s="186"/>
      <c r="F50" s="30"/>
      <c r="G50" s="52"/>
      <c r="H50" s="30"/>
      <c r="I50" s="186"/>
      <c r="J50" s="186"/>
      <c r="K50" s="30"/>
      <c r="L50" s="52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</row>
    <row r="51" spans="2:62" ht="20.100000000000001" customHeight="1">
      <c r="B51" s="187" t="s">
        <v>136</v>
      </c>
      <c r="C51" s="188"/>
      <c r="D51" s="256">
        <f>D43+D47+D49</f>
        <v>9673.3559999999998</v>
      </c>
      <c r="E51" s="256">
        <f>E43+E47+E49</f>
        <v>9525.4329999999991</v>
      </c>
      <c r="F51" s="265">
        <f t="shared" si="0"/>
        <v>147.92300000000068</v>
      </c>
      <c r="G51" s="189">
        <f>IF(E51=0,"-",IF(ABS((D51-E51)/ABS(E51))*100&gt;=100,"-",IF(D51/E51&lt;0,"-",(D51-E51)/ABS(E51)*100)))</f>
        <v>1.5529267803363973</v>
      </c>
      <c r="H51" s="182"/>
      <c r="I51" s="256">
        <f>I43+I47+I49</f>
        <v>19493.298999999999</v>
      </c>
      <c r="J51" s="256">
        <f>J43+J47+J49</f>
        <v>19051.077000000001</v>
      </c>
      <c r="K51" s="265">
        <f t="shared" si="1"/>
        <v>442.22199999999793</v>
      </c>
      <c r="L51" s="189">
        <f>IF(J51=0,"-",IF(ABS((I51-J51)/ABS(J51))*100&gt;=100,"-",IF(I51/J51&lt;0,"-",(I51-J51)/ABS(J51)*100)))</f>
        <v>2.3212440955437739</v>
      </c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</row>
    <row r="52" spans="2:62" ht="18" customHeight="1">
      <c r="B52" s="193"/>
      <c r="C52" s="193"/>
      <c r="D52" s="191"/>
      <c r="E52" s="191"/>
      <c r="F52" s="192"/>
      <c r="G52" s="27"/>
      <c r="H52" s="192"/>
      <c r="I52" s="191"/>
      <c r="J52" s="191"/>
      <c r="K52" s="192"/>
      <c r="L52" s="27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</row>
    <row r="53" spans="2:62" ht="18" customHeight="1">
      <c r="B53" s="193"/>
      <c r="C53" s="193"/>
      <c r="D53" s="191"/>
      <c r="E53" s="191"/>
      <c r="F53" s="192"/>
      <c r="G53" s="27"/>
      <c r="H53" s="192"/>
      <c r="I53" s="191"/>
      <c r="J53" s="191"/>
      <c r="K53" s="192"/>
      <c r="L53" s="27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</row>
    <row r="54" spans="2:62" ht="18" customHeight="1">
      <c r="B54" s="193"/>
      <c r="C54" s="193"/>
      <c r="D54" s="191"/>
      <c r="E54" s="191"/>
      <c r="F54" s="192"/>
      <c r="G54" s="27"/>
      <c r="H54" s="192"/>
      <c r="I54" s="191"/>
      <c r="J54" s="191"/>
      <c r="K54" s="192"/>
      <c r="L54" s="27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</row>
    <row r="55" spans="2:62" ht="17.100000000000001" customHeight="1">
      <c r="B55" s="180" t="s">
        <v>53</v>
      </c>
      <c r="C55" s="56"/>
      <c r="D55" s="248">
        <f>D14+D43</f>
        <v>5142.2309999999998</v>
      </c>
      <c r="E55" s="248">
        <f>E14+E43</f>
        <v>4950.9759999999997</v>
      </c>
      <c r="F55" s="263">
        <f t="shared" si="0"/>
        <v>191.25500000000011</v>
      </c>
      <c r="G55" s="181">
        <f>IF(E55=0,"-",IF(ABS((D55-E55)/ABS(E55))*100&gt;=100,"-",IF(D55/E55&lt;0,"-",(D55-E55)/ABS(E55)*100)))</f>
        <v>3.8629757041843895</v>
      </c>
      <c r="H55" s="182"/>
      <c r="I55" s="248">
        <f>I14+I43</f>
        <v>10543.182000000001</v>
      </c>
      <c r="J55" s="248">
        <f>J14+J43</f>
        <v>10081.715</v>
      </c>
      <c r="K55" s="263">
        <f t="shared" si="1"/>
        <v>461.46700000000055</v>
      </c>
      <c r="L55" s="181">
        <f>IF(J55=0,"-",IF(ABS((I55-J55)/ABS(J55))*100&gt;=100,"-",IF(I55/J55&lt;0,"-",(I55-J55)/ABS(J55)*100)))</f>
        <v>4.577266863822282</v>
      </c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</row>
    <row r="56" spans="2:62" ht="5.0999999999999996" customHeight="1">
      <c r="B56" s="56"/>
      <c r="C56" s="56"/>
      <c r="D56" s="186"/>
      <c r="E56" s="186"/>
      <c r="F56" s="30"/>
      <c r="G56" s="52"/>
      <c r="H56" s="30"/>
      <c r="I56" s="186"/>
      <c r="J56" s="186"/>
      <c r="K56" s="30"/>
      <c r="L56" s="52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</row>
    <row r="57" spans="2:62" ht="17.100000000000001" customHeight="1">
      <c r="B57" s="180" t="s">
        <v>54</v>
      </c>
      <c r="C57" s="56"/>
      <c r="D57" s="248">
        <f>D20</f>
        <v>738.43100000000004</v>
      </c>
      <c r="E57" s="248">
        <f>E20</f>
        <v>507.26299999999998</v>
      </c>
      <c r="F57" s="263">
        <f t="shared" si="0"/>
        <v>231.16800000000006</v>
      </c>
      <c r="G57" s="181">
        <f>IF(E57=0,"-",IF(ABS((D57-E57)/ABS(E57))*100&gt;=100,"-",IF(D57/E57&lt;0,"-",(D57-E57)/ABS(E57)*100)))</f>
        <v>45.571626552695562</v>
      </c>
      <c r="H57" s="182"/>
      <c r="I57" s="248">
        <f>I20</f>
        <v>7712.3029999999999</v>
      </c>
      <c r="J57" s="248">
        <f>J20</f>
        <v>7297.6049999999996</v>
      </c>
      <c r="K57" s="263">
        <f t="shared" si="1"/>
        <v>414.69800000000032</v>
      </c>
      <c r="L57" s="181">
        <f>IF(J57=0,"-",IF(ABS((I57-J57)/ABS(J57))*100&gt;=100,"-",IF(I57/J57&lt;0,"-",(I57-J57)/ABS(J57)*100)))</f>
        <v>5.6826588997349177</v>
      </c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</row>
    <row r="58" spans="2:62" ht="5.0999999999999996" customHeight="1">
      <c r="B58" s="56"/>
      <c r="C58" s="56"/>
      <c r="D58" s="186"/>
      <c r="E58" s="186"/>
      <c r="F58" s="30"/>
      <c r="G58" s="52"/>
      <c r="H58" s="30"/>
      <c r="I58" s="186"/>
      <c r="J58" s="186"/>
      <c r="K58" s="30"/>
      <c r="L58" s="52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</row>
    <row r="59" spans="2:62" ht="17.100000000000001" customHeight="1">
      <c r="B59" s="180" t="s">
        <v>124</v>
      </c>
      <c r="C59" s="56"/>
      <c r="D59" s="248">
        <f>D25</f>
        <v>31.164000000000001</v>
      </c>
      <c r="E59" s="248">
        <f>E25</f>
        <v>38.305</v>
      </c>
      <c r="F59" s="263">
        <f t="shared" si="0"/>
        <v>-7.1409999999999982</v>
      </c>
      <c r="G59" s="181">
        <f>IF(E59=0,"-",IF(ABS((D59-E59)/ABS(E59))*100&gt;=100,"-",IF(D59/E59&lt;0,"-",(D59-E59)/ABS(E59)*100)))</f>
        <v>-18.642474872732016</v>
      </c>
      <c r="H59" s="182"/>
      <c r="I59" s="248">
        <f>I25</f>
        <v>66.528000000000006</v>
      </c>
      <c r="J59" s="248">
        <f>J25</f>
        <v>95.322999999999993</v>
      </c>
      <c r="K59" s="263">
        <f t="shared" si="1"/>
        <v>-28.794999999999987</v>
      </c>
      <c r="L59" s="181">
        <f>IF(J59=0,"-",IF(ABS((I59-J59)/ABS(J59))*100&gt;=100,"-",IF(I59/J59&lt;0,"-",(I59-J59)/ABS(J59)*100)))</f>
        <v>-30.207819728711844</v>
      </c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</row>
    <row r="60" spans="2:62" ht="5.0999999999999996" customHeight="1">
      <c r="B60" s="56"/>
      <c r="C60" s="56"/>
      <c r="D60" s="186"/>
      <c r="E60" s="186"/>
      <c r="F60" s="30"/>
      <c r="G60" s="52"/>
      <c r="H60" s="30"/>
      <c r="I60" s="186"/>
      <c r="J60" s="186"/>
      <c r="K60" s="30"/>
      <c r="L60" s="52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</row>
    <row r="61" spans="2:62" ht="17.100000000000001" customHeight="1">
      <c r="B61" s="180" t="s">
        <v>85</v>
      </c>
      <c r="C61" s="56"/>
      <c r="D61" s="248">
        <f>D29+D47</f>
        <v>5070.8539999999994</v>
      </c>
      <c r="E61" s="248">
        <f>E29+E47</f>
        <v>5158.1540000000005</v>
      </c>
      <c r="F61" s="263">
        <f t="shared" si="0"/>
        <v>-87.300000000001091</v>
      </c>
      <c r="G61" s="181">
        <f>IF(E61=0,"-",IF(ABS((D61-E61)/ABS(E61))*100&gt;=100,"-",IF(D61/E61&lt;0,"-",(D61-E61)/ABS(E61)*100)))</f>
        <v>-1.6924659480892019</v>
      </c>
      <c r="H61" s="182"/>
      <c r="I61" s="248">
        <f>I29+I47</f>
        <v>10664.985000000001</v>
      </c>
      <c r="J61" s="248">
        <f>J29+J47</f>
        <v>10985.456999999999</v>
      </c>
      <c r="K61" s="263">
        <f t="shared" si="1"/>
        <v>-320.47199999999793</v>
      </c>
      <c r="L61" s="181">
        <f>IF(J61=0,"-",IF(ABS((I61-J61)/ABS(J61))*100&gt;=100,"-",IF(I61/J61&lt;0,"-",(I61-J61)/ABS(J61)*100)))</f>
        <v>-2.9172386729109037</v>
      </c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</row>
    <row r="62" spans="2:62" ht="5.0999999999999996" customHeight="1">
      <c r="B62" s="56"/>
      <c r="C62" s="56"/>
      <c r="D62" s="186"/>
      <c r="E62" s="186"/>
      <c r="F62" s="30"/>
      <c r="G62" s="52"/>
      <c r="H62" s="30"/>
      <c r="I62" s="186"/>
      <c r="J62" s="186"/>
      <c r="K62" s="30"/>
      <c r="L62" s="52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</row>
    <row r="63" spans="2:62" ht="17.100000000000001" customHeight="1">
      <c r="B63" s="180" t="s">
        <v>61</v>
      </c>
      <c r="C63" s="56"/>
      <c r="D63" s="248">
        <f>D35+D49</f>
        <v>1234.6199999999999</v>
      </c>
      <c r="E63" s="248">
        <f>E35+E49</f>
        <v>1224.048</v>
      </c>
      <c r="F63" s="263">
        <f t="shared" si="0"/>
        <v>10.571999999999889</v>
      </c>
      <c r="G63" s="181">
        <f>IF(E63=0,"-",IF(ABS((D63-E63)/ABS(E63))*100&gt;=100,"-",IF(D63/E63&lt;0,"-",(D63-E63)/ABS(E63)*100)))</f>
        <v>0.86369161993646404</v>
      </c>
      <c r="H63" s="182"/>
      <c r="I63" s="248">
        <f>I35+I49</f>
        <v>2465.3359999999998</v>
      </c>
      <c r="J63" s="248">
        <f>J35+J49</f>
        <v>2439.7220000000002</v>
      </c>
      <c r="K63" s="263">
        <f t="shared" si="1"/>
        <v>25.613999999999578</v>
      </c>
      <c r="L63" s="181">
        <f>IF(J63=0,"-",IF(ABS((I63-J63)/ABS(J63))*100&gt;=100,"-",IF(I63/J63&lt;0,"-",(I63-J63)/ABS(J63)*100)))</f>
        <v>1.049873715119984</v>
      </c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</row>
    <row r="64" spans="2:62" ht="5.0999999999999996" customHeight="1">
      <c r="B64" s="44"/>
      <c r="C64" s="44"/>
      <c r="D64" s="186"/>
      <c r="E64" s="186"/>
      <c r="F64" s="30"/>
      <c r="G64" s="52"/>
      <c r="H64" s="30"/>
      <c r="I64" s="186"/>
      <c r="J64" s="186"/>
      <c r="K64" s="30"/>
      <c r="L64" s="52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</row>
    <row r="65" spans="2:62" ht="15" customHeight="1">
      <c r="B65" s="56" t="s">
        <v>57</v>
      </c>
      <c r="C65" s="56"/>
      <c r="D65" s="264">
        <f>D37</f>
        <v>117.592</v>
      </c>
      <c r="E65" s="264">
        <f>E37</f>
        <v>58.384999999999998</v>
      </c>
      <c r="F65" s="255">
        <f t="shared" si="0"/>
        <v>59.207000000000001</v>
      </c>
      <c r="G65" s="52" t="str">
        <f>IF(E65=0,"-",IF(ABS((D65-E65)/ABS(E65))*100&gt;=100,"-",IF(D65/E65&lt;0,"-",(D65-E65)/ABS(E65)*100)))</f>
        <v>-</v>
      </c>
      <c r="H65" s="30"/>
      <c r="I65" s="264">
        <f>I37</f>
        <v>139.55799999999999</v>
      </c>
      <c r="J65" s="264">
        <f>J37</f>
        <v>123.962</v>
      </c>
      <c r="K65" s="255">
        <f t="shared" si="1"/>
        <v>15.595999999999989</v>
      </c>
      <c r="L65" s="52">
        <f>IF(J65=0,"-",IF(ABS((I65-J65)/ABS(J65))*100&gt;=100,"-",IF(I65/J65&lt;0,"-",(I65-J65)/ABS(J65)*100)))</f>
        <v>12.581274906826275</v>
      </c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</row>
    <row r="66" spans="2:62" ht="6" customHeight="1">
      <c r="B66" s="194"/>
      <c r="C66" s="194"/>
      <c r="D66" s="195"/>
      <c r="E66" s="195"/>
      <c r="F66" s="196"/>
      <c r="G66" s="197"/>
      <c r="H66" s="196"/>
      <c r="I66" s="195"/>
      <c r="J66" s="195"/>
      <c r="K66" s="196"/>
      <c r="L66" s="197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</row>
    <row r="67" spans="2:62" ht="17.25" customHeight="1">
      <c r="B67" s="198" t="s">
        <v>137</v>
      </c>
      <c r="C67" s="199"/>
      <c r="D67" s="345">
        <f>D55+D57+D59+D61+D63+D65</f>
        <v>12334.892</v>
      </c>
      <c r="E67" s="345">
        <f>E55+E57+E59+E61+E63+E65</f>
        <v>11937.131000000001</v>
      </c>
      <c r="F67" s="345">
        <f t="shared" si="0"/>
        <v>397.7609999999986</v>
      </c>
      <c r="G67" s="346">
        <f>IF(E67=0,"-",IF(ABS((D67-E67)/ABS(E67))*100&gt;=100,"-",IF(D67/E67&lt;0,"-",(D67-E67)/ABS(E67)*100)))</f>
        <v>3.3321323188963796</v>
      </c>
      <c r="H67" s="200"/>
      <c r="I67" s="345">
        <f>I55+I57+I59+I61+I63+I65</f>
        <v>31591.892</v>
      </c>
      <c r="J67" s="345">
        <f>J55+J57+J59+J61+J63+J65</f>
        <v>31023.784</v>
      </c>
      <c r="K67" s="345">
        <f t="shared" si="1"/>
        <v>568.10800000000017</v>
      </c>
      <c r="L67" s="346">
        <f>IF(J67=0,"-",IF(ABS((I67-J67)/ABS(J67))*100&gt;=100,"-",IF(I67/J67&lt;0,"-",(I67-J67)/ABS(J67)*100)))</f>
        <v>1.8312015065602576</v>
      </c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</row>
    <row r="68" spans="2:62" ht="17.25" customHeight="1">
      <c r="B68" s="198" t="s">
        <v>138</v>
      </c>
      <c r="C68" s="199"/>
      <c r="D68" s="345">
        <v>0</v>
      </c>
      <c r="E68" s="345">
        <v>0</v>
      </c>
      <c r="F68" s="345"/>
      <c r="G68" s="346" t="str">
        <f t="shared" ref="G68" si="2">IF(E68=0,"-",IF(ABS((D68-E68)/ABS(E68))*100&gt;100,"-",IF(D68/E68&lt;0,"-",(D68-E68)/ABS(E68)*100)))</f>
        <v>-</v>
      </c>
      <c r="H68" s="200"/>
      <c r="I68" s="345">
        <v>0</v>
      </c>
      <c r="J68" s="345">
        <v>0</v>
      </c>
      <c r="K68" s="345"/>
      <c r="L68" s="346" t="str">
        <f t="shared" ref="L68" si="3">IF(J68=0,"-",IF(ABS((I68-J68)/ABS(J68))*100&gt;100,"-",IF(I68/J68&lt;0,"-",(I68-J68)/ABS(J68)*100)))</f>
        <v>-</v>
      </c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</row>
    <row r="69" spans="2:62" ht="24" customHeight="1">
      <c r="B69" s="201" t="s">
        <v>139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</row>
    <row r="70" spans="2:62" ht="24" customHeight="1">
      <c r="B70" s="201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</row>
    <row r="71" spans="2:62" ht="18.600000000000001" customHeight="1"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</row>
    <row r="72" spans="2:62" ht="1.95" customHeight="1"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</row>
    <row r="73" spans="2:62" ht="25.95" customHeight="1">
      <c r="B73" s="155" t="str">
        <f>CONCATENATE("TAX REVENUE MONTHLY REPORT. ",$P$5," ",$P$4)</f>
        <v>TAX REVENUE MONTHLY REPORT. FEBRUARY 2024</v>
      </c>
      <c r="C73" s="205"/>
      <c r="D73" s="206"/>
      <c r="E73" s="206"/>
      <c r="F73" s="206"/>
      <c r="G73" s="206"/>
      <c r="H73" s="206"/>
      <c r="I73" s="207"/>
      <c r="J73" s="207"/>
      <c r="K73" s="207"/>
      <c r="L73" s="162" t="s">
        <v>232</v>
      </c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</row>
    <row r="74" spans="2:62" ht="8.25" hidden="1" customHeight="1"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</row>
    <row r="75" spans="2:62" ht="16.5" hidden="1" customHeight="1"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208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</row>
    <row r="76" spans="2:62" ht="16.5" hidden="1" customHeight="1"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</row>
    <row r="77" spans="2:62" ht="16.5" hidden="1" customHeight="1"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</row>
    <row r="78" spans="2:62" ht="16.5" hidden="1" customHeight="1"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</row>
    <row r="79" spans="2:62" ht="18.75" hidden="1" customHeight="1"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</row>
    <row r="80" spans="2:62" ht="8.25" hidden="1" customHeight="1"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</row>
    <row r="81" spans="2:62" ht="14.25" hidden="1" customHeight="1"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</row>
    <row r="82" spans="2:62" ht="8.25" hidden="1" customHeight="1"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</row>
    <row r="83" spans="2:62" ht="15" hidden="1" customHeight="1">
      <c r="B83" s="171"/>
      <c r="C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</row>
    <row r="84" spans="2:62" ht="15" hidden="1" customHeight="1">
      <c r="B84" s="171"/>
      <c r="C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</row>
    <row r="85" spans="2:62" ht="15" hidden="1" customHeight="1">
      <c r="B85" s="171"/>
      <c r="C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</row>
    <row r="86" spans="2:62" ht="21.75" hidden="1" customHeight="1">
      <c r="B86" s="171"/>
      <c r="C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</row>
    <row r="87" spans="2:62" ht="15" hidden="1" customHeight="1">
      <c r="B87" s="171"/>
      <c r="C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</row>
    <row r="88" spans="2:62" ht="15" hidden="1" customHeight="1">
      <c r="B88" s="171"/>
      <c r="C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</row>
    <row r="89" spans="2:62" ht="15" hidden="1" customHeight="1">
      <c r="B89" s="171"/>
      <c r="C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</row>
    <row r="90" spans="2:62" ht="15" hidden="1" customHeight="1">
      <c r="B90" s="171"/>
      <c r="C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</row>
    <row r="91" spans="2:62" ht="15" hidden="1" customHeight="1">
      <c r="B91" s="171"/>
      <c r="C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</row>
    <row r="92" spans="2:62" ht="15" hidden="1" customHeight="1">
      <c r="B92" s="171"/>
      <c r="C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</row>
    <row r="93" spans="2:62" ht="15" hidden="1" customHeight="1">
      <c r="B93" s="171"/>
      <c r="C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</row>
    <row r="94" spans="2:62" ht="19.5" hidden="1" customHeight="1">
      <c r="B94" s="171"/>
      <c r="C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</row>
    <row r="95" spans="2:62" ht="15" hidden="1" customHeight="1">
      <c r="B95" s="171"/>
      <c r="C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</row>
    <row r="96" spans="2:62" ht="15" hidden="1" customHeight="1">
      <c r="B96" s="171"/>
      <c r="C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</row>
    <row r="97" spans="2:62" ht="18" hidden="1" customHeight="1">
      <c r="B97" s="171"/>
      <c r="C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</row>
    <row r="98" spans="2:62" ht="18" hidden="1" customHeight="1">
      <c r="B98" s="171"/>
      <c r="C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</row>
    <row r="99" spans="2:62" ht="21.75" hidden="1" customHeight="1">
      <c r="B99" s="171"/>
      <c r="C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</row>
    <row r="100" spans="2:62" ht="18" hidden="1" customHeight="1">
      <c r="B100" s="171"/>
      <c r="C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</row>
    <row r="101" spans="2:62" ht="21.75" hidden="1" customHeight="1">
      <c r="B101" s="171"/>
      <c r="C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</row>
    <row r="102" spans="2:62" ht="9" hidden="1" customHeight="1">
      <c r="B102" s="171"/>
      <c r="C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</row>
    <row r="103" spans="2:62" ht="15" hidden="1">
      <c r="B103" s="171"/>
      <c r="C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</row>
    <row r="104" spans="2:62" ht="15.75" hidden="1" customHeight="1">
      <c r="B104" s="171"/>
      <c r="C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</row>
    <row r="105" spans="2:62" ht="15" hidden="1">
      <c r="B105" s="171"/>
      <c r="C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</row>
    <row r="106" spans="2:62" ht="15" hidden="1">
      <c r="B106" s="171"/>
      <c r="C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</row>
    <row r="107" spans="2:62" ht="15" hidden="1">
      <c r="B107" s="171"/>
      <c r="C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</row>
    <row r="108" spans="2:62" ht="15" hidden="1">
      <c r="B108" s="171"/>
      <c r="C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</row>
    <row r="109" spans="2:62" ht="15" hidden="1">
      <c r="B109" s="171"/>
      <c r="C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</row>
    <row r="110" spans="2:62" ht="15" hidden="1">
      <c r="B110" s="171"/>
      <c r="C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</row>
    <row r="111" spans="2:62" ht="15" hidden="1">
      <c r="B111" s="171"/>
      <c r="C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</row>
    <row r="112" spans="2:62" ht="15" hidden="1">
      <c r="B112" s="171"/>
      <c r="C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</row>
    <row r="113" spans="2:62" ht="15" hidden="1">
      <c r="B113" s="171"/>
      <c r="C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</row>
    <row r="114" spans="2:62" ht="15" hidden="1">
      <c r="B114" s="171"/>
      <c r="C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</row>
    <row r="115" spans="2:62" ht="15" hidden="1">
      <c r="B115" s="171"/>
      <c r="C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</row>
    <row r="116" spans="2:62" ht="15" hidden="1">
      <c r="B116" s="171"/>
      <c r="C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</row>
    <row r="117" spans="2:62" ht="15" hidden="1">
      <c r="B117" s="171"/>
      <c r="C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</row>
    <row r="118" spans="2:62" ht="15" hidden="1">
      <c r="B118" s="171"/>
      <c r="C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</row>
    <row r="119" spans="2:62" ht="15" hidden="1">
      <c r="B119" s="171"/>
      <c r="C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</row>
    <row r="120" spans="2:62" ht="15" hidden="1">
      <c r="B120" s="171"/>
      <c r="C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</row>
    <row r="121" spans="2:62" ht="15" hidden="1">
      <c r="B121" s="171"/>
      <c r="C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</row>
    <row r="122" spans="2:62" ht="15" hidden="1">
      <c r="B122" s="171"/>
      <c r="C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</row>
    <row r="123" spans="2:62" ht="15" hidden="1">
      <c r="B123" s="171"/>
      <c r="C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</row>
    <row r="124" spans="2:62" ht="15" hidden="1">
      <c r="B124" s="171"/>
      <c r="C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</row>
    <row r="125" spans="2:62" ht="15" hidden="1">
      <c r="B125" s="171"/>
      <c r="C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</row>
    <row r="126" spans="2:62" ht="15" hidden="1">
      <c r="B126" s="171"/>
      <c r="C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</row>
    <row r="127" spans="2:62" ht="15" hidden="1">
      <c r="B127" s="171"/>
      <c r="C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</row>
    <row r="128" spans="2:62" ht="15" hidden="1">
      <c r="B128" s="171"/>
      <c r="C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</row>
    <row r="129" spans="2:62" ht="15" hidden="1">
      <c r="B129" s="171"/>
      <c r="C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</row>
    <row r="130" spans="2:62" ht="15" hidden="1">
      <c r="B130" s="171"/>
      <c r="C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</row>
    <row r="131" spans="2:62" ht="15" hidden="1">
      <c r="B131" s="171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</row>
    <row r="132" spans="2:62" ht="15" hidden="1"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</row>
    <row r="133" spans="2:62" ht="15" hidden="1">
      <c r="B133" s="171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</row>
    <row r="134" spans="2:62" ht="15" hidden="1"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</row>
    <row r="135" spans="2:62" ht="15" hidden="1"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</row>
    <row r="136" spans="2:62" ht="15" hidden="1"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</row>
    <row r="137" spans="2:62" ht="15" hidden="1"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</row>
    <row r="138" spans="2:62" ht="15" hidden="1"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</row>
    <row r="139" spans="2:62" ht="15" hidden="1"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</row>
    <row r="140" spans="2:62" ht="15" hidden="1"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</row>
    <row r="141" spans="2:62" ht="15" hidden="1"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</row>
    <row r="142" spans="2:62" ht="15" hidden="1"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</row>
    <row r="143" spans="2:62" ht="15" hidden="1"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</row>
    <row r="144" spans="2:62" ht="15" hidden="1"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</row>
    <row r="145" spans="2:62" ht="15" hidden="1">
      <c r="B145" s="171"/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</row>
    <row r="146" spans="2:62" ht="15" hidden="1">
      <c r="B146" s="171"/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</row>
    <row r="147" spans="2:62" ht="15" hidden="1">
      <c r="B147" s="171"/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</row>
    <row r="148" spans="2:62" ht="15" hidden="1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</row>
    <row r="149" spans="2:62" ht="15" hidden="1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</row>
    <row r="150" spans="2:62" ht="15" hidden="1"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</row>
    <row r="151" spans="2:62" ht="15" hidden="1">
      <c r="B151" s="171"/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</row>
    <row r="152" spans="2:62" ht="15" hidden="1"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</row>
    <row r="153" spans="2:62" ht="15" hidden="1">
      <c r="B153" s="171"/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</row>
    <row r="154" spans="2:62" ht="15" hidden="1"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</row>
    <row r="155" spans="2:62" ht="15" hidden="1"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</row>
    <row r="156" spans="2:62" ht="15" hidden="1"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</row>
    <row r="157" spans="2:62" ht="15" hidden="1">
      <c r="B157" s="171"/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</row>
    <row r="158" spans="2:62" ht="15" hidden="1">
      <c r="B158" s="171"/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</row>
    <row r="159" spans="2:62" ht="15" hidden="1">
      <c r="B159" s="171"/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</row>
    <row r="160" spans="2:62" ht="15" hidden="1">
      <c r="B160" s="171"/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</row>
    <row r="161" spans="2:62" ht="15" hidden="1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</row>
    <row r="162" spans="2:62" ht="15" hidden="1"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</row>
    <row r="163" spans="2:62" ht="15" hidden="1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</row>
    <row r="164" spans="2:62" ht="15" hidden="1"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</row>
    <row r="165" spans="2:62" ht="15" hidden="1"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</row>
    <row r="166" spans="2:62" ht="15" hidden="1"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</row>
    <row r="167" spans="2:62" ht="15" hidden="1"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</row>
    <row r="168" spans="2:62" ht="15" hidden="1"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</row>
    <row r="169" spans="2:62" ht="15" hidden="1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</row>
    <row r="170" spans="2:62" ht="15" hidden="1"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</row>
    <row r="171" spans="2:62" ht="15" hidden="1"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</row>
    <row r="172" spans="2:62" ht="15" hidden="1"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</row>
    <row r="173" spans="2:62" ht="15" hidden="1"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</row>
    <row r="174" spans="2:62" ht="15" hidden="1"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</row>
    <row r="175" spans="2:62" ht="15" hidden="1"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</row>
    <row r="176" spans="2:62" ht="15" hidden="1"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</row>
    <row r="177" spans="2:62" ht="15" hidden="1"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</row>
    <row r="178" spans="2:62" ht="15" hidden="1"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</row>
    <row r="179" spans="2:62" ht="15" hidden="1">
      <c r="B179" s="171"/>
      <c r="C179" s="171"/>
      <c r="D179" s="171"/>
      <c r="E179" s="171"/>
      <c r="F179" s="171"/>
      <c r="G179" s="171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</row>
    <row r="180" spans="2:62" ht="15" hidden="1">
      <c r="B180" s="171"/>
      <c r="C180" s="171"/>
      <c r="D180" s="171"/>
      <c r="E180" s="171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</row>
    <row r="181" spans="2:62" ht="15" hidden="1">
      <c r="B181" s="171"/>
      <c r="C181" s="171"/>
      <c r="D181" s="171"/>
      <c r="E181" s="171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</row>
    <row r="182" spans="2:62" ht="15" hidden="1">
      <c r="B182" s="171"/>
      <c r="C182" s="171"/>
      <c r="D182" s="171"/>
      <c r="E182" s="171"/>
      <c r="F182" s="171"/>
      <c r="G182" s="171"/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</row>
    <row r="183" spans="2:62" ht="15" hidden="1">
      <c r="B183" s="171"/>
      <c r="C183" s="171"/>
      <c r="D183" s="171"/>
      <c r="E183" s="171"/>
      <c r="F183" s="171"/>
      <c r="G183" s="171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</row>
    <row r="184" spans="2:62" ht="15" hidden="1">
      <c r="B184" s="171"/>
      <c r="C184" s="171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</row>
    <row r="185" spans="2:62" ht="15" hidden="1"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</row>
    <row r="186" spans="2:62" ht="15" hidden="1"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</row>
    <row r="187" spans="2:62" ht="15" hidden="1"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</row>
    <row r="188" spans="2:62" ht="15" hidden="1"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</row>
    <row r="189" spans="2:62" ht="15" hidden="1"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</row>
    <row r="190" spans="2:62" ht="15" hidden="1"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</row>
    <row r="191" spans="2:62" ht="15" hidden="1"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</row>
    <row r="192" spans="2:62" ht="15" hidden="1"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</row>
    <row r="193" spans="2:62" ht="15" hidden="1"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</row>
    <row r="194" spans="2:62" ht="15" hidden="1"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</row>
    <row r="195" spans="2:62" ht="15" hidden="1"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</row>
    <row r="196" spans="2:62" ht="15" hidden="1"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</row>
    <row r="197" spans="2:62" ht="15" hidden="1"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</row>
    <row r="198" spans="2:62" ht="15" hidden="1"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</row>
    <row r="199" spans="2:62" ht="15" hidden="1"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</row>
    <row r="200" spans="2:62" ht="15" hidden="1"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</row>
    <row r="201" spans="2:62" ht="15" hidden="1"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</row>
    <row r="202" spans="2:62" ht="15" hidden="1"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</row>
    <row r="203" spans="2:62" ht="15" hidden="1"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</row>
    <row r="204" spans="2:62" ht="15" hidden="1"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</row>
    <row r="205" spans="2:62" ht="15" hidden="1"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</row>
    <row r="206" spans="2:62" ht="15" hidden="1">
      <c r="B206" s="171"/>
      <c r="C206" s="171"/>
      <c r="D206" s="171"/>
      <c r="E206" s="171"/>
      <c r="F206" s="171"/>
      <c r="G206" s="171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</row>
    <row r="207" spans="2:62" ht="15" hidden="1">
      <c r="B207" s="171"/>
      <c r="C207" s="171"/>
      <c r="D207" s="171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</row>
    <row r="208" spans="2:62" ht="15" hidden="1">
      <c r="B208" s="171"/>
      <c r="C208" s="171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</row>
    <row r="209" spans="2:62" ht="15" hidden="1"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</row>
    <row r="210" spans="2:62" ht="15" hidden="1">
      <c r="B210" s="171"/>
      <c r="C210" s="171"/>
      <c r="D210" s="171"/>
      <c r="E210" s="171"/>
      <c r="F210" s="171"/>
      <c r="G210" s="171"/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</row>
    <row r="211" spans="2:62" ht="15" hidden="1">
      <c r="B211" s="171"/>
      <c r="C211" s="171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</row>
    <row r="212" spans="2:62" ht="15" hidden="1">
      <c r="B212" s="171"/>
      <c r="C212" s="171"/>
      <c r="D212" s="171"/>
      <c r="E212" s="171"/>
      <c r="F212" s="171"/>
      <c r="G212" s="171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</row>
    <row r="213" spans="2:62" ht="15" hidden="1">
      <c r="B213" s="171"/>
      <c r="C213" s="171"/>
      <c r="D213" s="171"/>
      <c r="E213" s="171"/>
      <c r="F213" s="171"/>
      <c r="G213" s="171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</row>
    <row r="214" spans="2:62" ht="15" hidden="1">
      <c r="B214" s="171"/>
      <c r="C214" s="171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</row>
    <row r="215" spans="2:62" ht="15" hidden="1">
      <c r="B215" s="171"/>
      <c r="C215" s="171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</row>
    <row r="216" spans="2:62" ht="15" hidden="1">
      <c r="B216" s="171"/>
      <c r="C216" s="171"/>
      <c r="D216" s="171"/>
      <c r="E216" s="171"/>
      <c r="F216" s="171"/>
      <c r="G216" s="171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</row>
    <row r="217" spans="2:62" ht="15" hidden="1">
      <c r="B217" s="171"/>
      <c r="C217" s="171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</row>
    <row r="218" spans="2:62" ht="15" hidden="1">
      <c r="B218" s="171"/>
      <c r="C218" s="171"/>
      <c r="D218" s="171"/>
      <c r="E218" s="171"/>
      <c r="F218" s="171"/>
      <c r="G218" s="171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</row>
    <row r="219" spans="2:62" ht="15" hidden="1">
      <c r="B219" s="171"/>
      <c r="C219" s="171"/>
      <c r="D219" s="171"/>
      <c r="E219" s="171"/>
      <c r="F219" s="171"/>
      <c r="G219" s="171"/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</row>
    <row r="220" spans="2:62" ht="15" hidden="1">
      <c r="B220" s="171"/>
      <c r="C220" s="171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</row>
    <row r="221" spans="2:62" ht="15" hidden="1">
      <c r="B221" s="171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</row>
    <row r="222" spans="2:62" ht="15" hidden="1">
      <c r="B222" s="171"/>
      <c r="C222" s="171"/>
      <c r="D222" s="171"/>
      <c r="E222" s="171"/>
      <c r="F222" s="171"/>
      <c r="G222" s="171"/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</row>
    <row r="223" spans="2:62" ht="15" hidden="1">
      <c r="B223" s="171"/>
      <c r="C223" s="171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</row>
    <row r="224" spans="2:62" ht="15" hidden="1">
      <c r="B224" s="171"/>
      <c r="C224" s="171"/>
      <c r="D224" s="171"/>
      <c r="E224" s="171"/>
      <c r="F224" s="171"/>
      <c r="G224" s="171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</row>
    <row r="225" spans="2:62" ht="15" hidden="1">
      <c r="B225" s="171"/>
      <c r="C225" s="171"/>
      <c r="D225" s="171"/>
      <c r="E225" s="171"/>
      <c r="F225" s="171"/>
      <c r="G225" s="171"/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</row>
    <row r="226" spans="2:62" ht="15" hidden="1">
      <c r="B226" s="171"/>
      <c r="C226" s="171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</row>
    <row r="227" spans="2:62" ht="15" hidden="1">
      <c r="B227" s="171"/>
      <c r="C227" s="171"/>
      <c r="D227" s="171"/>
      <c r="E227" s="171"/>
      <c r="F227" s="171"/>
      <c r="G227" s="171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</row>
    <row r="228" spans="2:62" ht="15" hidden="1">
      <c r="B228" s="171"/>
      <c r="C228" s="171"/>
      <c r="D228" s="171"/>
      <c r="E228" s="171"/>
      <c r="F228" s="171"/>
      <c r="G228" s="171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</row>
    <row r="229" spans="2:62" ht="15" hidden="1">
      <c r="B229" s="171"/>
      <c r="C229" s="171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</row>
    <row r="230" spans="2:62" ht="15" hidden="1">
      <c r="B230" s="171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</row>
    <row r="231" spans="2:62" ht="15" hidden="1">
      <c r="B231" s="171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</row>
    <row r="232" spans="2:62" ht="15" hidden="1"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</row>
    <row r="233" spans="2:62" ht="15" hidden="1">
      <c r="B233" s="171"/>
      <c r="C233" s="171"/>
      <c r="D233" s="171"/>
      <c r="E233" s="171"/>
      <c r="F233" s="171"/>
      <c r="G233" s="171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</row>
    <row r="234" spans="2:62" ht="15" hidden="1">
      <c r="B234" s="171"/>
      <c r="C234" s="171"/>
      <c r="D234" s="171"/>
      <c r="E234" s="171"/>
      <c r="F234" s="171"/>
      <c r="G234" s="171"/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</row>
    <row r="235" spans="2:62" ht="15" hidden="1">
      <c r="B235" s="171"/>
      <c r="C235" s="171"/>
      <c r="D235" s="171"/>
      <c r="E235" s="171"/>
      <c r="F235" s="171"/>
      <c r="G235" s="171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</row>
    <row r="236" spans="2:62" ht="15" hidden="1">
      <c r="B236" s="171"/>
      <c r="C236" s="171"/>
      <c r="D236" s="171"/>
      <c r="E236" s="171"/>
      <c r="F236" s="171"/>
      <c r="G236" s="171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</row>
    <row r="237" spans="2:62" ht="15" hidden="1">
      <c r="B237" s="171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</row>
    <row r="238" spans="2:62" ht="15" hidden="1">
      <c r="B238" s="171"/>
      <c r="C238" s="171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</row>
    <row r="239" spans="2:62" ht="15" hidden="1">
      <c r="B239" s="171"/>
      <c r="C239" s="171"/>
      <c r="D239" s="171"/>
      <c r="E239" s="171"/>
      <c r="F239" s="171"/>
      <c r="G239" s="171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</row>
    <row r="240" spans="2:62" ht="15" hidden="1">
      <c r="B240" s="171"/>
      <c r="C240" s="171"/>
      <c r="D240" s="171"/>
      <c r="E240" s="171"/>
      <c r="F240" s="171"/>
      <c r="G240" s="171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</row>
    <row r="241" spans="2:62" ht="15" hidden="1">
      <c r="B241" s="171"/>
      <c r="C241" s="171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</row>
    <row r="242" spans="2:62" ht="15" hidden="1">
      <c r="B242" s="171"/>
      <c r="C242" s="171"/>
      <c r="D242" s="171"/>
      <c r="E242" s="171"/>
      <c r="F242" s="171"/>
      <c r="G242" s="171"/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</row>
    <row r="243" spans="2:62" ht="15" hidden="1">
      <c r="B243" s="171"/>
      <c r="C243" s="171"/>
      <c r="D243" s="171"/>
      <c r="E243" s="171"/>
      <c r="F243" s="171"/>
      <c r="G243" s="171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</row>
    <row r="244" spans="2:62" ht="15" hidden="1">
      <c r="B244" s="171"/>
      <c r="C244" s="171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</row>
    <row r="245" spans="2:62" ht="15" hidden="1">
      <c r="B245" s="171"/>
      <c r="C245" s="17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</row>
    <row r="246" spans="2:62" ht="15" hidden="1">
      <c r="B246" s="171"/>
      <c r="C246" s="17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</row>
    <row r="247" spans="2:62" ht="15" hidden="1">
      <c r="B247" s="171"/>
      <c r="C247" s="17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</row>
    <row r="248" spans="2:62" ht="15" hidden="1">
      <c r="B248" s="171"/>
      <c r="C248" s="171"/>
      <c r="D248" s="171"/>
      <c r="E248" s="171"/>
      <c r="F248" s="171"/>
      <c r="G248" s="171"/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</row>
    <row r="249" spans="2:62" ht="15" hidden="1">
      <c r="B249" s="171"/>
      <c r="C249" s="171"/>
      <c r="D249" s="171"/>
      <c r="E249" s="171"/>
      <c r="F249" s="171"/>
      <c r="G249" s="171"/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</row>
    <row r="250" spans="2:62" ht="15" hidden="1">
      <c r="B250" s="171"/>
      <c r="C250" s="171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</row>
    <row r="251" spans="2:62" ht="15" hidden="1">
      <c r="B251" s="171"/>
      <c r="C251" s="171"/>
      <c r="D251" s="171"/>
      <c r="E251" s="171"/>
      <c r="F251" s="171"/>
      <c r="G251" s="171"/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</row>
    <row r="252" spans="2:62" ht="15" hidden="1">
      <c r="B252" s="171"/>
      <c r="C252" s="171"/>
      <c r="D252" s="171"/>
      <c r="E252" s="171"/>
      <c r="F252" s="171"/>
      <c r="G252" s="171"/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</row>
    <row r="253" spans="2:62" ht="15" hidden="1">
      <c r="B253" s="171"/>
      <c r="C253" s="171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</row>
    <row r="254" spans="2:62" ht="15" hidden="1">
      <c r="B254" s="171"/>
      <c r="C254" s="171"/>
      <c r="D254" s="171"/>
      <c r="E254" s="171"/>
      <c r="F254" s="171"/>
      <c r="G254" s="171"/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</row>
    <row r="255" spans="2:62" ht="15" hidden="1">
      <c r="B255" s="171"/>
      <c r="C255" s="171"/>
      <c r="D255" s="171"/>
      <c r="E255" s="171"/>
      <c r="F255" s="171"/>
      <c r="G255" s="171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</row>
    <row r="256" spans="2:62" ht="15" hidden="1">
      <c r="B256" s="171"/>
      <c r="C256" s="171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</row>
    <row r="257" spans="2:62" ht="15" hidden="1"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</row>
    <row r="258" spans="2:62" ht="15" hidden="1"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1"/>
      <c r="BA258" s="171"/>
      <c r="BB258" s="171"/>
      <c r="BC258" s="171"/>
      <c r="BD258" s="171"/>
      <c r="BE258" s="171"/>
      <c r="BF258" s="171"/>
      <c r="BG258" s="171"/>
      <c r="BH258" s="171"/>
      <c r="BI258" s="171"/>
      <c r="BJ258" s="171"/>
    </row>
    <row r="259" spans="2:62" ht="15" hidden="1">
      <c r="B259" s="171"/>
      <c r="C259" s="171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1"/>
      <c r="AY259" s="171"/>
      <c r="AZ259" s="171"/>
      <c r="BA259" s="171"/>
      <c r="BB259" s="171"/>
      <c r="BC259" s="171"/>
      <c r="BD259" s="171"/>
      <c r="BE259" s="171"/>
      <c r="BF259" s="171"/>
      <c r="BG259" s="171"/>
      <c r="BH259" s="171"/>
      <c r="BI259" s="171"/>
      <c r="BJ259" s="171"/>
    </row>
    <row r="260" spans="2:62" ht="15" hidden="1">
      <c r="B260" s="171"/>
      <c r="C260" s="171"/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1"/>
      <c r="AY260" s="171"/>
      <c r="AZ260" s="171"/>
      <c r="BA260" s="171"/>
      <c r="BB260" s="171"/>
      <c r="BC260" s="171"/>
      <c r="BD260" s="171"/>
      <c r="BE260" s="171"/>
      <c r="BF260" s="171"/>
      <c r="BG260" s="171"/>
      <c r="BH260" s="171"/>
      <c r="BI260" s="171"/>
      <c r="BJ260" s="171"/>
    </row>
    <row r="261" spans="2:62" ht="15" hidden="1">
      <c r="B261" s="171"/>
      <c r="C261" s="171"/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171"/>
      <c r="AZ261" s="171"/>
      <c r="BA261" s="171"/>
      <c r="BB261" s="171"/>
      <c r="BC261" s="171"/>
      <c r="BD261" s="171"/>
      <c r="BE261" s="171"/>
      <c r="BF261" s="171"/>
      <c r="BG261" s="171"/>
      <c r="BH261" s="171"/>
      <c r="BI261" s="171"/>
      <c r="BJ261" s="171"/>
    </row>
    <row r="262" spans="2:62" ht="15" hidden="1">
      <c r="B262" s="171"/>
      <c r="C262" s="171"/>
      <c r="D262" s="171"/>
      <c r="E262" s="171"/>
      <c r="F262" s="171"/>
      <c r="G262" s="171"/>
      <c r="H262" s="171"/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171"/>
      <c r="AZ262" s="171"/>
      <c r="BA262" s="171"/>
      <c r="BB262" s="171"/>
      <c r="BC262" s="171"/>
      <c r="BD262" s="171"/>
      <c r="BE262" s="171"/>
      <c r="BF262" s="171"/>
      <c r="BG262" s="171"/>
      <c r="BH262" s="171"/>
      <c r="BI262" s="171"/>
      <c r="BJ262" s="171"/>
    </row>
    <row r="263" spans="2:62" ht="15" hidden="1">
      <c r="B263" s="171"/>
      <c r="C263" s="171"/>
      <c r="D263" s="171"/>
      <c r="E263" s="171"/>
      <c r="F263" s="171"/>
      <c r="G263" s="171"/>
      <c r="H263" s="171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171"/>
      <c r="AZ263" s="171"/>
      <c r="BA263" s="171"/>
      <c r="BB263" s="171"/>
      <c r="BC263" s="171"/>
      <c r="BD263" s="171"/>
      <c r="BE263" s="171"/>
      <c r="BF263" s="171"/>
      <c r="BG263" s="171"/>
      <c r="BH263" s="171"/>
      <c r="BI263" s="171"/>
      <c r="BJ263" s="171"/>
    </row>
    <row r="264" spans="2:62" ht="15" hidden="1">
      <c r="B264" s="171"/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</row>
    <row r="265" spans="2:62" ht="15" hidden="1">
      <c r="B265" s="171"/>
      <c r="C265" s="171"/>
      <c r="D265" s="171"/>
      <c r="E265" s="171"/>
      <c r="F265" s="171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171"/>
      <c r="AZ265" s="171"/>
      <c r="BA265" s="171"/>
      <c r="BB265" s="171"/>
      <c r="BC265" s="171"/>
      <c r="BD265" s="171"/>
      <c r="BE265" s="171"/>
      <c r="BF265" s="171"/>
      <c r="BG265" s="171"/>
      <c r="BH265" s="171"/>
      <c r="BI265" s="171"/>
      <c r="BJ265" s="171"/>
    </row>
    <row r="266" spans="2:62" ht="15" hidden="1">
      <c r="B266" s="171"/>
      <c r="C266" s="171"/>
      <c r="D266" s="171"/>
      <c r="E266" s="171"/>
      <c r="F266" s="171"/>
      <c r="G266" s="171"/>
      <c r="H266" s="171"/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</row>
    <row r="267" spans="2:62" ht="15" hidden="1">
      <c r="B267" s="171"/>
      <c r="C267" s="171"/>
      <c r="D267" s="171"/>
      <c r="E267" s="171"/>
      <c r="F267" s="171"/>
      <c r="G267" s="171"/>
      <c r="H267" s="171"/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71"/>
    </row>
    <row r="268" spans="2:62" ht="15" hidden="1">
      <c r="B268" s="171"/>
      <c r="C268" s="171"/>
      <c r="D268" s="171"/>
      <c r="E268" s="171"/>
      <c r="F268" s="171"/>
      <c r="G268" s="171"/>
      <c r="H268" s="171"/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</row>
    <row r="269" spans="2:62" ht="15" hidden="1">
      <c r="B269" s="171"/>
      <c r="C269" s="171"/>
      <c r="D269" s="171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</row>
    <row r="270" spans="2:62" ht="15" hidden="1">
      <c r="B270" s="171"/>
      <c r="C270" s="171"/>
      <c r="D270" s="171"/>
      <c r="E270" s="171"/>
      <c r="F270" s="171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17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71"/>
    </row>
    <row r="271" spans="2:62" ht="15" hidden="1">
      <c r="B271" s="171"/>
      <c r="C271" s="171"/>
      <c r="D271" s="171"/>
      <c r="E271" s="171"/>
      <c r="F271" s="171"/>
      <c r="G271" s="171"/>
      <c r="H271" s="171"/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</row>
    <row r="272" spans="2:62" ht="15" hidden="1">
      <c r="B272" s="171"/>
      <c r="C272" s="171"/>
      <c r="D272" s="171"/>
      <c r="E272" s="171"/>
      <c r="F272" s="171"/>
      <c r="G272" s="171"/>
      <c r="H272" s="171"/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71"/>
    </row>
    <row r="273" spans="2:62" ht="15" hidden="1">
      <c r="B273" s="171"/>
      <c r="C273" s="171"/>
      <c r="D273" s="171"/>
      <c r="E273" s="171"/>
      <c r="F273" s="171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71"/>
    </row>
    <row r="274" spans="2:62" ht="15" hidden="1">
      <c r="B274" s="171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171"/>
      <c r="AZ274" s="171"/>
      <c r="BA274" s="171"/>
      <c r="BB274" s="171"/>
      <c r="BC274" s="171"/>
      <c r="BD274" s="171"/>
      <c r="BE274" s="171"/>
      <c r="BF274" s="171"/>
      <c r="BG274" s="171"/>
      <c r="BH274" s="171"/>
      <c r="BI274" s="171"/>
      <c r="BJ274" s="171"/>
    </row>
    <row r="275" spans="2:62" ht="15" hidden="1">
      <c r="B275" s="171"/>
      <c r="C275" s="171"/>
      <c r="D275" s="171"/>
      <c r="E275" s="171"/>
      <c r="F275" s="171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1"/>
      <c r="BB275" s="171"/>
      <c r="BC275" s="171"/>
      <c r="BD275" s="171"/>
      <c r="BE275" s="171"/>
      <c r="BF275" s="171"/>
      <c r="BG275" s="171"/>
      <c r="BH275" s="171"/>
      <c r="BI275" s="171"/>
      <c r="BJ275" s="171"/>
    </row>
    <row r="276" spans="2:62" ht="15" hidden="1">
      <c r="B276" s="171"/>
      <c r="C276" s="17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71"/>
    </row>
    <row r="277" spans="2:62" ht="15" hidden="1">
      <c r="B277" s="171"/>
      <c r="C277" s="171"/>
      <c r="D277" s="171"/>
      <c r="E277" s="171"/>
      <c r="F277" s="171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</row>
    <row r="278" spans="2:62" ht="15" hidden="1">
      <c r="B278" s="171"/>
      <c r="C278" s="171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</row>
    <row r="279" spans="2:62" ht="15" hidden="1">
      <c r="B279" s="171"/>
      <c r="C279" s="171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</row>
    <row r="280" spans="2:62" ht="15" hidden="1">
      <c r="B280" s="171"/>
      <c r="C280" s="171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</row>
    <row r="281" spans="2:62" ht="15" hidden="1">
      <c r="B281" s="171"/>
      <c r="C281" s="171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</row>
    <row r="282" spans="2:62" ht="15" hidden="1">
      <c r="B282" s="171"/>
      <c r="C282" s="171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</row>
    <row r="283" spans="2:62" ht="15" hidden="1">
      <c r="B283" s="171"/>
      <c r="C283" s="171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</row>
    <row r="284" spans="2:62" ht="15" hidden="1">
      <c r="B284" s="171"/>
      <c r="C284" s="171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171"/>
      <c r="AJ284" s="171"/>
      <c r="AK284" s="171"/>
      <c r="AL284" s="171"/>
      <c r="AM284" s="171"/>
      <c r="AN284" s="171"/>
      <c r="AO284" s="171"/>
      <c r="AP284" s="171"/>
      <c r="AQ284" s="171"/>
      <c r="AR284" s="171"/>
      <c r="AS284" s="171"/>
      <c r="AT284" s="171"/>
      <c r="AU284" s="171"/>
      <c r="AV284" s="171"/>
      <c r="AW284" s="171"/>
      <c r="AX284" s="171"/>
      <c r="AY284" s="17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71"/>
    </row>
    <row r="285" spans="2:62" ht="15" hidden="1"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</row>
    <row r="286" spans="2:62" ht="15" hidden="1">
      <c r="B286" s="171"/>
      <c r="C286" s="171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</row>
    <row r="287" spans="2:62" ht="15" hidden="1">
      <c r="B287" s="171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1"/>
      <c r="AY287" s="171"/>
      <c r="AZ287" s="171"/>
      <c r="BA287" s="171"/>
      <c r="BB287" s="171"/>
      <c r="BC287" s="171"/>
      <c r="BD287" s="171"/>
      <c r="BE287" s="171"/>
      <c r="BF287" s="171"/>
      <c r="BG287" s="171"/>
      <c r="BH287" s="171"/>
      <c r="BI287" s="171"/>
      <c r="BJ287" s="171"/>
    </row>
    <row r="288" spans="2:62" ht="15" hidden="1"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1"/>
      <c r="AY288" s="171"/>
      <c r="AZ288" s="171"/>
      <c r="BA288" s="171"/>
      <c r="BB288" s="171"/>
      <c r="BC288" s="171"/>
      <c r="BD288" s="171"/>
      <c r="BE288" s="171"/>
      <c r="BF288" s="171"/>
      <c r="BG288" s="171"/>
      <c r="BH288" s="171"/>
      <c r="BI288" s="171"/>
      <c r="BJ288" s="171"/>
    </row>
    <row r="289" spans="2:62" ht="15" hidden="1">
      <c r="B289" s="171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71"/>
      <c r="BB289" s="171"/>
      <c r="BC289" s="171"/>
      <c r="BD289" s="171"/>
      <c r="BE289" s="171"/>
      <c r="BF289" s="171"/>
      <c r="BG289" s="171"/>
      <c r="BH289" s="171"/>
      <c r="BI289" s="171"/>
      <c r="BJ289" s="171"/>
    </row>
    <row r="290" spans="2:62" ht="15" hidden="1">
      <c r="B290" s="171"/>
      <c r="C290" s="171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/>
      <c r="AK290" s="171"/>
      <c r="AL290" s="171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71"/>
      <c r="BB290" s="171"/>
      <c r="BC290" s="171"/>
      <c r="BD290" s="171"/>
      <c r="BE290" s="171"/>
      <c r="BF290" s="171"/>
      <c r="BG290" s="171"/>
      <c r="BH290" s="171"/>
      <c r="BI290" s="171"/>
      <c r="BJ290" s="171"/>
    </row>
    <row r="291" spans="2:62" ht="15" hidden="1"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</row>
    <row r="292" spans="2:62" ht="15" hidden="1">
      <c r="B292" s="171"/>
      <c r="C292" s="171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</row>
    <row r="293" spans="2:62" ht="15" hidden="1">
      <c r="B293" s="171"/>
      <c r="C293" s="171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71"/>
    </row>
    <row r="294" spans="2:62" ht="15" hidden="1">
      <c r="B294" s="171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</row>
    <row r="295" spans="2:62" ht="15" hidden="1">
      <c r="B295" s="171"/>
      <c r="C295" s="171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</row>
    <row r="296" spans="2:62" ht="15" hidden="1">
      <c r="B296" s="171"/>
      <c r="C296" s="171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  <c r="AW296" s="171"/>
      <c r="AX296" s="171"/>
      <c r="AY296" s="17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71"/>
    </row>
    <row r="297" spans="2:62" ht="15" hidden="1">
      <c r="B297" s="171"/>
      <c r="C297" s="171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</row>
    <row r="298" spans="2:62" ht="15" hidden="1"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  <c r="AX298" s="171"/>
      <c r="AY298" s="17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71"/>
    </row>
    <row r="299" spans="2:62" ht="15" hidden="1">
      <c r="B299" s="171"/>
      <c r="C299" s="171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</row>
    <row r="300" spans="2:62" ht="15" hidden="1">
      <c r="B300" s="171"/>
      <c r="C300" s="171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  <c r="AX300" s="171"/>
      <c r="AY300" s="17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71"/>
    </row>
    <row r="301" spans="2:62" ht="15" hidden="1">
      <c r="B301" s="171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71"/>
    </row>
    <row r="302" spans="2:62" ht="15" hidden="1">
      <c r="B302" s="171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  <c r="AX302" s="171"/>
      <c r="AY302" s="17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71"/>
    </row>
    <row r="303" spans="2:62" ht="15" hidden="1">
      <c r="B303" s="171"/>
      <c r="C303" s="171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  <c r="AX303" s="171"/>
      <c r="AY303" s="17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71"/>
    </row>
    <row r="304" spans="2:62" ht="15" hidden="1">
      <c r="B304" s="171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</row>
    <row r="305" spans="2:62" ht="15" hidden="1">
      <c r="B305" s="171"/>
      <c r="C305" s="171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  <c r="AX305" s="171"/>
      <c r="AY305" s="17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71"/>
    </row>
    <row r="306" spans="2:62" ht="15" hidden="1">
      <c r="B306" s="171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</row>
    <row r="307" spans="2:62" ht="15" hidden="1">
      <c r="B307" s="171"/>
      <c r="C307" s="171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  <c r="AX307" s="171"/>
      <c r="AY307" s="171"/>
      <c r="AZ307" s="171"/>
      <c r="BA307" s="171"/>
      <c r="BB307" s="171"/>
      <c r="BC307" s="171"/>
      <c r="BD307" s="171"/>
      <c r="BE307" s="171"/>
      <c r="BF307" s="171"/>
      <c r="BG307" s="171"/>
      <c r="BH307" s="171"/>
      <c r="BI307" s="171"/>
      <c r="BJ307" s="171"/>
    </row>
    <row r="308" spans="2:62" ht="15" hidden="1">
      <c r="B308" s="171"/>
      <c r="C308" s="171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</row>
    <row r="309" spans="2:62" ht="15" hidden="1">
      <c r="B309" s="171"/>
      <c r="C309" s="171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</row>
    <row r="310" spans="2:62" ht="15" hidden="1">
      <c r="B310" s="171"/>
      <c r="C310" s="171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  <c r="AX310" s="171"/>
      <c r="AY310" s="171"/>
      <c r="AZ310" s="171"/>
      <c r="BA310" s="171"/>
      <c r="BB310" s="171"/>
      <c r="BC310" s="171"/>
      <c r="BD310" s="171"/>
      <c r="BE310" s="171"/>
      <c r="BF310" s="171"/>
      <c r="BG310" s="171"/>
      <c r="BH310" s="171"/>
      <c r="BI310" s="171"/>
      <c r="BJ310" s="171"/>
    </row>
    <row r="311" spans="2:62" ht="15" hidden="1">
      <c r="B311" s="171"/>
      <c r="C311" s="171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  <c r="AX311" s="171"/>
      <c r="AY311" s="171"/>
      <c r="AZ311" s="171"/>
      <c r="BA311" s="171"/>
      <c r="BB311" s="171"/>
      <c r="BC311" s="171"/>
      <c r="BD311" s="171"/>
      <c r="BE311" s="171"/>
      <c r="BF311" s="171"/>
      <c r="BG311" s="171"/>
      <c r="BH311" s="171"/>
      <c r="BI311" s="171"/>
      <c r="BJ311" s="171"/>
    </row>
    <row r="312" spans="2:62" ht="15" hidden="1">
      <c r="B312" s="171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/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  <c r="AX312" s="171"/>
      <c r="AY312" s="171"/>
      <c r="AZ312" s="171"/>
      <c r="BA312" s="171"/>
      <c r="BB312" s="171"/>
      <c r="BC312" s="171"/>
      <c r="BD312" s="171"/>
      <c r="BE312" s="171"/>
      <c r="BF312" s="171"/>
      <c r="BG312" s="171"/>
      <c r="BH312" s="171"/>
      <c r="BI312" s="171"/>
      <c r="BJ312" s="171"/>
    </row>
    <row r="313" spans="2:62" ht="15" hidden="1">
      <c r="B313" s="171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1"/>
      <c r="BH313" s="171"/>
      <c r="BI313" s="171"/>
      <c r="BJ313" s="171"/>
    </row>
    <row r="314" spans="2:62" ht="15" hidden="1"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  <c r="AW314" s="171"/>
      <c r="AX314" s="171"/>
      <c r="AY314" s="171"/>
      <c r="AZ314" s="171"/>
      <c r="BA314" s="171"/>
      <c r="BB314" s="171"/>
      <c r="BC314" s="171"/>
      <c r="BD314" s="171"/>
      <c r="BE314" s="171"/>
      <c r="BF314" s="171"/>
      <c r="BG314" s="171"/>
      <c r="BH314" s="171"/>
      <c r="BI314" s="171"/>
      <c r="BJ314" s="171"/>
    </row>
    <row r="315" spans="2:62" ht="15" hidden="1"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  <c r="AW315" s="171"/>
      <c r="AX315" s="171"/>
      <c r="AY315" s="17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71"/>
    </row>
    <row r="316" spans="2:62" ht="15" hidden="1"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  <c r="AX316" s="171"/>
      <c r="AY316" s="17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71"/>
    </row>
    <row r="317" spans="2:62" ht="15" hidden="1"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71"/>
    </row>
    <row r="318" spans="2:62" ht="15" hidden="1"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  <c r="AX318" s="171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</row>
    <row r="319" spans="2:62" ht="15" hidden="1"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</row>
    <row r="320" spans="2:62" ht="15" hidden="1"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</row>
    <row r="321" spans="2:12" ht="15" hidden="1"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</row>
    <row r="322" spans="2:12" ht="15" hidden="1"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</row>
    <row r="323" spans="2:12" ht="15" hidden="1"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</row>
    <row r="324" spans="2:12" ht="15" hidden="1"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</row>
    <row r="325" spans="2:12" ht="15" hidden="1"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</row>
    <row r="326" spans="2:12" ht="15" hidden="1"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</row>
    <row r="327" spans="2:12" ht="12.6" hidden="1">
      <c r="I327" s="65"/>
      <c r="J327" s="65"/>
      <c r="K327" s="65"/>
      <c r="L327" s="65"/>
    </row>
    <row r="328" spans="2:12" ht="12.6" hidden="1">
      <c r="I328" s="65"/>
      <c r="J328" s="65"/>
      <c r="K328" s="65"/>
      <c r="L328" s="65"/>
    </row>
    <row r="329" spans="2:12" ht="12.6" hidden="1">
      <c r="I329" s="65"/>
      <c r="J329" s="65"/>
      <c r="K329" s="65"/>
      <c r="L329" s="65"/>
    </row>
    <row r="330" spans="2:12" ht="12.6" hidden="1">
      <c r="I330" s="65"/>
      <c r="J330" s="65"/>
      <c r="K330" s="65"/>
      <c r="L330" s="65"/>
    </row>
    <row r="331" spans="2:12" ht="12.6" hidden="1">
      <c r="I331" s="65"/>
      <c r="J331" s="65"/>
      <c r="K331" s="65"/>
      <c r="L331" s="65"/>
    </row>
    <row r="332" spans="2:12" ht="12.6" hidden="1">
      <c r="I332" s="65"/>
      <c r="J332" s="65"/>
      <c r="K332" s="65"/>
      <c r="L332" s="65"/>
    </row>
    <row r="333" spans="2:12" ht="12.6" hidden="1">
      <c r="I333" s="65"/>
      <c r="J333" s="65"/>
      <c r="K333" s="65"/>
      <c r="L333" s="65"/>
    </row>
    <row r="334" spans="2:12" ht="12.6" hidden="1">
      <c r="I334" s="65"/>
      <c r="J334" s="65"/>
      <c r="K334" s="65"/>
      <c r="L334" s="65"/>
    </row>
    <row r="335" spans="2:12" ht="12.6" hidden="1">
      <c r="I335" s="65"/>
      <c r="J335" s="65"/>
      <c r="K335" s="65"/>
      <c r="L335" s="65"/>
    </row>
    <row r="336" spans="2:12" ht="12.6" hidden="1">
      <c r="I336" s="65"/>
      <c r="J336" s="65"/>
      <c r="K336" s="65"/>
      <c r="L336" s="65"/>
    </row>
    <row r="337" spans="9:12" ht="12.6" hidden="1">
      <c r="I337" s="65"/>
      <c r="J337" s="65"/>
      <c r="K337" s="65"/>
      <c r="L337" s="65"/>
    </row>
    <row r="338" spans="9:12" ht="12.6" hidden="1">
      <c r="I338" s="65"/>
      <c r="J338" s="65"/>
      <c r="K338" s="65"/>
      <c r="L338" s="65"/>
    </row>
    <row r="339" spans="9:12" ht="12.6" hidden="1">
      <c r="I339" s="65"/>
      <c r="J339" s="65"/>
      <c r="K339" s="65"/>
      <c r="L339" s="65"/>
    </row>
    <row r="340" spans="9:12" ht="12.6" hidden="1">
      <c r="I340" s="65"/>
      <c r="J340" s="65"/>
      <c r="K340" s="65"/>
      <c r="L340" s="65"/>
    </row>
    <row r="341" spans="9:12" ht="12.6" hidden="1">
      <c r="I341" s="65"/>
      <c r="J341" s="65"/>
      <c r="K341" s="65"/>
      <c r="L341" s="65"/>
    </row>
    <row r="342" spans="9:12" ht="12.6" hidden="1">
      <c r="I342" s="65"/>
      <c r="J342" s="65"/>
      <c r="K342" s="65"/>
      <c r="L342" s="65"/>
    </row>
    <row r="343" spans="9:12" ht="12.6" hidden="1">
      <c r="I343" s="65"/>
      <c r="J343" s="65"/>
      <c r="K343" s="65"/>
      <c r="L343" s="65"/>
    </row>
    <row r="344" spans="9:12" ht="12.6" hidden="1">
      <c r="I344" s="65"/>
      <c r="J344" s="65"/>
      <c r="K344" s="65"/>
      <c r="L344" s="65"/>
    </row>
    <row r="345" spans="9:12" ht="12.6" hidden="1">
      <c r="I345" s="65"/>
      <c r="J345" s="65"/>
      <c r="K345" s="65"/>
      <c r="L345" s="65"/>
    </row>
    <row r="346" spans="9:12" ht="12.6" hidden="1">
      <c r="I346" s="65"/>
      <c r="J346" s="65"/>
      <c r="K346" s="65"/>
      <c r="L346" s="65"/>
    </row>
    <row r="347" spans="9:12" ht="12.6" hidden="1">
      <c r="I347" s="65"/>
      <c r="J347" s="65"/>
      <c r="K347" s="65"/>
      <c r="L347" s="65"/>
    </row>
    <row r="348" spans="9:12" ht="12.6" hidden="1">
      <c r="I348" s="65"/>
      <c r="J348" s="65"/>
      <c r="K348" s="65"/>
      <c r="L348" s="65"/>
    </row>
    <row r="349" spans="9:12" ht="12.6" hidden="1">
      <c r="I349" s="65"/>
      <c r="J349" s="65"/>
      <c r="K349" s="65"/>
      <c r="L349" s="65"/>
    </row>
    <row r="350" spans="9:12" ht="12.6" hidden="1">
      <c r="I350" s="65"/>
      <c r="J350" s="65"/>
      <c r="K350" s="65"/>
      <c r="L350" s="65"/>
    </row>
    <row r="351" spans="9:12" ht="12.6" hidden="1">
      <c r="I351" s="65"/>
      <c r="J351" s="65"/>
      <c r="K351" s="65"/>
      <c r="L351" s="65"/>
    </row>
    <row r="352" spans="9:12" ht="12.6" hidden="1">
      <c r="I352" s="65"/>
      <c r="J352" s="65"/>
      <c r="K352" s="65"/>
      <c r="L352" s="65"/>
    </row>
    <row r="353" spans="9:12" ht="12.6" hidden="1">
      <c r="I353" s="65"/>
      <c r="J353" s="65"/>
      <c r="K353" s="65"/>
      <c r="L353" s="65"/>
    </row>
    <row r="354" spans="9:12" ht="12.6" hidden="1">
      <c r="I354" s="65"/>
      <c r="J354" s="65"/>
      <c r="K354" s="65"/>
      <c r="L354" s="65"/>
    </row>
    <row r="355" spans="9:12" ht="12.6" hidden="1">
      <c r="I355" s="65"/>
      <c r="J355" s="65"/>
      <c r="K355" s="65"/>
      <c r="L355" s="65"/>
    </row>
    <row r="356" spans="9:12" ht="12.6" hidden="1">
      <c r="I356" s="65"/>
      <c r="J356" s="65"/>
      <c r="K356" s="65"/>
      <c r="L356" s="65"/>
    </row>
    <row r="357" spans="9:12" ht="12.6" hidden="1">
      <c r="I357" s="65"/>
      <c r="J357" s="65"/>
      <c r="K357" s="65"/>
      <c r="L357" s="65"/>
    </row>
    <row r="358" spans="9:12" ht="12.6" hidden="1">
      <c r="I358" s="65"/>
      <c r="J358" s="65"/>
      <c r="K358" s="65"/>
      <c r="L358" s="65"/>
    </row>
    <row r="359" spans="9:12" ht="12.6" hidden="1">
      <c r="I359" s="65"/>
      <c r="J359" s="65"/>
      <c r="K359" s="65"/>
      <c r="L359" s="65"/>
    </row>
    <row r="360" spans="9:12" ht="12.6" hidden="1">
      <c r="I360" s="65"/>
      <c r="J360" s="65"/>
      <c r="K360" s="65"/>
      <c r="L360" s="65"/>
    </row>
    <row r="361" spans="9:12" ht="12.6" hidden="1">
      <c r="I361" s="65"/>
      <c r="J361" s="65"/>
      <c r="K361" s="65"/>
      <c r="L361" s="65"/>
    </row>
    <row r="362" spans="9:12" ht="12.6" hidden="1">
      <c r="I362" s="65"/>
      <c r="J362" s="65"/>
      <c r="K362" s="65"/>
      <c r="L362" s="65"/>
    </row>
    <row r="363" spans="9:12" ht="12.6" hidden="1">
      <c r="I363" s="65"/>
      <c r="J363" s="65"/>
      <c r="K363" s="65"/>
      <c r="L363" s="65"/>
    </row>
    <row r="364" spans="9:12" ht="12.6" hidden="1">
      <c r="I364" s="65"/>
      <c r="J364" s="65"/>
      <c r="K364" s="65"/>
      <c r="L364" s="65"/>
    </row>
    <row r="365" spans="9:12" ht="12.6" hidden="1">
      <c r="I365" s="65"/>
      <c r="J365" s="65"/>
      <c r="K365" s="65"/>
      <c r="L365" s="65"/>
    </row>
    <row r="366" spans="9:12" ht="12.6" hidden="1">
      <c r="I366" s="65"/>
      <c r="J366" s="65"/>
      <c r="K366" s="65"/>
      <c r="L366" s="65"/>
    </row>
    <row r="367" spans="9:12" ht="12.6" hidden="1">
      <c r="I367" s="65"/>
      <c r="J367" s="65"/>
      <c r="K367" s="65"/>
      <c r="L367" s="65"/>
    </row>
    <row r="368" spans="9:12" ht="12.6" hidden="1">
      <c r="I368" s="65"/>
      <c r="J368" s="65"/>
      <c r="K368" s="65"/>
      <c r="L368" s="65"/>
    </row>
    <row r="369" spans="9:12" ht="12.6" hidden="1">
      <c r="I369" s="65"/>
      <c r="J369" s="65"/>
      <c r="K369" s="65"/>
      <c r="L369" s="65"/>
    </row>
    <row r="370" spans="9:12" ht="12.6" hidden="1">
      <c r="I370" s="65"/>
      <c r="J370" s="65"/>
      <c r="K370" s="65"/>
      <c r="L370" s="65"/>
    </row>
    <row r="371" spans="9:12" ht="12.6" hidden="1">
      <c r="I371" s="65"/>
      <c r="J371" s="65"/>
      <c r="K371" s="65"/>
      <c r="L371" s="65"/>
    </row>
    <row r="372" spans="9:12" ht="12.6" hidden="1">
      <c r="I372" s="65"/>
      <c r="J372" s="65"/>
      <c r="K372" s="65"/>
      <c r="L372" s="65"/>
    </row>
    <row r="373" spans="9:12" ht="12.6" hidden="1">
      <c r="I373" s="65"/>
      <c r="J373" s="65"/>
      <c r="K373" s="65"/>
      <c r="L373" s="65"/>
    </row>
    <row r="374" spans="9:12" ht="12.6" hidden="1">
      <c r="I374" s="65"/>
      <c r="J374" s="65"/>
      <c r="K374" s="65"/>
      <c r="L374" s="65"/>
    </row>
    <row r="375" spans="9:12" ht="12.6" hidden="1">
      <c r="I375" s="65"/>
      <c r="J375" s="65"/>
      <c r="K375" s="65"/>
      <c r="L375" s="65"/>
    </row>
    <row r="376" spans="9:12" ht="12.6" hidden="1">
      <c r="I376" s="65"/>
      <c r="J376" s="65"/>
      <c r="K376" s="65"/>
      <c r="L376" s="65"/>
    </row>
    <row r="377" spans="9:12" ht="12.6" hidden="1">
      <c r="I377" s="65"/>
      <c r="J377" s="65"/>
      <c r="K377" s="65"/>
      <c r="L377" s="65"/>
    </row>
    <row r="378" spans="9:12" ht="12.6" hidden="1">
      <c r="I378" s="65"/>
      <c r="J378" s="65"/>
      <c r="K378" s="65"/>
      <c r="L378" s="65"/>
    </row>
    <row r="379" spans="9:12" ht="12.6" hidden="1">
      <c r="I379" s="65"/>
      <c r="J379" s="65"/>
      <c r="K379" s="65"/>
      <c r="L379" s="65"/>
    </row>
    <row r="380" spans="9:12" ht="12.6" hidden="1">
      <c r="I380" s="65"/>
      <c r="J380" s="65"/>
      <c r="K380" s="65"/>
      <c r="L380" s="65"/>
    </row>
    <row r="381" spans="9:12" ht="12.6" hidden="1">
      <c r="I381" s="65"/>
      <c r="J381" s="65"/>
      <c r="K381" s="65"/>
      <c r="L381" s="65"/>
    </row>
    <row r="382" spans="9:12" ht="12.6" hidden="1">
      <c r="I382" s="65"/>
      <c r="J382" s="65"/>
      <c r="K382" s="65"/>
      <c r="L382" s="65"/>
    </row>
    <row r="383" spans="9:12" ht="12.6" hidden="1">
      <c r="I383" s="65"/>
      <c r="J383" s="65"/>
      <c r="K383" s="65"/>
      <c r="L383" s="65"/>
    </row>
    <row r="384" spans="9:12" ht="12.6" hidden="1">
      <c r="I384" s="65"/>
      <c r="J384" s="65"/>
      <c r="K384" s="65"/>
      <c r="L384" s="65"/>
    </row>
    <row r="385" spans="9:12" ht="12.6" hidden="1">
      <c r="I385" s="65"/>
      <c r="J385" s="65"/>
      <c r="K385" s="65"/>
      <c r="L385" s="65"/>
    </row>
    <row r="386" spans="9:12" ht="12.6" hidden="1">
      <c r="I386" s="65"/>
      <c r="J386" s="65"/>
      <c r="K386" s="65"/>
      <c r="L386" s="65"/>
    </row>
    <row r="387" spans="9:12" ht="12.6" hidden="1">
      <c r="I387" s="65"/>
      <c r="J387" s="65"/>
      <c r="K387" s="65"/>
      <c r="L387" s="65"/>
    </row>
    <row r="388" spans="9:12" ht="12.6" hidden="1">
      <c r="I388" s="65"/>
      <c r="J388" s="65"/>
      <c r="K388" s="65"/>
      <c r="L388" s="65"/>
    </row>
    <row r="389" spans="9:12" ht="12.6" hidden="1">
      <c r="I389" s="65"/>
      <c r="J389" s="65"/>
      <c r="K389" s="65"/>
      <c r="L389" s="65"/>
    </row>
    <row r="390" spans="9:12" ht="12.6" hidden="1">
      <c r="I390" s="65"/>
      <c r="J390" s="65"/>
      <c r="K390" s="65"/>
      <c r="L390" s="65"/>
    </row>
    <row r="391" spans="9:12" ht="12.6" hidden="1">
      <c r="I391" s="65"/>
      <c r="J391" s="65"/>
      <c r="K391" s="65"/>
      <c r="L391" s="65"/>
    </row>
    <row r="392" spans="9:12" ht="12.6" hidden="1">
      <c r="I392" s="65"/>
      <c r="J392" s="65"/>
      <c r="K392" s="65"/>
      <c r="L392" s="65"/>
    </row>
    <row r="393" spans="9:12" ht="12.6" hidden="1">
      <c r="I393" s="65"/>
      <c r="J393" s="65"/>
      <c r="K393" s="65"/>
      <c r="L393" s="65"/>
    </row>
    <row r="394" spans="9:12" ht="12.6" hidden="1">
      <c r="I394" s="65"/>
      <c r="J394" s="65"/>
      <c r="K394" s="65"/>
      <c r="L394" s="65"/>
    </row>
    <row r="395" spans="9:12" ht="12.6" hidden="1">
      <c r="I395" s="65"/>
      <c r="J395" s="65"/>
      <c r="K395" s="65"/>
      <c r="L395" s="65"/>
    </row>
    <row r="396" spans="9:12" ht="12.6" hidden="1">
      <c r="I396" s="65"/>
      <c r="J396" s="65"/>
      <c r="K396" s="65"/>
      <c r="L396" s="65"/>
    </row>
    <row r="397" spans="9:12" ht="12.6" hidden="1">
      <c r="I397" s="65"/>
      <c r="J397" s="65"/>
      <c r="K397" s="65"/>
      <c r="L397" s="65"/>
    </row>
    <row r="398" spans="9:12" ht="12.6" hidden="1">
      <c r="I398" s="65"/>
      <c r="J398" s="65"/>
      <c r="K398" s="65"/>
      <c r="L398" s="65"/>
    </row>
    <row r="399" spans="9:12" ht="12.6" hidden="1">
      <c r="I399" s="65"/>
      <c r="J399" s="65"/>
      <c r="K399" s="65"/>
      <c r="L399" s="65"/>
    </row>
    <row r="400" spans="9:12" ht="12.6" hidden="1">
      <c r="I400" s="65"/>
      <c r="J400" s="65"/>
      <c r="K400" s="65"/>
      <c r="L400" s="65"/>
    </row>
    <row r="401" spans="9:12" ht="12.6" hidden="1">
      <c r="I401" s="65"/>
      <c r="J401" s="65"/>
      <c r="K401" s="65"/>
      <c r="L401" s="65"/>
    </row>
    <row r="402" spans="9:12" ht="12.6" hidden="1">
      <c r="I402" s="65"/>
      <c r="J402" s="65"/>
      <c r="K402" s="65"/>
      <c r="L402" s="65"/>
    </row>
    <row r="403" spans="9:12" ht="12.6" hidden="1">
      <c r="I403" s="65"/>
      <c r="J403" s="65"/>
      <c r="K403" s="65"/>
      <c r="L403" s="65"/>
    </row>
    <row r="404" spans="9:12" ht="12.6" hidden="1">
      <c r="I404" s="65"/>
      <c r="J404" s="65"/>
      <c r="K404" s="65"/>
      <c r="L404" s="65"/>
    </row>
    <row r="405" spans="9:12" ht="12.6" hidden="1">
      <c r="I405" s="65"/>
      <c r="J405" s="65"/>
      <c r="K405" s="65"/>
      <c r="L405" s="65"/>
    </row>
    <row r="406" spans="9:12" ht="12.6" hidden="1">
      <c r="I406" s="65"/>
      <c r="J406" s="65"/>
      <c r="K406" s="65"/>
      <c r="L406" s="65"/>
    </row>
    <row r="407" spans="9:12" ht="12.6" hidden="1">
      <c r="I407" s="65"/>
      <c r="J407" s="65"/>
      <c r="K407" s="65"/>
      <c r="L407" s="65"/>
    </row>
    <row r="408" spans="9:12" ht="12.6" hidden="1">
      <c r="I408" s="65"/>
      <c r="J408" s="65"/>
      <c r="K408" s="65"/>
      <c r="L408" s="65"/>
    </row>
    <row r="409" spans="9:12" ht="12.6" hidden="1">
      <c r="I409" s="65"/>
      <c r="J409" s="65"/>
      <c r="K409" s="65"/>
      <c r="L409" s="65"/>
    </row>
    <row r="410" spans="9:12" ht="12.6" hidden="1">
      <c r="I410" s="65"/>
      <c r="J410" s="65"/>
      <c r="K410" s="65"/>
      <c r="L410" s="65"/>
    </row>
    <row r="411" spans="9:12" ht="12.6" hidden="1">
      <c r="I411" s="65"/>
      <c r="J411" s="65"/>
      <c r="K411" s="65"/>
      <c r="L411" s="65"/>
    </row>
    <row r="412" spans="9:12" ht="12.6" hidden="1">
      <c r="I412" s="65"/>
      <c r="J412" s="65"/>
      <c r="K412" s="65"/>
      <c r="L412" s="65"/>
    </row>
    <row r="413" spans="9:12" ht="12.6" hidden="1">
      <c r="I413" s="65"/>
      <c r="J413" s="65"/>
      <c r="K413" s="65"/>
      <c r="L413" s="65"/>
    </row>
    <row r="414" spans="9:12" ht="12.6" hidden="1">
      <c r="I414" s="65"/>
      <c r="J414" s="65"/>
      <c r="K414" s="65"/>
      <c r="L414" s="65"/>
    </row>
    <row r="415" spans="9:12" ht="12.6" hidden="1">
      <c r="I415" s="65"/>
      <c r="J415" s="65"/>
      <c r="K415" s="65"/>
      <c r="L415" s="65"/>
    </row>
    <row r="416" spans="9:12" ht="12.6" hidden="1">
      <c r="I416" s="65"/>
      <c r="J416" s="65"/>
      <c r="K416" s="65"/>
      <c r="L416" s="65"/>
    </row>
    <row r="417" spans="9:12" ht="12.6" hidden="1">
      <c r="I417" s="65"/>
      <c r="J417" s="65"/>
      <c r="K417" s="65"/>
      <c r="L417" s="65"/>
    </row>
    <row r="418" spans="9:12" ht="12.6" hidden="1">
      <c r="I418" s="65"/>
      <c r="J418" s="65"/>
      <c r="K418" s="65"/>
      <c r="L418" s="65"/>
    </row>
    <row r="419" spans="9:12" ht="12.6" hidden="1">
      <c r="I419" s="65"/>
      <c r="J419" s="65"/>
      <c r="K419" s="65"/>
      <c r="L419" s="65"/>
    </row>
    <row r="420" spans="9:12" ht="12.6" hidden="1">
      <c r="I420" s="65"/>
      <c r="J420" s="65"/>
      <c r="K420" s="65"/>
      <c r="L420" s="65"/>
    </row>
    <row r="421" spans="9:12" ht="12.6" hidden="1">
      <c r="I421" s="65"/>
      <c r="J421" s="65"/>
      <c r="K421" s="65"/>
      <c r="L421" s="65"/>
    </row>
    <row r="422" spans="9:12" ht="12.6" hidden="1">
      <c r="I422" s="65"/>
      <c r="J422" s="65"/>
      <c r="K422" s="65"/>
      <c r="L422" s="65"/>
    </row>
    <row r="423" spans="9:12" ht="12.6" hidden="1">
      <c r="I423" s="65"/>
      <c r="J423" s="65"/>
      <c r="K423" s="65"/>
      <c r="L423" s="65"/>
    </row>
    <row r="424" spans="9:12" ht="12.6" hidden="1">
      <c r="I424" s="65"/>
      <c r="J424" s="65"/>
      <c r="K424" s="65"/>
      <c r="L424" s="65"/>
    </row>
    <row r="425" spans="9:12" ht="12.6" hidden="1">
      <c r="I425" s="65"/>
      <c r="J425" s="65"/>
      <c r="K425" s="65"/>
      <c r="L425" s="65"/>
    </row>
    <row r="426" spans="9:12" ht="12.6" hidden="1">
      <c r="I426" s="65"/>
      <c r="J426" s="65"/>
      <c r="K426" s="65"/>
      <c r="L426" s="65"/>
    </row>
    <row r="427" spans="9:12" ht="12.6" hidden="1">
      <c r="I427" s="65"/>
      <c r="J427" s="65"/>
      <c r="K427" s="65"/>
      <c r="L427" s="65"/>
    </row>
    <row r="428" spans="9:12" ht="12.6" hidden="1">
      <c r="I428" s="65"/>
      <c r="J428" s="65"/>
      <c r="K428" s="65"/>
      <c r="L428" s="65"/>
    </row>
    <row r="429" spans="9:12" ht="12.6" hidden="1">
      <c r="I429" s="65"/>
      <c r="J429" s="65"/>
      <c r="K429" s="65"/>
      <c r="L429" s="65"/>
    </row>
    <row r="430" spans="9:12" ht="12.6" hidden="1">
      <c r="I430" s="65"/>
      <c r="J430" s="65"/>
      <c r="K430" s="65"/>
      <c r="L430" s="65"/>
    </row>
    <row r="431" spans="9:12" ht="12.6" hidden="1">
      <c r="I431" s="65"/>
      <c r="J431" s="65"/>
      <c r="K431" s="65"/>
      <c r="L431" s="65"/>
    </row>
    <row r="432" spans="9:12" ht="12.6" hidden="1">
      <c r="I432" s="65"/>
      <c r="J432" s="65"/>
      <c r="K432" s="65"/>
      <c r="L432" s="65"/>
    </row>
    <row r="433" spans="9:12" ht="12.6" hidden="1">
      <c r="I433" s="65"/>
      <c r="J433" s="65"/>
      <c r="K433" s="65"/>
      <c r="L433" s="65"/>
    </row>
    <row r="434" spans="9:12" ht="12.6" hidden="1">
      <c r="I434" s="65"/>
      <c r="J434" s="65"/>
      <c r="K434" s="65"/>
      <c r="L434" s="65"/>
    </row>
    <row r="435" spans="9:12" ht="12.6" hidden="1">
      <c r="I435" s="65"/>
      <c r="J435" s="65"/>
      <c r="K435" s="65"/>
      <c r="L435" s="65"/>
    </row>
    <row r="436" spans="9:12" ht="12.6" hidden="1">
      <c r="I436" s="65"/>
      <c r="J436" s="65"/>
      <c r="K436" s="65"/>
      <c r="L436" s="65"/>
    </row>
    <row r="437" spans="9:12" ht="12.6" hidden="1">
      <c r="I437" s="65"/>
      <c r="J437" s="65"/>
      <c r="K437" s="65"/>
      <c r="L437" s="65"/>
    </row>
    <row r="438" spans="9:12" ht="12.6" hidden="1">
      <c r="I438" s="65"/>
      <c r="J438" s="65"/>
      <c r="K438" s="65"/>
      <c r="L438" s="65"/>
    </row>
    <row r="439" spans="9:12" ht="12.6" hidden="1">
      <c r="I439" s="65"/>
      <c r="J439" s="65"/>
      <c r="K439" s="65"/>
      <c r="L439" s="65"/>
    </row>
    <row r="440" spans="9:12" ht="12.6" hidden="1">
      <c r="I440" s="65"/>
      <c r="J440" s="65"/>
      <c r="K440" s="65"/>
      <c r="L440" s="65"/>
    </row>
    <row r="441" spans="9:12" ht="12.6" hidden="1">
      <c r="I441" s="65"/>
      <c r="J441" s="65"/>
      <c r="K441" s="65"/>
      <c r="L441" s="65"/>
    </row>
    <row r="442" spans="9:12" ht="12.6" hidden="1">
      <c r="I442" s="65"/>
      <c r="J442" s="65"/>
      <c r="K442" s="65"/>
      <c r="L442" s="65"/>
    </row>
    <row r="443" spans="9:12" ht="12.6" hidden="1">
      <c r="I443" s="65"/>
      <c r="J443" s="65"/>
      <c r="K443" s="65"/>
      <c r="L443" s="65"/>
    </row>
    <row r="444" spans="9:12" ht="12.6" hidden="1">
      <c r="I444" s="65"/>
      <c r="J444" s="65"/>
      <c r="K444" s="65"/>
      <c r="L444" s="65"/>
    </row>
    <row r="445" spans="9:12" ht="12.6" hidden="1">
      <c r="I445" s="65"/>
      <c r="J445" s="65"/>
      <c r="K445" s="65"/>
      <c r="L445" s="65"/>
    </row>
    <row r="446" spans="9:12" ht="12.6" hidden="1">
      <c r="I446" s="65"/>
      <c r="J446" s="65"/>
      <c r="K446" s="65"/>
      <c r="L446" s="65"/>
    </row>
    <row r="447" spans="9:12" ht="12.6" hidden="1">
      <c r="I447" s="65"/>
      <c r="J447" s="65"/>
      <c r="K447" s="65"/>
      <c r="L447" s="65"/>
    </row>
    <row r="448" spans="9:12" ht="12.6" hidden="1">
      <c r="I448" s="65"/>
      <c r="J448" s="65"/>
      <c r="K448" s="65"/>
      <c r="L448" s="65"/>
    </row>
    <row r="449" spans="9:12" ht="12.6" hidden="1">
      <c r="I449" s="65"/>
      <c r="J449" s="65"/>
      <c r="K449" s="65"/>
      <c r="L449" s="65"/>
    </row>
    <row r="450" spans="9:12" ht="12.6" hidden="1">
      <c r="I450" s="65"/>
      <c r="J450" s="65"/>
      <c r="K450" s="65"/>
      <c r="L450" s="65"/>
    </row>
    <row r="451" spans="9:12" ht="12.6" hidden="1">
      <c r="I451" s="65"/>
      <c r="J451" s="65"/>
      <c r="K451" s="65"/>
      <c r="L451" s="65"/>
    </row>
    <row r="452" spans="9:12" ht="12.6" hidden="1">
      <c r="I452" s="65"/>
      <c r="J452" s="65"/>
      <c r="K452" s="65"/>
      <c r="L452" s="65"/>
    </row>
    <row r="453" spans="9:12" ht="12.6" hidden="1">
      <c r="I453" s="65"/>
      <c r="J453" s="65"/>
      <c r="K453" s="65"/>
      <c r="L453" s="65"/>
    </row>
    <row r="454" spans="9:12" ht="12.6" hidden="1">
      <c r="I454" s="65"/>
      <c r="J454" s="65"/>
      <c r="K454" s="65"/>
      <c r="L454" s="65"/>
    </row>
    <row r="455" spans="9:12" ht="12.6" hidden="1">
      <c r="I455" s="65"/>
      <c r="J455" s="65"/>
      <c r="K455" s="65"/>
      <c r="L455" s="65"/>
    </row>
    <row r="456" spans="9:12" ht="12.6" hidden="1">
      <c r="I456" s="65"/>
      <c r="J456" s="65"/>
      <c r="K456" s="65"/>
      <c r="L456" s="65"/>
    </row>
    <row r="457" spans="9:12" ht="12.6" hidden="1">
      <c r="I457" s="65"/>
      <c r="J457" s="65"/>
      <c r="K457" s="65"/>
      <c r="L457" s="65"/>
    </row>
    <row r="458" spans="9:12" ht="12.6" hidden="1">
      <c r="I458" s="65"/>
      <c r="J458" s="65"/>
      <c r="K458" s="65"/>
      <c r="L458" s="65"/>
    </row>
    <row r="459" spans="9:12" ht="12.6" hidden="1">
      <c r="I459" s="65"/>
      <c r="J459" s="65"/>
      <c r="K459" s="65"/>
      <c r="L459" s="65"/>
    </row>
    <row r="460" spans="9:12" ht="12.6" hidden="1">
      <c r="I460" s="65"/>
      <c r="J460" s="65"/>
      <c r="K460" s="65"/>
      <c r="L460" s="65"/>
    </row>
    <row r="461" spans="9:12" ht="12.6" hidden="1">
      <c r="I461" s="65"/>
      <c r="J461" s="65"/>
      <c r="K461" s="65"/>
      <c r="L461" s="65"/>
    </row>
    <row r="462" spans="9:12" ht="12.6" hidden="1">
      <c r="I462" s="65"/>
      <c r="J462" s="65"/>
      <c r="K462" s="65"/>
      <c r="L462" s="65"/>
    </row>
    <row r="463" spans="9:12" ht="12.6" hidden="1">
      <c r="I463" s="65"/>
      <c r="J463" s="65"/>
      <c r="K463" s="65"/>
      <c r="L463" s="65"/>
    </row>
    <row r="464" spans="9:12" ht="12.6" hidden="1">
      <c r="I464" s="65"/>
      <c r="J464" s="65"/>
      <c r="K464" s="65"/>
      <c r="L464" s="65"/>
    </row>
    <row r="465" spans="9:12" ht="12.6" hidden="1">
      <c r="I465" s="65"/>
      <c r="J465" s="65"/>
      <c r="K465" s="65"/>
      <c r="L465" s="65"/>
    </row>
    <row r="466" spans="9:12" ht="12.6" hidden="1">
      <c r="I466" s="65"/>
      <c r="J466" s="65"/>
      <c r="K466" s="65"/>
      <c r="L466" s="65"/>
    </row>
    <row r="467" spans="9:12" ht="12.6" hidden="1">
      <c r="I467" s="65"/>
      <c r="J467" s="65"/>
      <c r="K467" s="65"/>
      <c r="L467" s="65"/>
    </row>
    <row r="468" spans="9:12" ht="12.6" hidden="1">
      <c r="I468" s="65"/>
      <c r="J468" s="65"/>
      <c r="K468" s="65"/>
      <c r="L468" s="65"/>
    </row>
    <row r="469" spans="9:12" ht="12.6" hidden="1">
      <c r="I469" s="65"/>
      <c r="J469" s="65"/>
      <c r="K469" s="65"/>
      <c r="L469" s="65"/>
    </row>
    <row r="470" spans="9:12" ht="12.6" hidden="1">
      <c r="I470" s="65"/>
      <c r="J470" s="65"/>
      <c r="K470" s="65"/>
      <c r="L470" s="65"/>
    </row>
    <row r="471" spans="9:12" ht="12.6" hidden="1">
      <c r="I471" s="65"/>
      <c r="J471" s="65"/>
      <c r="K471" s="65"/>
      <c r="L471" s="65"/>
    </row>
    <row r="472" spans="9:12" ht="12.6" hidden="1">
      <c r="I472" s="65"/>
      <c r="J472" s="65"/>
      <c r="K472" s="65"/>
      <c r="L472" s="65"/>
    </row>
    <row r="473" spans="9:12" ht="12.6" hidden="1">
      <c r="I473" s="65"/>
      <c r="J473" s="65"/>
      <c r="K473" s="65"/>
      <c r="L473" s="65"/>
    </row>
    <row r="474" spans="9:12" ht="12.6" hidden="1">
      <c r="I474" s="65"/>
      <c r="J474" s="65"/>
      <c r="K474" s="65"/>
      <c r="L474" s="65"/>
    </row>
    <row r="475" spans="9:12" ht="12.6" hidden="1">
      <c r="I475" s="65"/>
      <c r="J475" s="65"/>
      <c r="K475" s="65"/>
      <c r="L475" s="65"/>
    </row>
    <row r="476" spans="9:12" ht="12.6" hidden="1">
      <c r="I476" s="65"/>
      <c r="J476" s="65"/>
      <c r="K476" s="65"/>
      <c r="L476" s="65"/>
    </row>
    <row r="477" spans="9:12" ht="12.6" hidden="1">
      <c r="I477" s="65"/>
      <c r="J477" s="65"/>
      <c r="K477" s="65"/>
      <c r="L477" s="65"/>
    </row>
    <row r="478" spans="9:12" ht="12.6" hidden="1">
      <c r="I478" s="65"/>
      <c r="J478" s="65"/>
      <c r="K478" s="65"/>
      <c r="L478" s="65"/>
    </row>
    <row r="479" spans="9:12" ht="12.6" hidden="1">
      <c r="I479" s="65"/>
      <c r="J479" s="65"/>
      <c r="K479" s="65"/>
      <c r="L479" s="65"/>
    </row>
    <row r="480" spans="9:12" ht="12.6" hidden="1">
      <c r="I480" s="65"/>
      <c r="J480" s="65"/>
      <c r="K480" s="65"/>
      <c r="L480" s="65"/>
    </row>
    <row r="481" spans="9:12" ht="12.6" hidden="1">
      <c r="I481" s="65"/>
      <c r="J481" s="65"/>
      <c r="K481" s="65"/>
      <c r="L481" s="65"/>
    </row>
    <row r="482" spans="9:12" ht="12.6" hidden="1">
      <c r="I482" s="65"/>
      <c r="J482" s="65"/>
      <c r="K482" s="65"/>
      <c r="L482" s="65"/>
    </row>
    <row r="483" spans="9:12" ht="12.6" hidden="1">
      <c r="I483" s="65"/>
      <c r="J483" s="65"/>
      <c r="K483" s="65"/>
      <c r="L483" s="65"/>
    </row>
    <row r="484" spans="9:12" ht="12.6" hidden="1">
      <c r="I484" s="65"/>
      <c r="J484" s="65"/>
      <c r="K484" s="65"/>
      <c r="L484" s="65"/>
    </row>
    <row r="485" spans="9:12" ht="12.6" hidden="1">
      <c r="I485" s="65"/>
      <c r="J485" s="65"/>
      <c r="K485" s="65"/>
      <c r="L485" s="65"/>
    </row>
    <row r="486" spans="9:12" ht="12.6" hidden="1">
      <c r="I486" s="65"/>
      <c r="J486" s="65"/>
      <c r="K486" s="65"/>
      <c r="L486" s="65"/>
    </row>
    <row r="487" spans="9:12" ht="12.6" hidden="1">
      <c r="I487" s="65"/>
      <c r="J487" s="65"/>
      <c r="K487" s="65"/>
      <c r="L487" s="65"/>
    </row>
    <row r="488" spans="9:12" ht="12.6" hidden="1">
      <c r="I488" s="65"/>
      <c r="J488" s="65"/>
      <c r="K488" s="65"/>
      <c r="L488" s="65"/>
    </row>
    <row r="489" spans="9:12" ht="12.6" hidden="1">
      <c r="I489" s="65"/>
      <c r="J489" s="65"/>
      <c r="K489" s="65"/>
      <c r="L489" s="65"/>
    </row>
    <row r="490" spans="9:12" ht="12.6" hidden="1">
      <c r="I490" s="65"/>
      <c r="J490" s="65"/>
      <c r="K490" s="65"/>
      <c r="L490" s="65"/>
    </row>
    <row r="491" spans="9:12" ht="12.6" hidden="1">
      <c r="I491" s="65"/>
      <c r="J491" s="65"/>
      <c r="K491" s="65"/>
      <c r="L491" s="65"/>
    </row>
    <row r="492" spans="9:12" ht="12.6" hidden="1">
      <c r="I492" s="65"/>
      <c r="J492" s="65"/>
      <c r="K492" s="65"/>
      <c r="L492" s="65"/>
    </row>
    <row r="493" spans="9:12" ht="12.6" hidden="1">
      <c r="I493" s="65"/>
      <c r="J493" s="65"/>
      <c r="K493" s="65"/>
      <c r="L493" s="65"/>
    </row>
    <row r="494" spans="9:12" ht="12.6" hidden="1">
      <c r="I494" s="65"/>
      <c r="J494" s="65"/>
      <c r="K494" s="65"/>
      <c r="L494" s="65"/>
    </row>
    <row r="495" spans="9:12" ht="12.6" hidden="1">
      <c r="I495" s="65"/>
      <c r="J495" s="65"/>
      <c r="K495" s="65"/>
      <c r="L495" s="65"/>
    </row>
    <row r="496" spans="9:12" ht="12.6" hidden="1">
      <c r="I496" s="65"/>
      <c r="J496" s="65"/>
      <c r="K496" s="65"/>
      <c r="L496" s="65"/>
    </row>
    <row r="497" spans="9:12" ht="12.6" hidden="1">
      <c r="I497" s="65"/>
      <c r="J497" s="65"/>
      <c r="K497" s="65"/>
      <c r="L497" s="65"/>
    </row>
    <row r="498" spans="9:12" ht="12.6" hidden="1">
      <c r="I498" s="65"/>
      <c r="J498" s="65"/>
      <c r="K498" s="65"/>
      <c r="L498" s="65"/>
    </row>
    <row r="499" spans="9:12" ht="12.6" hidden="1">
      <c r="I499" s="65"/>
      <c r="J499" s="65"/>
      <c r="K499" s="65"/>
      <c r="L499" s="65"/>
    </row>
    <row r="500" spans="9:12" ht="12.6" hidden="1">
      <c r="I500" s="65"/>
      <c r="J500" s="65"/>
      <c r="K500" s="65"/>
      <c r="L500" s="65"/>
    </row>
    <row r="501" spans="9:12" ht="12.6" hidden="1">
      <c r="I501" s="65"/>
      <c r="J501" s="65"/>
      <c r="K501" s="65"/>
      <c r="L501" s="65"/>
    </row>
    <row r="502" spans="9:12" ht="12.6" hidden="1">
      <c r="I502" s="65"/>
      <c r="J502" s="65"/>
      <c r="K502" s="65"/>
      <c r="L502" s="65"/>
    </row>
    <row r="503" spans="9:12" ht="12.6" hidden="1">
      <c r="I503" s="65"/>
      <c r="J503" s="65"/>
      <c r="K503" s="65"/>
      <c r="L503" s="65"/>
    </row>
    <row r="504" spans="9:12" ht="12.6" hidden="1">
      <c r="I504" s="65"/>
      <c r="J504" s="65"/>
      <c r="K504" s="65"/>
      <c r="L504" s="65"/>
    </row>
    <row r="505" spans="9:12" ht="12.6" hidden="1">
      <c r="I505" s="65"/>
      <c r="J505" s="65"/>
      <c r="K505" s="65"/>
      <c r="L505" s="65"/>
    </row>
    <row r="506" spans="9:12" ht="12.6" hidden="1">
      <c r="I506" s="65"/>
      <c r="J506" s="65"/>
      <c r="K506" s="65"/>
      <c r="L506" s="65"/>
    </row>
    <row r="507" spans="9:12" ht="12.6" hidden="1">
      <c r="I507" s="65"/>
      <c r="J507" s="65"/>
      <c r="K507" s="65"/>
      <c r="L507" s="65"/>
    </row>
    <row r="508" spans="9:12" ht="12.6" hidden="1">
      <c r="I508" s="65"/>
      <c r="J508" s="65"/>
      <c r="K508" s="65"/>
      <c r="L508" s="65"/>
    </row>
    <row r="509" spans="9:12" ht="12.6" hidden="1">
      <c r="I509" s="65"/>
      <c r="J509" s="65"/>
      <c r="K509" s="65"/>
      <c r="L509" s="65"/>
    </row>
    <row r="510" spans="9:12" ht="12.6" hidden="1">
      <c r="I510" s="65"/>
      <c r="J510" s="65"/>
      <c r="K510" s="65"/>
      <c r="L510" s="65"/>
    </row>
    <row r="511" spans="9:12" ht="12.6" hidden="1">
      <c r="I511" s="65"/>
      <c r="J511" s="65"/>
      <c r="K511" s="65"/>
      <c r="L511" s="65"/>
    </row>
    <row r="512" spans="9:12" ht="12.6" hidden="1">
      <c r="I512" s="65"/>
      <c r="J512" s="65"/>
      <c r="K512" s="65"/>
      <c r="L512" s="65"/>
    </row>
    <row r="513" spans="9:12" ht="12.6" hidden="1">
      <c r="I513" s="65"/>
      <c r="J513" s="65"/>
      <c r="K513" s="65"/>
      <c r="L513" s="65"/>
    </row>
    <row r="514" spans="9:12" ht="12.6" hidden="1">
      <c r="I514" s="65"/>
      <c r="J514" s="65"/>
      <c r="K514" s="65"/>
      <c r="L514" s="65"/>
    </row>
    <row r="515" spans="9:12" ht="12.6" hidden="1">
      <c r="I515" s="65"/>
      <c r="J515" s="65"/>
      <c r="K515" s="65"/>
      <c r="L515" s="65"/>
    </row>
    <row r="516" spans="9:12" ht="12.6" hidden="1">
      <c r="I516" s="65"/>
      <c r="J516" s="65"/>
      <c r="K516" s="65"/>
      <c r="L516" s="65"/>
    </row>
    <row r="517" spans="9:12" ht="12.6" hidden="1">
      <c r="I517" s="65"/>
      <c r="J517" s="65"/>
      <c r="K517" s="65"/>
      <c r="L517" s="65"/>
    </row>
    <row r="518" spans="9:12" ht="12.6" hidden="1">
      <c r="I518" s="65"/>
      <c r="J518" s="65"/>
      <c r="K518" s="65"/>
      <c r="L518" s="65"/>
    </row>
    <row r="519" spans="9:12" ht="12.6" hidden="1">
      <c r="I519" s="65"/>
      <c r="J519" s="65"/>
      <c r="K519" s="65"/>
      <c r="L519" s="65"/>
    </row>
    <row r="520" spans="9:12" ht="12.6" hidden="1">
      <c r="I520" s="65"/>
      <c r="J520" s="65"/>
      <c r="K520" s="65"/>
      <c r="L520" s="65"/>
    </row>
    <row r="521" spans="9:12" ht="12.6" hidden="1">
      <c r="I521" s="65"/>
      <c r="J521" s="65"/>
      <c r="K521" s="65"/>
      <c r="L521" s="65"/>
    </row>
    <row r="522" spans="9:12" ht="12.6" hidden="1">
      <c r="I522" s="65"/>
      <c r="J522" s="65"/>
      <c r="K522" s="65"/>
      <c r="L522" s="65"/>
    </row>
    <row r="523" spans="9:12" ht="12.6" hidden="1">
      <c r="I523" s="65"/>
      <c r="J523" s="65"/>
      <c r="K523" s="65"/>
      <c r="L523" s="65"/>
    </row>
    <row r="524" spans="9:12" ht="12.6" hidden="1">
      <c r="I524" s="65"/>
      <c r="J524" s="65"/>
      <c r="K524" s="65"/>
      <c r="L524" s="65"/>
    </row>
    <row r="525" spans="9:12" ht="12.6" hidden="1">
      <c r="I525" s="65"/>
      <c r="J525" s="65"/>
      <c r="K525" s="65"/>
      <c r="L525" s="65"/>
    </row>
    <row r="526" spans="9:12" ht="12.6" hidden="1">
      <c r="I526" s="65"/>
      <c r="J526" s="65"/>
      <c r="K526" s="65"/>
      <c r="L526" s="65"/>
    </row>
    <row r="527" spans="9:12" ht="12.6" hidden="1">
      <c r="I527" s="65"/>
      <c r="J527" s="65"/>
      <c r="K527" s="65"/>
      <c r="L527" s="65"/>
    </row>
    <row r="528" spans="9:12" ht="12.6" hidden="1">
      <c r="I528" s="65"/>
      <c r="J528" s="65"/>
      <c r="K528" s="65"/>
      <c r="L528" s="65"/>
    </row>
    <row r="529" spans="9:12" ht="12.6" hidden="1">
      <c r="I529" s="65"/>
      <c r="J529" s="65"/>
      <c r="K529" s="65"/>
      <c r="L529" s="65"/>
    </row>
    <row r="530" spans="9:12" ht="12.6" hidden="1">
      <c r="I530" s="65"/>
      <c r="J530" s="65"/>
      <c r="K530" s="65"/>
      <c r="L530" s="65"/>
    </row>
    <row r="531" spans="9:12" ht="12.6" hidden="1">
      <c r="I531" s="65"/>
      <c r="J531" s="65"/>
      <c r="K531" s="65"/>
      <c r="L531" s="65"/>
    </row>
    <row r="532" spans="9:12" ht="12.6" hidden="1">
      <c r="I532" s="65"/>
      <c r="J532" s="65"/>
      <c r="K532" s="65"/>
      <c r="L532" s="65"/>
    </row>
    <row r="533" spans="9:12" ht="12.6" hidden="1">
      <c r="I533" s="65"/>
      <c r="J533" s="65"/>
      <c r="K533" s="65"/>
      <c r="L533" s="65"/>
    </row>
    <row r="534" spans="9:12" ht="12.6" hidden="1">
      <c r="I534" s="65"/>
      <c r="J534" s="65"/>
      <c r="K534" s="65"/>
      <c r="L534" s="65"/>
    </row>
    <row r="535" spans="9:12" ht="12.6" hidden="1">
      <c r="I535" s="65"/>
      <c r="J535" s="65"/>
      <c r="K535" s="65"/>
      <c r="L535" s="65"/>
    </row>
    <row r="536" spans="9:12" ht="12.6" hidden="1">
      <c r="I536" s="65"/>
      <c r="J536" s="65"/>
      <c r="K536" s="65"/>
      <c r="L536" s="65"/>
    </row>
    <row r="537" spans="9:12" ht="12.6" hidden="1">
      <c r="I537" s="65"/>
      <c r="J537" s="65"/>
      <c r="K537" s="65"/>
      <c r="L537" s="65"/>
    </row>
    <row r="538" spans="9:12" ht="12.6" hidden="1">
      <c r="I538" s="65"/>
      <c r="J538" s="65"/>
      <c r="K538" s="65"/>
      <c r="L538" s="65"/>
    </row>
    <row r="539" spans="9:12" ht="12.6" hidden="1">
      <c r="I539" s="65"/>
      <c r="J539" s="65"/>
      <c r="K539" s="65"/>
      <c r="L539" s="65"/>
    </row>
    <row r="540" spans="9:12" ht="12.6" hidden="1">
      <c r="I540" s="65"/>
      <c r="J540" s="65"/>
      <c r="K540" s="65"/>
      <c r="L540" s="65"/>
    </row>
    <row r="541" spans="9:12" ht="12.6" hidden="1">
      <c r="I541" s="65"/>
      <c r="J541" s="65"/>
      <c r="K541" s="65"/>
      <c r="L541" s="65"/>
    </row>
    <row r="542" spans="9:12" ht="12.6" hidden="1">
      <c r="I542" s="65"/>
      <c r="J542" s="65"/>
      <c r="K542" s="65"/>
      <c r="L542" s="65"/>
    </row>
    <row r="543" spans="9:12" ht="12.6" hidden="1">
      <c r="I543" s="65"/>
      <c r="J543" s="65"/>
      <c r="K543" s="65"/>
      <c r="L543" s="65"/>
    </row>
    <row r="544" spans="9:12" ht="12.6" hidden="1">
      <c r="I544" s="65"/>
      <c r="J544" s="65"/>
      <c r="K544" s="65"/>
      <c r="L544" s="65"/>
    </row>
    <row r="545" spans="9:12" ht="12.6" hidden="1">
      <c r="I545" s="65"/>
      <c r="J545" s="65"/>
      <c r="K545" s="65"/>
      <c r="L545" s="65"/>
    </row>
    <row r="546" spans="9:12" ht="12.6" hidden="1">
      <c r="I546" s="65"/>
      <c r="J546" s="65"/>
      <c r="K546" s="65"/>
      <c r="L546" s="65"/>
    </row>
    <row r="547" spans="9:12" ht="12.6" hidden="1">
      <c r="I547" s="65"/>
      <c r="J547" s="65"/>
      <c r="K547" s="65"/>
      <c r="L547" s="65"/>
    </row>
    <row r="548" spans="9:12" ht="12.6" hidden="1">
      <c r="I548" s="65"/>
      <c r="J548" s="65"/>
      <c r="K548" s="65"/>
      <c r="L548" s="65"/>
    </row>
    <row r="549" spans="9:12" ht="12.6" hidden="1">
      <c r="I549" s="65"/>
      <c r="J549" s="65"/>
      <c r="K549" s="65"/>
      <c r="L549" s="65"/>
    </row>
    <row r="550" spans="9:12" ht="12.6" hidden="1">
      <c r="I550" s="65"/>
      <c r="J550" s="65"/>
      <c r="K550" s="65"/>
      <c r="L550" s="65"/>
    </row>
    <row r="551" spans="9:12" ht="12.6" hidden="1">
      <c r="I551" s="65"/>
      <c r="J551" s="65"/>
      <c r="K551" s="65"/>
      <c r="L551" s="65"/>
    </row>
    <row r="552" spans="9:12" ht="12.6" hidden="1">
      <c r="I552" s="65"/>
      <c r="J552" s="65"/>
      <c r="K552" s="65"/>
      <c r="L552" s="65"/>
    </row>
    <row r="553" spans="9:12" ht="12.6" hidden="1">
      <c r="I553" s="65"/>
      <c r="J553" s="65"/>
      <c r="K553" s="65"/>
      <c r="L553" s="65"/>
    </row>
    <row r="554" spans="9:12" ht="12.6" hidden="1">
      <c r="I554" s="65"/>
      <c r="J554" s="65"/>
      <c r="K554" s="65"/>
      <c r="L554" s="65"/>
    </row>
    <row r="555" spans="9:12" ht="12.6" hidden="1">
      <c r="I555" s="65"/>
      <c r="J555" s="65"/>
      <c r="K555" s="65"/>
      <c r="L555" s="65"/>
    </row>
    <row r="556" spans="9:12" ht="12.6" hidden="1">
      <c r="I556" s="65"/>
      <c r="J556" s="65"/>
      <c r="K556" s="65"/>
      <c r="L556" s="65"/>
    </row>
    <row r="557" spans="9:12" ht="12.6" hidden="1">
      <c r="I557" s="65"/>
      <c r="J557" s="65"/>
      <c r="K557" s="65"/>
      <c r="L557" s="65"/>
    </row>
    <row r="558" spans="9:12" ht="12.6" hidden="1">
      <c r="I558" s="65"/>
      <c r="J558" s="65"/>
      <c r="K558" s="65"/>
      <c r="L558" s="65"/>
    </row>
    <row r="559" spans="9:12" ht="12.6" hidden="1">
      <c r="I559" s="65"/>
      <c r="J559" s="65"/>
      <c r="K559" s="65"/>
      <c r="L559" s="65"/>
    </row>
    <row r="560" spans="9:12" ht="12.6" hidden="1">
      <c r="I560" s="65"/>
      <c r="J560" s="65"/>
      <c r="K560" s="65"/>
      <c r="L560" s="65"/>
    </row>
    <row r="561" spans="9:12" ht="12.6" hidden="1">
      <c r="I561" s="65"/>
      <c r="J561" s="65"/>
      <c r="K561" s="65"/>
      <c r="L561" s="65"/>
    </row>
    <row r="562" spans="9:12" ht="12.6" hidden="1">
      <c r="I562" s="65"/>
      <c r="J562" s="65"/>
      <c r="K562" s="65"/>
      <c r="L562" s="65"/>
    </row>
    <row r="563" spans="9:12" ht="12.6" hidden="1">
      <c r="I563" s="65"/>
      <c r="J563" s="65"/>
      <c r="K563" s="65"/>
      <c r="L563" s="65"/>
    </row>
    <row r="564" spans="9:12" ht="12.6" hidden="1">
      <c r="I564" s="65"/>
      <c r="J564" s="65"/>
      <c r="K564" s="65"/>
      <c r="L564" s="65"/>
    </row>
    <row r="565" spans="9:12" ht="12.6" hidden="1">
      <c r="I565" s="65"/>
      <c r="J565" s="65"/>
      <c r="K565" s="65"/>
      <c r="L565" s="65"/>
    </row>
    <row r="566" spans="9:12" ht="12.6" hidden="1">
      <c r="I566" s="65"/>
      <c r="J566" s="65"/>
      <c r="K566" s="65"/>
      <c r="L566" s="65"/>
    </row>
    <row r="567" spans="9:12" ht="12.6" hidden="1">
      <c r="I567" s="65"/>
      <c r="J567" s="65"/>
      <c r="K567" s="65"/>
      <c r="L567" s="65"/>
    </row>
    <row r="568" spans="9:12" ht="12.6" hidden="1">
      <c r="I568" s="65"/>
      <c r="J568" s="65"/>
      <c r="K568" s="65"/>
      <c r="L568" s="65"/>
    </row>
    <row r="569" spans="9:12" ht="12.6" hidden="1">
      <c r="I569" s="65"/>
      <c r="J569" s="65"/>
      <c r="K569" s="65"/>
      <c r="L569" s="65"/>
    </row>
    <row r="570" spans="9:12" ht="12.6" hidden="1">
      <c r="I570" s="65"/>
      <c r="J570" s="65"/>
      <c r="K570" s="65"/>
      <c r="L570" s="65"/>
    </row>
    <row r="571" spans="9:12" ht="12.6" hidden="1">
      <c r="I571" s="65"/>
      <c r="J571" s="65"/>
      <c r="K571" s="65"/>
      <c r="L571" s="65"/>
    </row>
    <row r="572" spans="9:12" ht="12.6" hidden="1">
      <c r="I572" s="65"/>
      <c r="J572" s="65"/>
      <c r="K572" s="65"/>
      <c r="L572" s="65"/>
    </row>
    <row r="573" spans="9:12" ht="12.6" hidden="1">
      <c r="I573" s="65"/>
      <c r="J573" s="65"/>
      <c r="K573" s="65"/>
      <c r="L573" s="65"/>
    </row>
    <row r="574" spans="9:12" ht="12.6" hidden="1">
      <c r="I574" s="65"/>
      <c r="J574" s="65"/>
      <c r="K574" s="65"/>
      <c r="L574" s="65"/>
    </row>
    <row r="575" spans="9:12" ht="12.6" hidden="1">
      <c r="I575" s="65"/>
      <c r="J575" s="65"/>
      <c r="K575" s="65"/>
      <c r="L575" s="65"/>
    </row>
    <row r="576" spans="9:12" ht="12.6" hidden="1">
      <c r="I576" s="65"/>
      <c r="J576" s="65"/>
      <c r="K576" s="65"/>
      <c r="L576" s="65"/>
    </row>
    <row r="577" spans="9:12" ht="12.6" hidden="1">
      <c r="I577" s="65"/>
      <c r="J577" s="65"/>
      <c r="K577" s="65"/>
      <c r="L577" s="65"/>
    </row>
    <row r="578" spans="9:12" ht="12.6" hidden="1">
      <c r="I578" s="65"/>
      <c r="J578" s="65"/>
      <c r="K578" s="65"/>
      <c r="L578" s="65"/>
    </row>
    <row r="579" spans="9:12" ht="12.6" hidden="1">
      <c r="I579" s="65"/>
      <c r="J579" s="65"/>
      <c r="K579" s="65"/>
      <c r="L579" s="65"/>
    </row>
    <row r="580" spans="9:12" ht="12.6" hidden="1">
      <c r="I580" s="65"/>
      <c r="J580" s="65"/>
      <c r="K580" s="65"/>
      <c r="L580" s="65"/>
    </row>
    <row r="581" spans="9:12" ht="12.6" hidden="1">
      <c r="I581" s="65"/>
      <c r="J581" s="65"/>
      <c r="K581" s="65"/>
      <c r="L581" s="65"/>
    </row>
    <row r="582" spans="9:12" ht="12.6" hidden="1">
      <c r="I582" s="65"/>
      <c r="J582" s="65"/>
      <c r="K582" s="65"/>
      <c r="L582" s="65"/>
    </row>
    <row r="583" spans="9:12" ht="12.6" hidden="1">
      <c r="I583" s="65"/>
      <c r="J583" s="65"/>
      <c r="K583" s="65"/>
      <c r="L583" s="65"/>
    </row>
    <row r="584" spans="9:12" ht="12.6" hidden="1">
      <c r="I584" s="65"/>
      <c r="J584" s="65"/>
      <c r="K584" s="65"/>
      <c r="L584" s="65"/>
    </row>
    <row r="585" spans="9:12" ht="12.6" hidden="1">
      <c r="I585" s="65"/>
      <c r="J585" s="65"/>
      <c r="K585" s="65"/>
      <c r="L585" s="65"/>
    </row>
    <row r="586" spans="9:12" ht="12.6" hidden="1">
      <c r="I586" s="65"/>
      <c r="J586" s="65"/>
      <c r="K586" s="65"/>
      <c r="L586" s="65"/>
    </row>
    <row r="587" spans="9:12" ht="12.6" hidden="1">
      <c r="I587" s="65"/>
      <c r="J587" s="65"/>
      <c r="K587" s="65"/>
      <c r="L587" s="65"/>
    </row>
    <row r="588" spans="9:12" ht="12.6" hidden="1">
      <c r="I588" s="65"/>
      <c r="J588" s="65"/>
      <c r="K588" s="65"/>
      <c r="L588" s="65"/>
    </row>
    <row r="589" spans="9:12" ht="12.6" hidden="1">
      <c r="I589" s="65"/>
      <c r="J589" s="65"/>
      <c r="K589" s="65"/>
      <c r="L589" s="65"/>
    </row>
    <row r="590" spans="9:12" ht="12.6" hidden="1">
      <c r="I590" s="65"/>
      <c r="J590" s="65"/>
      <c r="K590" s="65"/>
      <c r="L590" s="65"/>
    </row>
    <row r="591" spans="9:12" ht="12.6" hidden="1">
      <c r="I591" s="65"/>
      <c r="J591" s="65"/>
      <c r="K591" s="65"/>
      <c r="L591" s="65"/>
    </row>
    <row r="592" spans="9:12" ht="12.6" hidden="1">
      <c r="I592" s="65"/>
      <c r="J592" s="65"/>
      <c r="K592" s="65"/>
      <c r="L592" s="65"/>
    </row>
    <row r="593" spans="9:12" ht="12.6" hidden="1">
      <c r="I593" s="65"/>
      <c r="J593" s="65"/>
      <c r="K593" s="65"/>
      <c r="L593" s="65"/>
    </row>
    <row r="594" spans="9:12" ht="12.6" hidden="1">
      <c r="I594" s="65"/>
      <c r="J594" s="65"/>
      <c r="K594" s="65"/>
      <c r="L594" s="65"/>
    </row>
    <row r="595" spans="9:12" ht="12.6" hidden="1">
      <c r="I595" s="65"/>
      <c r="J595" s="65"/>
      <c r="K595" s="65"/>
      <c r="L595" s="65"/>
    </row>
    <row r="596" spans="9:12" ht="12.6" hidden="1">
      <c r="I596" s="65"/>
      <c r="J596" s="65"/>
      <c r="K596" s="65"/>
      <c r="L596" s="65"/>
    </row>
    <row r="597" spans="9:12" ht="12.6" hidden="1">
      <c r="I597" s="65"/>
      <c r="J597" s="65"/>
      <c r="K597" s="65"/>
      <c r="L597" s="65"/>
    </row>
    <row r="598" spans="9:12" ht="12.6" hidden="1">
      <c r="I598" s="65"/>
      <c r="J598" s="65"/>
      <c r="K598" s="65"/>
      <c r="L598" s="65"/>
    </row>
    <row r="599" spans="9:12" ht="12.6" hidden="1">
      <c r="I599" s="65"/>
      <c r="J599" s="65"/>
      <c r="K599" s="65"/>
      <c r="L599" s="65"/>
    </row>
    <row r="600" spans="9:12" ht="12.6" hidden="1">
      <c r="I600" s="65"/>
      <c r="J600" s="65"/>
      <c r="K600" s="65"/>
      <c r="L600" s="65"/>
    </row>
    <row r="601" spans="9:12" ht="12.6" hidden="1">
      <c r="I601" s="65"/>
      <c r="J601" s="65"/>
      <c r="K601" s="65"/>
      <c r="L601" s="65"/>
    </row>
    <row r="602" spans="9:12" ht="12.6" hidden="1">
      <c r="I602" s="65"/>
      <c r="J602" s="65"/>
      <c r="K602" s="65"/>
      <c r="L602" s="65"/>
    </row>
    <row r="603" spans="9:12" ht="12.6" hidden="1">
      <c r="I603" s="65"/>
      <c r="J603" s="65"/>
      <c r="K603" s="65"/>
      <c r="L603" s="65"/>
    </row>
    <row r="604" spans="9:12" ht="12.6" hidden="1">
      <c r="I604" s="65"/>
      <c r="J604" s="65"/>
      <c r="K604" s="65"/>
      <c r="L604" s="65"/>
    </row>
    <row r="605" spans="9:12" ht="12.6" hidden="1">
      <c r="I605" s="65"/>
      <c r="J605" s="65"/>
      <c r="K605" s="65"/>
      <c r="L605" s="65"/>
    </row>
    <row r="606" spans="9:12" ht="12.6" hidden="1">
      <c r="I606" s="65"/>
      <c r="J606" s="65"/>
      <c r="K606" s="65"/>
      <c r="L606" s="65"/>
    </row>
    <row r="607" spans="9:12" ht="12.6" hidden="1">
      <c r="I607" s="65"/>
      <c r="J607" s="65"/>
      <c r="K607" s="65"/>
      <c r="L607" s="65"/>
    </row>
    <row r="608" spans="9:12" ht="12.6" hidden="1">
      <c r="I608" s="65"/>
      <c r="J608" s="65"/>
      <c r="K608" s="65"/>
      <c r="L608" s="65"/>
    </row>
    <row r="609" spans="9:12" ht="12.6" hidden="1">
      <c r="I609" s="65"/>
      <c r="J609" s="65"/>
      <c r="K609" s="65"/>
      <c r="L609" s="65"/>
    </row>
    <row r="610" spans="9:12" ht="12.6" hidden="1">
      <c r="I610" s="65"/>
      <c r="J610" s="65"/>
      <c r="K610" s="65"/>
      <c r="L610" s="65"/>
    </row>
    <row r="611" spans="9:12" ht="12.6" hidden="1">
      <c r="I611" s="65"/>
      <c r="J611" s="65"/>
      <c r="K611" s="65"/>
      <c r="L611" s="65"/>
    </row>
    <row r="612" spans="9:12" ht="12.6" hidden="1">
      <c r="I612" s="65"/>
      <c r="J612" s="65"/>
      <c r="K612" s="65"/>
      <c r="L612" s="65"/>
    </row>
    <row r="613" spans="9:12" ht="12.6" hidden="1">
      <c r="I613" s="65"/>
      <c r="J613" s="65"/>
      <c r="K613" s="65"/>
      <c r="L613" s="65"/>
    </row>
    <row r="614" spans="9:12" ht="12.6" hidden="1">
      <c r="I614" s="65"/>
      <c r="J614" s="65"/>
      <c r="K614" s="65"/>
      <c r="L614" s="65"/>
    </row>
    <row r="615" spans="9:12" ht="12.6" hidden="1">
      <c r="I615" s="65"/>
      <c r="J615" s="65"/>
      <c r="K615" s="65"/>
      <c r="L615" s="65"/>
    </row>
    <row r="616" spans="9:12" ht="12.6" hidden="1">
      <c r="I616" s="65"/>
      <c r="J616" s="65"/>
      <c r="K616" s="65"/>
      <c r="L616" s="65"/>
    </row>
    <row r="617" spans="9:12" ht="12.6" hidden="1">
      <c r="I617" s="65"/>
      <c r="J617" s="65"/>
      <c r="K617" s="65"/>
      <c r="L617" s="65"/>
    </row>
    <row r="618" spans="9:12" ht="12.6" hidden="1">
      <c r="I618" s="65"/>
      <c r="J618" s="65"/>
      <c r="K618" s="65"/>
      <c r="L618" s="65"/>
    </row>
    <row r="619" spans="9:12" ht="12.6" hidden="1">
      <c r="I619" s="65"/>
      <c r="J619" s="65"/>
      <c r="K619" s="65"/>
      <c r="L619" s="65"/>
    </row>
    <row r="620" spans="9:12" ht="12.6" hidden="1">
      <c r="I620" s="65"/>
      <c r="J620" s="65"/>
      <c r="K620" s="65"/>
      <c r="L620" s="65"/>
    </row>
    <row r="621" spans="9:12" ht="12.6" hidden="1">
      <c r="I621" s="65"/>
      <c r="J621" s="65"/>
      <c r="K621" s="65"/>
      <c r="L621" s="65"/>
    </row>
    <row r="622" spans="9:12" ht="12.6" hidden="1">
      <c r="I622" s="65"/>
      <c r="J622" s="65"/>
      <c r="K622" s="65"/>
      <c r="L622" s="65"/>
    </row>
    <row r="623" spans="9:12" ht="12.6" hidden="1">
      <c r="I623" s="65"/>
      <c r="J623" s="65"/>
      <c r="K623" s="65"/>
      <c r="L623" s="65"/>
    </row>
    <row r="624" spans="9:12" ht="12.6" hidden="1">
      <c r="I624" s="65"/>
      <c r="J624" s="65"/>
      <c r="K624" s="65"/>
      <c r="L624" s="65"/>
    </row>
    <row r="625" spans="9:12" ht="12.6" hidden="1">
      <c r="I625" s="65"/>
      <c r="J625" s="65"/>
      <c r="K625" s="65"/>
      <c r="L625" s="65"/>
    </row>
    <row r="626" spans="9:12" ht="12.6" hidden="1">
      <c r="I626" s="65"/>
      <c r="J626" s="65"/>
      <c r="K626" s="65"/>
      <c r="L626" s="65"/>
    </row>
    <row r="627" spans="9:12" ht="12.6" hidden="1">
      <c r="I627" s="65"/>
      <c r="J627" s="65"/>
      <c r="K627" s="65"/>
      <c r="L627" s="65"/>
    </row>
    <row r="628" spans="9:12" ht="12.6" hidden="1">
      <c r="I628" s="65"/>
      <c r="J628" s="65"/>
      <c r="K628" s="65"/>
      <c r="L628" s="65"/>
    </row>
    <row r="629" spans="9:12" ht="12.6" hidden="1"/>
    <row r="630" spans="9:12" ht="12.6" hidden="1"/>
    <row r="631" spans="9:12" ht="12.6" hidden="1"/>
    <row r="632" spans="9:12" ht="12.6" hidden="1"/>
    <row r="633" spans="9:12" ht="12.6" hidden="1"/>
  </sheetData>
  <mergeCells count="17">
    <mergeCell ref="K67:K68"/>
    <mergeCell ref="L67:L68"/>
    <mergeCell ref="D67:D68"/>
    <mergeCell ref="E67:E68"/>
    <mergeCell ref="F67:F68"/>
    <mergeCell ref="G67:G68"/>
    <mergeCell ref="I67:I68"/>
    <mergeCell ref="J67:J68"/>
    <mergeCell ref="B3:L3"/>
    <mergeCell ref="B4:L4"/>
    <mergeCell ref="B5:L5"/>
    <mergeCell ref="B6:L6"/>
    <mergeCell ref="B9:B12"/>
    <mergeCell ref="D9:G9"/>
    <mergeCell ref="I9:L9"/>
    <mergeCell ref="F11:G11"/>
    <mergeCell ref="K11:L11"/>
  </mergeCells>
  <printOptions horizontalCentered="1" verticalCentered="1"/>
  <pageMargins left="0.19685039370078741" right="0.19685039370078741" top="0.78740157480314965" bottom="0.19685039370078741" header="0" footer="0"/>
  <pageSetup paperSize="9" scale="70" orientation="portrait" r:id="rId1"/>
  <headerFooter>
    <oddHeader>&amp;L
   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Drop Down 1">
              <controlPr defaultSize="0" autoLine="0" autoPict="0">
                <anchor moveWithCells="1">
                  <from>
                    <xdr:col>3</xdr:col>
                    <xdr:colOff>861060</xdr:colOff>
                    <xdr:row>6</xdr:row>
                    <xdr:rowOff>22860</xdr:rowOff>
                  </from>
                  <to>
                    <xdr:col>5</xdr:col>
                    <xdr:colOff>0</xdr:colOff>
                    <xdr:row>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Drop Down 2">
              <controlPr defaultSize="0" autoLine="0" autoPict="0">
                <anchor moveWithCells="1">
                  <from>
                    <xdr:col>5</xdr:col>
                    <xdr:colOff>723900</xdr:colOff>
                    <xdr:row>6</xdr:row>
                    <xdr:rowOff>22860</xdr:rowOff>
                  </from>
                  <to>
                    <xdr:col>6</xdr:col>
                    <xdr:colOff>678180</xdr:colOff>
                    <xdr:row>6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588"/>
  <sheetViews>
    <sheetView showGridLines="0" showRowColHeaders="0" showRuler="0" zoomScaleNormal="100" workbookViewId="0"/>
  </sheetViews>
  <sheetFormatPr baseColWidth="10" defaultColWidth="0" defaultRowHeight="12.75" customHeight="1" zeroHeight="1"/>
  <cols>
    <col min="1" max="1" width="1.90625" style="2" customWidth="1"/>
    <col min="2" max="2" width="8.7265625" style="2" customWidth="1"/>
    <col min="3" max="7" width="8.08984375" style="2" customWidth="1"/>
    <col min="8" max="8" width="9.08984375" style="2" customWidth="1"/>
    <col min="9" max="9" width="1.36328125" style="2" customWidth="1"/>
    <col min="10" max="14" width="8.08984375" style="2" customWidth="1"/>
    <col min="15" max="15" width="9.08984375" style="2" customWidth="1"/>
    <col min="16" max="16" width="1.90625" style="2" customWidth="1"/>
    <col min="17" max="17" width="20.08984375" style="2" hidden="1" customWidth="1"/>
    <col min="18" max="18" width="5.7265625" style="2" hidden="1" customWidth="1"/>
    <col min="19" max="19" width="11" style="2" hidden="1" customWidth="1"/>
    <col min="20" max="20" width="9.90625" style="2" hidden="1" customWidth="1"/>
    <col min="21" max="28" width="11" style="2" hidden="1" customWidth="1"/>
    <col min="29" max="29" width="2.26953125" style="2" hidden="1" customWidth="1"/>
    <col min="30" max="16384" width="11" style="2" hidden="1"/>
  </cols>
  <sheetData>
    <row r="1" spans="1:19" ht="5.0999999999999996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spans="1:19" ht="5.0999999999999996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2"/>
    </row>
    <row r="3" spans="1:19" ht="22.2" customHeight="1">
      <c r="B3" s="327" t="s">
        <v>141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</row>
    <row r="4" spans="1:19" ht="22.2" customHeight="1">
      <c r="B4" s="327" t="s">
        <v>142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</row>
    <row r="5" spans="1:19" ht="16.2" customHeight="1">
      <c r="B5" s="336" t="s">
        <v>77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6" spans="1:19" s="65" customFormat="1" ht="9.75" customHeight="1" thickBot="1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9" s="65" customFormat="1" ht="18.899999999999999" customHeight="1" thickTop="1" thickBot="1">
      <c r="B7" s="112"/>
      <c r="C7" s="112"/>
      <c r="D7" s="112"/>
      <c r="E7"/>
      <c r="F7"/>
      <c r="G7" s="113" t="s">
        <v>78</v>
      </c>
      <c r="H7" s="114"/>
      <c r="I7" s="114"/>
      <c r="J7" s="115"/>
      <c r="K7" s="112"/>
      <c r="L7" s="112"/>
      <c r="M7" s="112"/>
      <c r="N7" s="112"/>
      <c r="O7" s="112"/>
      <c r="Q7" s="6" t="s">
        <v>143</v>
      </c>
      <c r="R7" s="7">
        <v>29</v>
      </c>
      <c r="S7" s="7">
        <f>INDEX(Años,R7)</f>
        <v>2024</v>
      </c>
    </row>
    <row r="8" spans="1:19" s="65" customFormat="1" ht="14.4" customHeight="1" thickTop="1">
      <c r="B8" s="112"/>
      <c r="C8" s="112"/>
      <c r="D8" s="112"/>
      <c r="G8"/>
      <c r="H8"/>
      <c r="I8" s="112"/>
      <c r="J8" s="112"/>
      <c r="K8" s="112"/>
      <c r="L8" s="112"/>
      <c r="M8" s="112"/>
      <c r="N8" s="112"/>
      <c r="O8" s="112"/>
      <c r="Q8" s="6" t="s">
        <v>80</v>
      </c>
      <c r="S8" s="7" t="str">
        <f>INDEX(V117:V128,MATCH(1,S117:S128,0))</f>
        <v>FEBRUARY</v>
      </c>
    </row>
    <row r="9" spans="1:19" ht="14.4" customHeight="1" thickBot="1">
      <c r="B9" s="116"/>
      <c r="C9" s="334" t="s">
        <v>116</v>
      </c>
      <c r="D9" s="335"/>
      <c r="E9" s="335"/>
      <c r="F9" s="335"/>
      <c r="G9" s="335"/>
      <c r="H9" s="335"/>
      <c r="I9" s="17"/>
      <c r="J9" s="334" t="s">
        <v>73</v>
      </c>
      <c r="K9" s="334"/>
      <c r="L9" s="334"/>
      <c r="M9" s="334"/>
      <c r="N9" s="334"/>
      <c r="O9" s="334"/>
      <c r="Q9" s="6" t="s">
        <v>144</v>
      </c>
      <c r="R9" s="10"/>
      <c r="S9" s="11">
        <f>S7-1</f>
        <v>2023</v>
      </c>
    </row>
    <row r="10" spans="1:19" ht="6" customHeight="1">
      <c r="B10" s="116"/>
      <c r="C10" s="117"/>
      <c r="D10" s="118"/>
      <c r="E10" s="118"/>
      <c r="F10" s="118"/>
      <c r="G10" s="118"/>
      <c r="H10" s="118"/>
      <c r="I10" s="118"/>
      <c r="J10" s="117"/>
      <c r="K10" s="117"/>
      <c r="L10" s="117"/>
      <c r="M10" s="117"/>
      <c r="N10" s="117"/>
      <c r="O10" s="117"/>
    </row>
    <row r="11" spans="1:19" ht="12" customHeight="1">
      <c r="B11" s="119"/>
      <c r="C11" s="120" t="s">
        <v>83</v>
      </c>
      <c r="D11" s="120" t="s">
        <v>84</v>
      </c>
      <c r="E11" s="120" t="s">
        <v>85</v>
      </c>
      <c r="F11" s="120" t="s">
        <v>86</v>
      </c>
      <c r="G11" s="120" t="s">
        <v>57</v>
      </c>
      <c r="H11" s="121" t="s">
        <v>87</v>
      </c>
      <c r="I11" s="20"/>
      <c r="J11" s="120" t="s">
        <v>83</v>
      </c>
      <c r="K11" s="120" t="s">
        <v>84</v>
      </c>
      <c r="L11" s="120" t="s">
        <v>85</v>
      </c>
      <c r="M11" s="120" t="s">
        <v>86</v>
      </c>
      <c r="N11" s="120" t="s">
        <v>57</v>
      </c>
      <c r="O11" s="121" t="s">
        <v>87</v>
      </c>
    </row>
    <row r="12" spans="1:19" ht="6" customHeight="1">
      <c r="B12" s="122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</row>
    <row r="13" spans="1:19" ht="13.5" customHeight="1" thickBot="1">
      <c r="B13" s="124">
        <f>Año_anterior_seleccionado_C.2.2</f>
        <v>2023</v>
      </c>
      <c r="C13" s="125"/>
      <c r="D13" s="125"/>
      <c r="E13" s="125"/>
      <c r="F13" s="125"/>
      <c r="G13" s="125"/>
      <c r="H13" s="126"/>
      <c r="I13" s="127"/>
      <c r="J13" s="125"/>
      <c r="K13" s="125"/>
      <c r="L13" s="125"/>
      <c r="M13" s="125"/>
      <c r="N13" s="125"/>
      <c r="O13" s="126"/>
    </row>
    <row r="14" spans="1:19" ht="6" customHeight="1">
      <c r="B14" s="128"/>
      <c r="C14" s="125"/>
      <c r="D14" s="125"/>
      <c r="E14" s="125"/>
      <c r="F14" s="125"/>
      <c r="G14" s="125"/>
      <c r="H14" s="126"/>
      <c r="I14" s="127"/>
      <c r="J14" s="125"/>
      <c r="K14" s="125"/>
      <c r="L14" s="125"/>
      <c r="M14" s="125"/>
      <c r="N14" s="125"/>
      <c r="O14" s="126"/>
    </row>
    <row r="15" spans="1:19" ht="12" customHeight="1">
      <c r="B15" s="128" t="s">
        <v>88</v>
      </c>
      <c r="C15" s="258">
        <f>W105</f>
        <v>384.96600000000001</v>
      </c>
      <c r="D15" s="258">
        <f t="shared" ref="D15:H15" si="0">X105</f>
        <v>6790.3419999999996</v>
      </c>
      <c r="E15" s="258">
        <f t="shared" si="0"/>
        <v>2236.4340000000002</v>
      </c>
      <c r="F15" s="258">
        <f t="shared" si="0"/>
        <v>26.672000000000001</v>
      </c>
      <c r="G15" s="258">
        <f t="shared" si="0"/>
        <v>122.59499999999935</v>
      </c>
      <c r="H15" s="259">
        <f t="shared" si="0"/>
        <v>9561.009</v>
      </c>
      <c r="I15" s="127"/>
      <c r="J15" s="258">
        <f t="shared" ref="J15:O26" si="1">AD105</f>
        <v>384.96600000000001</v>
      </c>
      <c r="K15" s="258">
        <f t="shared" si="1"/>
        <v>6790.3419999999996</v>
      </c>
      <c r="L15" s="258">
        <f t="shared" si="1"/>
        <v>2236.4340000000002</v>
      </c>
      <c r="M15" s="258">
        <f t="shared" si="1"/>
        <v>26.672000000000001</v>
      </c>
      <c r="N15" s="258">
        <f t="shared" si="1"/>
        <v>122.59499999999935</v>
      </c>
      <c r="O15" s="259">
        <f t="shared" si="1"/>
        <v>9561.009</v>
      </c>
      <c r="Q15"/>
      <c r="R15"/>
    </row>
    <row r="16" spans="1:19" ht="12" customHeight="1">
      <c r="B16" s="128" t="s">
        <v>89</v>
      </c>
      <c r="C16" s="258">
        <f t="shared" ref="C16:H26" si="2">W106</f>
        <v>205.41200000000001</v>
      </c>
      <c r="D16" s="258">
        <f t="shared" si="2"/>
        <v>507.26299999999998</v>
      </c>
      <c r="E16" s="258">
        <f t="shared" si="2"/>
        <v>1567.2840000000001</v>
      </c>
      <c r="F16" s="258">
        <f t="shared" si="2"/>
        <v>35.048999999999999</v>
      </c>
      <c r="G16" s="258">
        <f t="shared" si="2"/>
        <v>96.690000000000055</v>
      </c>
      <c r="H16" s="259">
        <f t="shared" si="2"/>
        <v>2411.6979999999999</v>
      </c>
      <c r="I16" s="127"/>
      <c r="J16" s="258">
        <f t="shared" si="1"/>
        <v>590.37800000000004</v>
      </c>
      <c r="K16" s="258">
        <f t="shared" si="1"/>
        <v>7297.6049999999996</v>
      </c>
      <c r="L16" s="258">
        <f t="shared" si="1"/>
        <v>3803.7180000000003</v>
      </c>
      <c r="M16" s="258">
        <f t="shared" si="1"/>
        <v>61.721000000000004</v>
      </c>
      <c r="N16" s="258">
        <f t="shared" si="1"/>
        <v>219.2849999999994</v>
      </c>
      <c r="O16" s="259">
        <f t="shared" si="1"/>
        <v>11972.707</v>
      </c>
    </row>
    <row r="17" spans="2:26" ht="12" customHeight="1">
      <c r="B17" s="128" t="s">
        <v>90</v>
      </c>
      <c r="C17" s="258">
        <f t="shared" si="2"/>
        <v>247.26599999999999</v>
      </c>
      <c r="D17" s="258">
        <f t="shared" si="2"/>
        <v>381.39100000000002</v>
      </c>
      <c r="E17" s="258">
        <f t="shared" si="2"/>
        <v>2220.8629999999998</v>
      </c>
      <c r="F17" s="258">
        <f t="shared" si="2"/>
        <v>65.912000000000006</v>
      </c>
      <c r="G17" s="258">
        <f t="shared" si="2"/>
        <v>148.85000000000036</v>
      </c>
      <c r="H17" s="259">
        <f t="shared" si="2"/>
        <v>3064.2820000000002</v>
      </c>
      <c r="I17" s="127"/>
      <c r="J17" s="258">
        <f t="shared" si="1"/>
        <v>837.64400000000001</v>
      </c>
      <c r="K17" s="258">
        <f t="shared" si="1"/>
        <v>7678.9959999999992</v>
      </c>
      <c r="L17" s="258">
        <f t="shared" si="1"/>
        <v>6024.5810000000001</v>
      </c>
      <c r="M17" s="258">
        <f t="shared" si="1"/>
        <v>127.63300000000001</v>
      </c>
      <c r="N17" s="258">
        <f t="shared" si="1"/>
        <v>368.13499999999976</v>
      </c>
      <c r="O17" s="259">
        <f t="shared" si="1"/>
        <v>15036.989000000001</v>
      </c>
      <c r="S17" s="10"/>
    </row>
    <row r="18" spans="2:26" ht="12" customHeight="1">
      <c r="B18" s="128" t="s">
        <v>91</v>
      </c>
      <c r="C18" s="258">
        <f t="shared" si="2"/>
        <v>2380.4639999999999</v>
      </c>
      <c r="D18" s="258">
        <f t="shared" si="2"/>
        <v>188.2</v>
      </c>
      <c r="E18" s="258">
        <f t="shared" si="2"/>
        <v>4126.9250000000002</v>
      </c>
      <c r="F18" s="258">
        <f t="shared" si="2"/>
        <v>125.627</v>
      </c>
      <c r="G18" s="258">
        <f t="shared" si="2"/>
        <v>187.36899999999969</v>
      </c>
      <c r="H18" s="259">
        <f t="shared" si="2"/>
        <v>7008.585</v>
      </c>
      <c r="I18" s="127"/>
      <c r="J18" s="258">
        <f t="shared" si="1"/>
        <v>3218.1080000000002</v>
      </c>
      <c r="K18" s="258">
        <f t="shared" si="1"/>
        <v>7867.195999999999</v>
      </c>
      <c r="L18" s="258">
        <f t="shared" si="1"/>
        <v>10151.506000000001</v>
      </c>
      <c r="M18" s="258">
        <f t="shared" si="1"/>
        <v>253.26</v>
      </c>
      <c r="N18" s="258">
        <f t="shared" si="1"/>
        <v>555.50399999999945</v>
      </c>
      <c r="O18" s="259">
        <f t="shared" si="1"/>
        <v>22045.574000000001</v>
      </c>
      <c r="Q18"/>
      <c r="R18"/>
      <c r="S18"/>
    </row>
    <row r="19" spans="2:26" ht="12" customHeight="1">
      <c r="B19" s="128" t="s">
        <v>92</v>
      </c>
      <c r="C19" s="258">
        <f t="shared" si="2"/>
        <v>2521.5050000000001</v>
      </c>
      <c r="D19" s="258">
        <f t="shared" si="2"/>
        <v>1149.8130000000001</v>
      </c>
      <c r="E19" s="258">
        <f t="shared" si="2"/>
        <v>3766.498</v>
      </c>
      <c r="F19" s="258">
        <f t="shared" si="2"/>
        <v>55.692</v>
      </c>
      <c r="G19" s="258">
        <f t="shared" si="2"/>
        <v>142.52699999999913</v>
      </c>
      <c r="H19" s="259">
        <f t="shared" si="2"/>
        <v>7636.0349999999999</v>
      </c>
      <c r="I19" s="127"/>
      <c r="J19" s="258">
        <f t="shared" si="1"/>
        <v>5739.6130000000003</v>
      </c>
      <c r="K19" s="258">
        <f t="shared" si="1"/>
        <v>9017.0089999999982</v>
      </c>
      <c r="L19" s="258">
        <f t="shared" si="1"/>
        <v>13918.004000000001</v>
      </c>
      <c r="M19" s="258">
        <f t="shared" si="1"/>
        <v>308.952</v>
      </c>
      <c r="N19" s="258">
        <f t="shared" si="1"/>
        <v>698.03099999999858</v>
      </c>
      <c r="O19" s="259">
        <f t="shared" si="1"/>
        <v>29681.609</v>
      </c>
      <c r="Q19"/>
      <c r="R19"/>
      <c r="S19"/>
    </row>
    <row r="20" spans="2:26" ht="12" customHeight="1">
      <c r="B20" s="128" t="s">
        <v>93</v>
      </c>
      <c r="C20" s="258">
        <f t="shared" si="2"/>
        <v>3390.9989999999998</v>
      </c>
      <c r="D20" s="258">
        <f t="shared" si="2"/>
        <v>110.64700000000001</v>
      </c>
      <c r="E20" s="258">
        <f t="shared" si="2"/>
        <v>3954.4059999999999</v>
      </c>
      <c r="F20" s="258">
        <f t="shared" si="2"/>
        <v>81.58</v>
      </c>
      <c r="G20" s="258">
        <f t="shared" si="2"/>
        <v>180.71399999999994</v>
      </c>
      <c r="H20" s="259">
        <f t="shared" si="2"/>
        <v>7718.3459999999995</v>
      </c>
      <c r="I20" s="127"/>
      <c r="J20" s="258">
        <f t="shared" si="1"/>
        <v>9130.612000000001</v>
      </c>
      <c r="K20" s="258">
        <f t="shared" si="1"/>
        <v>9127.655999999999</v>
      </c>
      <c r="L20" s="258">
        <f t="shared" si="1"/>
        <v>17872.41</v>
      </c>
      <c r="M20" s="258">
        <f t="shared" si="1"/>
        <v>390.53199999999998</v>
      </c>
      <c r="N20" s="258">
        <f t="shared" si="1"/>
        <v>878.74499999999853</v>
      </c>
      <c r="O20" s="259">
        <f t="shared" si="1"/>
        <v>37399.955000000002</v>
      </c>
      <c r="Q20"/>
      <c r="R20"/>
      <c r="S20"/>
    </row>
    <row r="21" spans="2:26" ht="12" customHeight="1">
      <c r="B21" s="128" t="s">
        <v>94</v>
      </c>
      <c r="C21" s="258">
        <f t="shared" si="2"/>
        <v>1403.9929999999999</v>
      </c>
      <c r="D21" s="258">
        <f t="shared" si="2"/>
        <v>46.526000000000003</v>
      </c>
      <c r="E21" s="258">
        <f t="shared" si="2"/>
        <v>4573.473</v>
      </c>
      <c r="F21" s="258">
        <f t="shared" si="2"/>
        <v>63.326999999999998</v>
      </c>
      <c r="G21" s="258">
        <f t="shared" si="2"/>
        <v>227.93399999999929</v>
      </c>
      <c r="H21" s="259">
        <f t="shared" si="2"/>
        <v>6315.2529999999997</v>
      </c>
      <c r="I21" s="127"/>
      <c r="J21" s="258">
        <f t="shared" si="1"/>
        <v>10534.605000000001</v>
      </c>
      <c r="K21" s="258">
        <f t="shared" si="1"/>
        <v>9174.1819999999989</v>
      </c>
      <c r="L21" s="258">
        <f t="shared" si="1"/>
        <v>22445.883000000002</v>
      </c>
      <c r="M21" s="258">
        <f t="shared" si="1"/>
        <v>453.85899999999998</v>
      </c>
      <c r="N21" s="258">
        <f t="shared" si="1"/>
        <v>1106.6789999999978</v>
      </c>
      <c r="O21" s="259">
        <f t="shared" si="1"/>
        <v>43715.207999999999</v>
      </c>
      <c r="Q21"/>
      <c r="R21"/>
      <c r="S21"/>
    </row>
    <row r="22" spans="2:26" ht="12" customHeight="1">
      <c r="B22" s="128" t="s">
        <v>95</v>
      </c>
      <c r="C22" s="258">
        <f t="shared" si="2"/>
        <v>487.44099999999997</v>
      </c>
      <c r="D22" s="258">
        <f t="shared" si="2"/>
        <v>48.57</v>
      </c>
      <c r="E22" s="258">
        <f t="shared" si="2"/>
        <v>2577.098</v>
      </c>
      <c r="F22" s="258">
        <f t="shared" si="2"/>
        <v>41.177999999999997</v>
      </c>
      <c r="G22" s="258">
        <f t="shared" si="2"/>
        <v>128.86000000000013</v>
      </c>
      <c r="H22" s="259">
        <f t="shared" si="2"/>
        <v>3283.1469999999999</v>
      </c>
      <c r="I22" s="127"/>
      <c r="J22" s="258">
        <f t="shared" si="1"/>
        <v>11022.046000000002</v>
      </c>
      <c r="K22" s="258">
        <f t="shared" si="1"/>
        <v>9222.7519999999986</v>
      </c>
      <c r="L22" s="258">
        <f t="shared" si="1"/>
        <v>25022.981</v>
      </c>
      <c r="M22" s="258">
        <f t="shared" si="1"/>
        <v>495.03699999999998</v>
      </c>
      <c r="N22" s="258">
        <f t="shared" si="1"/>
        <v>1235.5389999999979</v>
      </c>
      <c r="O22" s="259">
        <f t="shared" si="1"/>
        <v>46998.354999999996</v>
      </c>
    </row>
    <row r="23" spans="2:26" ht="12" customHeight="1">
      <c r="B23" s="128" t="s">
        <v>96</v>
      </c>
      <c r="C23" s="258">
        <f t="shared" si="2"/>
        <v>376.85199999999998</v>
      </c>
      <c r="D23" s="258">
        <f t="shared" si="2"/>
        <v>291.48899999999998</v>
      </c>
      <c r="E23" s="258">
        <f t="shared" si="2"/>
        <v>2473.924</v>
      </c>
      <c r="F23" s="258">
        <f t="shared" si="2"/>
        <v>68.662000000000006</v>
      </c>
      <c r="G23" s="258">
        <f t="shared" si="2"/>
        <v>117.81500000000051</v>
      </c>
      <c r="H23" s="259">
        <f t="shared" si="2"/>
        <v>3328.7420000000002</v>
      </c>
      <c r="I23" s="127"/>
      <c r="J23" s="258">
        <f t="shared" si="1"/>
        <v>11398.898000000003</v>
      </c>
      <c r="K23" s="258">
        <f t="shared" si="1"/>
        <v>9514.2409999999982</v>
      </c>
      <c r="L23" s="258">
        <f t="shared" si="1"/>
        <v>27496.904999999999</v>
      </c>
      <c r="M23" s="258">
        <f t="shared" si="1"/>
        <v>563.69899999999996</v>
      </c>
      <c r="N23" s="258">
        <f t="shared" si="1"/>
        <v>1353.3539999999985</v>
      </c>
      <c r="O23" s="259">
        <f t="shared" si="1"/>
        <v>50327.096999999994</v>
      </c>
    </row>
    <row r="24" spans="2:26" ht="12" customHeight="1">
      <c r="B24" s="128" t="s">
        <v>97</v>
      </c>
      <c r="C24" s="258">
        <f t="shared" si="2"/>
        <v>757.577</v>
      </c>
      <c r="D24" s="258">
        <f t="shared" si="2"/>
        <v>905.60400000000004</v>
      </c>
      <c r="E24" s="258">
        <f t="shared" si="2"/>
        <v>2934.9859999999999</v>
      </c>
      <c r="F24" s="258">
        <f t="shared" si="2"/>
        <v>65.212000000000003</v>
      </c>
      <c r="G24" s="258">
        <f t="shared" si="2"/>
        <v>227.37700000000041</v>
      </c>
      <c r="H24" s="259">
        <f t="shared" si="2"/>
        <v>4890.7560000000003</v>
      </c>
      <c r="I24" s="127"/>
      <c r="J24" s="258">
        <f t="shared" si="1"/>
        <v>12156.475000000002</v>
      </c>
      <c r="K24" s="258">
        <f t="shared" si="1"/>
        <v>10419.844999999998</v>
      </c>
      <c r="L24" s="258">
        <f t="shared" si="1"/>
        <v>30431.891</v>
      </c>
      <c r="M24" s="258">
        <f t="shared" si="1"/>
        <v>628.91099999999994</v>
      </c>
      <c r="N24" s="258">
        <f t="shared" si="1"/>
        <v>1580.7309999999989</v>
      </c>
      <c r="O24" s="259">
        <f t="shared" si="1"/>
        <v>55217.852999999996</v>
      </c>
    </row>
    <row r="25" spans="2:26" ht="12" customHeight="1">
      <c r="B25" s="128" t="s">
        <v>98</v>
      </c>
      <c r="C25" s="258">
        <f t="shared" si="2"/>
        <v>743.06600000000003</v>
      </c>
      <c r="D25" s="258">
        <f t="shared" si="2"/>
        <v>1027.3810000000001</v>
      </c>
      <c r="E25" s="258">
        <f t="shared" si="2"/>
        <v>3064.0819999999999</v>
      </c>
      <c r="F25" s="258">
        <f t="shared" si="2"/>
        <v>50.94</v>
      </c>
      <c r="G25" s="258">
        <f t="shared" si="2"/>
        <v>179.33500000000004</v>
      </c>
      <c r="H25" s="259">
        <f t="shared" si="2"/>
        <v>5064.8040000000001</v>
      </c>
      <c r="I25" s="127"/>
      <c r="J25" s="258">
        <f t="shared" si="1"/>
        <v>12899.541000000003</v>
      </c>
      <c r="K25" s="258">
        <f t="shared" si="1"/>
        <v>11447.225999999997</v>
      </c>
      <c r="L25" s="258">
        <f t="shared" si="1"/>
        <v>33495.972999999998</v>
      </c>
      <c r="M25" s="258">
        <f t="shared" si="1"/>
        <v>679.85099999999989</v>
      </c>
      <c r="N25" s="258">
        <f t="shared" si="1"/>
        <v>1760.0659999999989</v>
      </c>
      <c r="O25" s="259">
        <f t="shared" si="1"/>
        <v>60282.656999999992</v>
      </c>
    </row>
    <row r="26" spans="2:26" ht="12" customHeight="1">
      <c r="B26" s="128" t="s">
        <v>99</v>
      </c>
      <c r="C26" s="258">
        <f t="shared" si="2"/>
        <v>757.83399999999995</v>
      </c>
      <c r="D26" s="258">
        <f t="shared" si="2"/>
        <v>2358.0030000000002</v>
      </c>
      <c r="E26" s="258">
        <f t="shared" si="2"/>
        <v>4072.32</v>
      </c>
      <c r="F26" s="258">
        <f t="shared" si="2"/>
        <v>123.429</v>
      </c>
      <c r="G26" s="258">
        <f t="shared" si="2"/>
        <v>167.77599999999984</v>
      </c>
      <c r="H26" s="259">
        <f t="shared" si="2"/>
        <v>7479.3620000000001</v>
      </c>
      <c r="I26" s="127"/>
      <c r="J26" s="258">
        <f t="shared" si="1"/>
        <v>13657.375000000004</v>
      </c>
      <c r="K26" s="258">
        <f t="shared" si="1"/>
        <v>13805.228999999998</v>
      </c>
      <c r="L26" s="258">
        <f t="shared" si="1"/>
        <v>37568.292999999998</v>
      </c>
      <c r="M26" s="258">
        <f t="shared" si="1"/>
        <v>803.27999999999986</v>
      </c>
      <c r="N26" s="258">
        <f t="shared" si="1"/>
        <v>1927.8419999999987</v>
      </c>
      <c r="O26" s="259">
        <f t="shared" si="1"/>
        <v>67762.018999999986</v>
      </c>
    </row>
    <row r="27" spans="2:26" ht="12" customHeight="1">
      <c r="B27" s="128"/>
      <c r="Y27" s="129"/>
    </row>
    <row r="28" spans="2:26" ht="13.5" customHeight="1" thickBot="1">
      <c r="B28" s="124">
        <f>Año_seleccionado_C.2.2</f>
        <v>2024</v>
      </c>
      <c r="C28" s="125"/>
      <c r="D28" s="125"/>
      <c r="E28" s="125"/>
      <c r="F28" s="125"/>
      <c r="G28" s="125"/>
      <c r="H28" s="130"/>
      <c r="I28" s="127"/>
      <c r="J28" s="125"/>
      <c r="K28" s="125"/>
      <c r="L28" s="125"/>
      <c r="M28" s="125"/>
      <c r="N28" s="125"/>
      <c r="O28" s="130"/>
    </row>
    <row r="29" spans="2:26" ht="6" customHeight="1">
      <c r="B29" s="128"/>
      <c r="C29" s="125"/>
      <c r="D29" s="125"/>
      <c r="E29" s="125"/>
      <c r="F29" s="125"/>
      <c r="G29" s="125"/>
      <c r="H29" s="130"/>
      <c r="I29" s="127"/>
      <c r="J29" s="125"/>
      <c r="K29" s="125"/>
      <c r="L29" s="125"/>
      <c r="M29" s="125"/>
      <c r="N29" s="125"/>
      <c r="O29" s="130"/>
    </row>
    <row r="30" spans="2:26" ht="12" customHeight="1">
      <c r="B30" s="128" t="s">
        <v>88</v>
      </c>
      <c r="C30" s="258">
        <f>IF($T117="SI"," ",W117)</f>
        <v>361.48500000000001</v>
      </c>
      <c r="D30" s="258">
        <f t="shared" ref="D30:H39" si="3">IF($T117="SI"," ",X117)</f>
        <v>6973.8720000000003</v>
      </c>
      <c r="E30" s="258">
        <f t="shared" si="3"/>
        <v>2002.8009999999999</v>
      </c>
      <c r="F30" s="258">
        <f t="shared" si="3"/>
        <v>41.569000000000003</v>
      </c>
      <c r="G30" s="258">
        <f t="shared" si="3"/>
        <v>57.330000000001746</v>
      </c>
      <c r="H30" s="259">
        <f t="shared" si="3"/>
        <v>9437.0570000000007</v>
      </c>
      <c r="I30" s="127"/>
      <c r="J30" s="258">
        <f t="shared" ref="J30:O41" si="4">IF($T117="SI"," ",AD117)</f>
        <v>361.48500000000001</v>
      </c>
      <c r="K30" s="258">
        <f t="shared" si="4"/>
        <v>6973.8720000000003</v>
      </c>
      <c r="L30" s="258">
        <f t="shared" si="4"/>
        <v>2002.8009999999999</v>
      </c>
      <c r="M30" s="258">
        <f t="shared" si="4"/>
        <v>41.569000000000003</v>
      </c>
      <c r="N30" s="258">
        <f t="shared" si="4"/>
        <v>57.330000000001746</v>
      </c>
      <c r="O30" s="259">
        <f t="shared" si="4"/>
        <v>9437.0570000000007</v>
      </c>
    </row>
    <row r="31" spans="2:26" ht="12" customHeight="1">
      <c r="B31" s="128" t="s">
        <v>89</v>
      </c>
      <c r="C31" s="258">
        <f t="shared" ref="C31:H41" si="5">IF($T118="SI"," ",W118)</f>
        <v>249.352</v>
      </c>
      <c r="D31" s="258">
        <f t="shared" si="3"/>
        <v>738.43100000000004</v>
      </c>
      <c r="E31" s="258">
        <f t="shared" si="3"/>
        <v>1479.5239999999999</v>
      </c>
      <c r="F31" s="258">
        <f t="shared" si="3"/>
        <v>45.472999999999999</v>
      </c>
      <c r="G31" s="258">
        <f t="shared" si="3"/>
        <v>148.75600000000031</v>
      </c>
      <c r="H31" s="259">
        <f t="shared" si="3"/>
        <v>2661.5360000000001</v>
      </c>
      <c r="I31" s="127"/>
      <c r="J31" s="258">
        <f t="shared" si="4"/>
        <v>610.83699999999999</v>
      </c>
      <c r="K31" s="258">
        <f t="shared" si="4"/>
        <v>7712.3029999999999</v>
      </c>
      <c r="L31" s="258">
        <f t="shared" si="4"/>
        <v>3482.3249999999998</v>
      </c>
      <c r="M31" s="258">
        <f t="shared" si="4"/>
        <v>87.042000000000002</v>
      </c>
      <c r="N31" s="258">
        <f t="shared" si="4"/>
        <v>206.08600000000206</v>
      </c>
      <c r="O31" s="259">
        <f t="shared" si="4"/>
        <v>12098.593000000001</v>
      </c>
    </row>
    <row r="32" spans="2:26" ht="12" customHeight="1">
      <c r="B32" s="128" t="s">
        <v>90</v>
      </c>
      <c r="C32" s="258" t="str">
        <f t="shared" si="5"/>
        <v xml:space="preserve"> </v>
      </c>
      <c r="D32" s="258" t="str">
        <f t="shared" si="3"/>
        <v xml:space="preserve"> </v>
      </c>
      <c r="E32" s="258" t="str">
        <f t="shared" si="3"/>
        <v xml:space="preserve"> </v>
      </c>
      <c r="F32" s="258" t="str">
        <f t="shared" si="3"/>
        <v xml:space="preserve"> </v>
      </c>
      <c r="G32" s="258" t="str">
        <f t="shared" si="3"/>
        <v xml:space="preserve"> </v>
      </c>
      <c r="H32" s="259" t="str">
        <f t="shared" si="3"/>
        <v xml:space="preserve"> </v>
      </c>
      <c r="I32" s="127"/>
      <c r="J32" s="258" t="str">
        <f t="shared" si="4"/>
        <v xml:space="preserve"> </v>
      </c>
      <c r="K32" s="258" t="str">
        <f t="shared" si="4"/>
        <v xml:space="preserve"> </v>
      </c>
      <c r="L32" s="258" t="str">
        <f t="shared" si="4"/>
        <v xml:space="preserve"> </v>
      </c>
      <c r="M32" s="258" t="str">
        <f t="shared" si="4"/>
        <v xml:space="preserve"> </v>
      </c>
      <c r="N32" s="258" t="str">
        <f t="shared" si="4"/>
        <v xml:space="preserve"> </v>
      </c>
      <c r="O32" s="259" t="str">
        <f t="shared" si="4"/>
        <v xml:space="preserve"> </v>
      </c>
      <c r="S32" s="129"/>
      <c r="Z32" s="129"/>
    </row>
    <row r="33" spans="2:26" ht="12" customHeight="1">
      <c r="B33" s="128" t="s">
        <v>91</v>
      </c>
      <c r="C33" s="258" t="str">
        <f t="shared" si="5"/>
        <v xml:space="preserve"> </v>
      </c>
      <c r="D33" s="258" t="str">
        <f t="shared" si="3"/>
        <v xml:space="preserve"> </v>
      </c>
      <c r="E33" s="258" t="str">
        <f t="shared" si="3"/>
        <v xml:space="preserve"> </v>
      </c>
      <c r="F33" s="258" t="str">
        <f t="shared" si="3"/>
        <v xml:space="preserve"> </v>
      </c>
      <c r="G33" s="258" t="str">
        <f t="shared" si="3"/>
        <v xml:space="preserve"> </v>
      </c>
      <c r="H33" s="259" t="str">
        <f t="shared" si="3"/>
        <v xml:space="preserve"> </v>
      </c>
      <c r="I33" s="127"/>
      <c r="J33" s="258" t="str">
        <f t="shared" si="4"/>
        <v xml:space="preserve"> </v>
      </c>
      <c r="K33" s="258" t="str">
        <f t="shared" si="4"/>
        <v xml:space="preserve"> </v>
      </c>
      <c r="L33" s="258" t="str">
        <f t="shared" si="4"/>
        <v xml:space="preserve"> </v>
      </c>
      <c r="M33" s="258" t="str">
        <f t="shared" si="4"/>
        <v xml:space="preserve"> </v>
      </c>
      <c r="N33" s="258" t="str">
        <f t="shared" si="4"/>
        <v xml:space="preserve"> </v>
      </c>
      <c r="O33" s="259" t="str">
        <f t="shared" si="4"/>
        <v xml:space="preserve"> </v>
      </c>
      <c r="S33" s="129"/>
      <c r="Z33" s="129"/>
    </row>
    <row r="34" spans="2:26" ht="12" customHeight="1">
      <c r="B34" s="128" t="s">
        <v>92</v>
      </c>
      <c r="C34" s="258" t="str">
        <f t="shared" si="5"/>
        <v xml:space="preserve"> </v>
      </c>
      <c r="D34" s="258" t="str">
        <f t="shared" si="3"/>
        <v xml:space="preserve"> </v>
      </c>
      <c r="E34" s="258" t="str">
        <f t="shared" si="3"/>
        <v xml:space="preserve"> </v>
      </c>
      <c r="F34" s="258" t="str">
        <f t="shared" si="3"/>
        <v xml:space="preserve"> </v>
      </c>
      <c r="G34" s="258" t="str">
        <f t="shared" si="3"/>
        <v xml:space="preserve"> </v>
      </c>
      <c r="H34" s="259" t="str">
        <f t="shared" si="3"/>
        <v xml:space="preserve"> </v>
      </c>
      <c r="I34" s="127"/>
      <c r="J34" s="258" t="str">
        <f t="shared" si="4"/>
        <v xml:space="preserve"> </v>
      </c>
      <c r="K34" s="258" t="str">
        <f t="shared" si="4"/>
        <v xml:space="preserve"> </v>
      </c>
      <c r="L34" s="258" t="str">
        <f t="shared" si="4"/>
        <v xml:space="preserve"> </v>
      </c>
      <c r="M34" s="258" t="str">
        <f t="shared" si="4"/>
        <v xml:space="preserve"> </v>
      </c>
      <c r="N34" s="258" t="str">
        <f t="shared" si="4"/>
        <v xml:space="preserve"> </v>
      </c>
      <c r="O34" s="259" t="str">
        <f t="shared" si="4"/>
        <v xml:space="preserve"> </v>
      </c>
      <c r="S34" s="129"/>
      <c r="Z34" s="129"/>
    </row>
    <row r="35" spans="2:26" ht="12" customHeight="1">
      <c r="B35" s="128" t="s">
        <v>93</v>
      </c>
      <c r="C35" s="258" t="str">
        <f t="shared" si="5"/>
        <v xml:space="preserve"> </v>
      </c>
      <c r="D35" s="258" t="str">
        <f t="shared" si="3"/>
        <v xml:space="preserve"> </v>
      </c>
      <c r="E35" s="258" t="str">
        <f t="shared" si="3"/>
        <v xml:space="preserve"> </v>
      </c>
      <c r="F35" s="258" t="str">
        <f t="shared" si="3"/>
        <v xml:space="preserve"> </v>
      </c>
      <c r="G35" s="258" t="str">
        <f t="shared" si="3"/>
        <v xml:space="preserve"> </v>
      </c>
      <c r="H35" s="259" t="str">
        <f t="shared" si="3"/>
        <v xml:space="preserve"> </v>
      </c>
      <c r="I35" s="127"/>
      <c r="J35" s="258" t="str">
        <f t="shared" si="4"/>
        <v xml:space="preserve"> </v>
      </c>
      <c r="K35" s="258" t="str">
        <f t="shared" si="4"/>
        <v xml:space="preserve"> </v>
      </c>
      <c r="L35" s="258" t="str">
        <f t="shared" si="4"/>
        <v xml:space="preserve"> </v>
      </c>
      <c r="M35" s="258" t="str">
        <f t="shared" si="4"/>
        <v xml:space="preserve"> </v>
      </c>
      <c r="N35" s="258" t="str">
        <f t="shared" si="4"/>
        <v xml:space="preserve"> </v>
      </c>
      <c r="O35" s="259" t="str">
        <f t="shared" si="4"/>
        <v xml:space="preserve"> </v>
      </c>
      <c r="S35" s="129"/>
      <c r="Z35" s="129"/>
    </row>
    <row r="36" spans="2:26" ht="12" customHeight="1">
      <c r="B36" s="128" t="s">
        <v>94</v>
      </c>
      <c r="C36" s="258" t="str">
        <f t="shared" si="5"/>
        <v xml:space="preserve"> </v>
      </c>
      <c r="D36" s="258" t="str">
        <f t="shared" si="3"/>
        <v xml:space="preserve"> </v>
      </c>
      <c r="E36" s="258" t="str">
        <f t="shared" si="3"/>
        <v xml:space="preserve"> </v>
      </c>
      <c r="F36" s="258" t="str">
        <f t="shared" si="3"/>
        <v xml:space="preserve"> </v>
      </c>
      <c r="G36" s="258" t="str">
        <f t="shared" si="3"/>
        <v xml:space="preserve"> </v>
      </c>
      <c r="H36" s="259" t="str">
        <f t="shared" si="3"/>
        <v xml:space="preserve"> </v>
      </c>
      <c r="I36" s="127"/>
      <c r="J36" s="258" t="str">
        <f t="shared" si="4"/>
        <v xml:space="preserve"> </v>
      </c>
      <c r="K36" s="258" t="str">
        <f t="shared" si="4"/>
        <v xml:space="preserve"> </v>
      </c>
      <c r="L36" s="258" t="str">
        <f t="shared" si="4"/>
        <v xml:space="preserve"> </v>
      </c>
      <c r="M36" s="258" t="str">
        <f t="shared" si="4"/>
        <v xml:space="preserve"> </v>
      </c>
      <c r="N36" s="258" t="str">
        <f t="shared" si="4"/>
        <v xml:space="preserve"> </v>
      </c>
      <c r="O36" s="259" t="str">
        <f t="shared" si="4"/>
        <v xml:space="preserve"> </v>
      </c>
      <c r="S36" s="129"/>
      <c r="Z36" s="129"/>
    </row>
    <row r="37" spans="2:26" ht="12" customHeight="1">
      <c r="B37" s="128" t="s">
        <v>95</v>
      </c>
      <c r="C37" s="258" t="str">
        <f t="shared" si="5"/>
        <v xml:space="preserve"> </v>
      </c>
      <c r="D37" s="258" t="str">
        <f t="shared" si="3"/>
        <v xml:space="preserve"> </v>
      </c>
      <c r="E37" s="258" t="str">
        <f t="shared" si="3"/>
        <v xml:space="preserve"> </v>
      </c>
      <c r="F37" s="258" t="str">
        <f t="shared" si="3"/>
        <v xml:space="preserve"> </v>
      </c>
      <c r="G37" s="258" t="str">
        <f t="shared" si="3"/>
        <v xml:space="preserve"> </v>
      </c>
      <c r="H37" s="259" t="str">
        <f t="shared" si="3"/>
        <v xml:space="preserve"> </v>
      </c>
      <c r="I37" s="127"/>
      <c r="J37" s="258" t="str">
        <f t="shared" si="4"/>
        <v xml:space="preserve"> </v>
      </c>
      <c r="K37" s="258" t="str">
        <f t="shared" si="4"/>
        <v xml:space="preserve"> </v>
      </c>
      <c r="L37" s="258" t="str">
        <f t="shared" si="4"/>
        <v xml:space="preserve"> </v>
      </c>
      <c r="M37" s="258" t="str">
        <f t="shared" si="4"/>
        <v xml:space="preserve"> </v>
      </c>
      <c r="N37" s="258" t="str">
        <f t="shared" si="4"/>
        <v xml:space="preserve"> </v>
      </c>
      <c r="O37" s="259" t="str">
        <f t="shared" si="4"/>
        <v xml:space="preserve"> </v>
      </c>
      <c r="Z37" s="129"/>
    </row>
    <row r="38" spans="2:26" ht="12" customHeight="1">
      <c r="B38" s="128" t="s">
        <v>96</v>
      </c>
      <c r="C38" s="258" t="str">
        <f t="shared" si="5"/>
        <v xml:space="preserve"> </v>
      </c>
      <c r="D38" s="258" t="str">
        <f t="shared" si="3"/>
        <v xml:space="preserve"> </v>
      </c>
      <c r="E38" s="258" t="str">
        <f t="shared" si="3"/>
        <v xml:space="preserve"> </v>
      </c>
      <c r="F38" s="258" t="str">
        <f t="shared" si="3"/>
        <v xml:space="preserve"> </v>
      </c>
      <c r="G38" s="258" t="str">
        <f t="shared" si="3"/>
        <v xml:space="preserve"> </v>
      </c>
      <c r="H38" s="259" t="str">
        <f t="shared" si="3"/>
        <v xml:space="preserve"> </v>
      </c>
      <c r="I38" s="127"/>
      <c r="J38" s="258" t="str">
        <f t="shared" si="4"/>
        <v xml:space="preserve"> </v>
      </c>
      <c r="K38" s="258" t="str">
        <f t="shared" si="4"/>
        <v xml:space="preserve"> </v>
      </c>
      <c r="L38" s="258" t="str">
        <f t="shared" si="4"/>
        <v xml:space="preserve"> </v>
      </c>
      <c r="M38" s="258" t="str">
        <f t="shared" si="4"/>
        <v xml:space="preserve"> </v>
      </c>
      <c r="N38" s="258" t="str">
        <f t="shared" si="4"/>
        <v xml:space="preserve"> </v>
      </c>
      <c r="O38" s="259" t="str">
        <f t="shared" si="4"/>
        <v xml:space="preserve"> </v>
      </c>
      <c r="S38" s="129"/>
      <c r="Z38" s="129"/>
    </row>
    <row r="39" spans="2:26" ht="12" customHeight="1">
      <c r="B39" s="128" t="s">
        <v>97</v>
      </c>
      <c r="C39" s="258" t="str">
        <f t="shared" si="5"/>
        <v xml:space="preserve"> </v>
      </c>
      <c r="D39" s="258" t="str">
        <f t="shared" si="3"/>
        <v xml:space="preserve"> </v>
      </c>
      <c r="E39" s="258" t="str">
        <f t="shared" si="3"/>
        <v xml:space="preserve"> </v>
      </c>
      <c r="F39" s="258" t="str">
        <f t="shared" si="3"/>
        <v xml:space="preserve"> </v>
      </c>
      <c r="G39" s="258" t="str">
        <f t="shared" si="3"/>
        <v xml:space="preserve"> </v>
      </c>
      <c r="H39" s="259" t="str">
        <f t="shared" si="3"/>
        <v xml:space="preserve"> </v>
      </c>
      <c r="I39" s="127"/>
      <c r="J39" s="258" t="str">
        <f t="shared" si="4"/>
        <v xml:space="preserve"> </v>
      </c>
      <c r="K39" s="258" t="str">
        <f t="shared" si="4"/>
        <v xml:space="preserve"> </v>
      </c>
      <c r="L39" s="258" t="str">
        <f t="shared" si="4"/>
        <v xml:space="preserve"> </v>
      </c>
      <c r="M39" s="258" t="str">
        <f t="shared" si="4"/>
        <v xml:space="preserve"> </v>
      </c>
      <c r="N39" s="258" t="str">
        <f t="shared" si="4"/>
        <v xml:space="preserve"> </v>
      </c>
      <c r="O39" s="259" t="str">
        <f t="shared" si="4"/>
        <v xml:space="preserve"> </v>
      </c>
      <c r="S39" s="129"/>
      <c r="Z39" s="129"/>
    </row>
    <row r="40" spans="2:26" ht="12" customHeight="1">
      <c r="B40" s="128" t="s">
        <v>98</v>
      </c>
      <c r="C40" s="258" t="str">
        <f t="shared" si="5"/>
        <v xml:space="preserve"> </v>
      </c>
      <c r="D40" s="258" t="str">
        <f t="shared" si="5"/>
        <v xml:space="preserve"> </v>
      </c>
      <c r="E40" s="258" t="str">
        <f t="shared" si="5"/>
        <v xml:space="preserve"> </v>
      </c>
      <c r="F40" s="258" t="str">
        <f t="shared" si="5"/>
        <v xml:space="preserve"> </v>
      </c>
      <c r="G40" s="258" t="str">
        <f t="shared" si="5"/>
        <v xml:space="preserve"> </v>
      </c>
      <c r="H40" s="259" t="str">
        <f t="shared" si="5"/>
        <v xml:space="preserve"> </v>
      </c>
      <c r="I40"/>
      <c r="J40" s="258" t="str">
        <f t="shared" si="4"/>
        <v xml:space="preserve"> </v>
      </c>
      <c r="K40" s="258" t="str">
        <f t="shared" si="4"/>
        <v xml:space="preserve"> </v>
      </c>
      <c r="L40" s="258" t="str">
        <f t="shared" si="4"/>
        <v xml:space="preserve"> </v>
      </c>
      <c r="M40" s="258" t="str">
        <f t="shared" si="4"/>
        <v xml:space="preserve"> </v>
      </c>
      <c r="N40" s="258" t="str">
        <f t="shared" si="4"/>
        <v xml:space="preserve"> </v>
      </c>
      <c r="O40" s="259" t="str">
        <f t="shared" si="4"/>
        <v xml:space="preserve"> </v>
      </c>
      <c r="S40" s="129"/>
      <c r="Z40" s="129"/>
    </row>
    <row r="41" spans="2:26" ht="12" customHeight="1">
      <c r="B41" s="128" t="s">
        <v>99</v>
      </c>
      <c r="C41" s="258" t="str">
        <f t="shared" si="5"/>
        <v xml:space="preserve"> </v>
      </c>
      <c r="D41" s="258" t="str">
        <f t="shared" si="5"/>
        <v xml:space="preserve"> </v>
      </c>
      <c r="E41" s="258" t="str">
        <f t="shared" si="5"/>
        <v xml:space="preserve"> </v>
      </c>
      <c r="F41" s="258" t="str">
        <f t="shared" si="5"/>
        <v xml:space="preserve"> </v>
      </c>
      <c r="G41" s="258" t="str">
        <f t="shared" si="5"/>
        <v xml:space="preserve"> </v>
      </c>
      <c r="H41" s="259" t="str">
        <f t="shared" si="5"/>
        <v xml:space="preserve"> </v>
      </c>
      <c r="I41"/>
      <c r="J41" s="258" t="str">
        <f t="shared" si="4"/>
        <v xml:space="preserve"> </v>
      </c>
      <c r="K41" s="258" t="str">
        <f t="shared" si="4"/>
        <v xml:space="preserve"> </v>
      </c>
      <c r="L41" s="258" t="str">
        <f t="shared" si="4"/>
        <v xml:space="preserve"> </v>
      </c>
      <c r="M41" s="258" t="str">
        <f t="shared" si="4"/>
        <v xml:space="preserve"> </v>
      </c>
      <c r="N41" s="258" t="str">
        <f t="shared" si="4"/>
        <v xml:space="preserve"> </v>
      </c>
      <c r="O41" s="259" t="str">
        <f t="shared" si="4"/>
        <v xml:space="preserve"> </v>
      </c>
      <c r="S41" s="129"/>
      <c r="Z41" s="129"/>
    </row>
    <row r="42" spans="2:26" ht="12" customHeight="1">
      <c r="B42" s="128"/>
      <c r="S42" s="129"/>
      <c r="Z42" s="129"/>
    </row>
    <row r="43" spans="2:26" ht="12" customHeight="1">
      <c r="B43" s="128"/>
      <c r="C43" s="125"/>
      <c r="D43" s="125"/>
      <c r="E43" s="125"/>
      <c r="F43" s="125"/>
      <c r="G43" s="125"/>
      <c r="H43" s="131"/>
      <c r="I43" s="127"/>
      <c r="J43" s="125"/>
      <c r="K43" s="125"/>
      <c r="L43" s="125"/>
      <c r="M43" s="125"/>
      <c r="N43" s="125"/>
      <c r="O43" s="131"/>
      <c r="S43" s="129"/>
      <c r="Z43" s="129"/>
    </row>
    <row r="44" spans="2:26" ht="11.1" customHeight="1">
      <c r="B44" s="19"/>
      <c r="C44" s="336" t="s">
        <v>100</v>
      </c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S44" s="129"/>
      <c r="Y44" s="129"/>
      <c r="Z44" s="129"/>
    </row>
    <row r="45" spans="2:26" ht="11.1" customHeight="1" thickBot="1">
      <c r="B45" s="19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S45" s="129"/>
    </row>
    <row r="46" spans="2:26" ht="6" customHeight="1">
      <c r="B46" s="19"/>
      <c r="C46" s="117"/>
      <c r="D46" s="118"/>
      <c r="E46" s="118"/>
      <c r="F46" s="118"/>
      <c r="G46" s="118"/>
      <c r="H46" s="118"/>
      <c r="I46" s="118"/>
      <c r="J46" s="117"/>
      <c r="K46" s="117"/>
      <c r="L46" s="117"/>
      <c r="M46" s="117"/>
      <c r="N46" s="117"/>
      <c r="O46" s="117"/>
    </row>
    <row r="47" spans="2:26" ht="12" customHeight="1">
      <c r="B47" s="19"/>
      <c r="C47" s="120" t="s">
        <v>83</v>
      </c>
      <c r="D47" s="120" t="s">
        <v>84</v>
      </c>
      <c r="E47" s="120" t="s">
        <v>85</v>
      </c>
      <c r="F47" s="120" t="s">
        <v>86</v>
      </c>
      <c r="G47" s="120" t="s">
        <v>57</v>
      </c>
      <c r="H47" s="121" t="s">
        <v>87</v>
      </c>
      <c r="I47" s="20"/>
      <c r="J47" s="120" t="s">
        <v>83</v>
      </c>
      <c r="K47" s="120" t="s">
        <v>84</v>
      </c>
      <c r="L47" s="120" t="s">
        <v>85</v>
      </c>
      <c r="M47" s="120" t="s">
        <v>86</v>
      </c>
      <c r="N47" s="120" t="s">
        <v>57</v>
      </c>
      <c r="O47" s="121" t="s">
        <v>87</v>
      </c>
      <c r="S47" s="129"/>
    </row>
    <row r="48" spans="2:26" ht="6" customHeight="1">
      <c r="B48" s="19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</row>
    <row r="49" spans="2:26" ht="13.5" customHeight="1">
      <c r="B49" s="132">
        <f t="shared" ref="B49:B51" si="6">B50-1</f>
        <v>2019</v>
      </c>
      <c r="C49" s="133">
        <f t="shared" ref="C49:H53" si="7">U66</f>
        <v>15.819780280125043</v>
      </c>
      <c r="D49" s="133">
        <f t="shared" si="7"/>
        <v>-0.41934025224926696</v>
      </c>
      <c r="E49" s="133">
        <f t="shared" si="7"/>
        <v>8.1782758896644054</v>
      </c>
      <c r="F49" s="133">
        <f t="shared" si="7"/>
        <v>57.579356510472877</v>
      </c>
      <c r="G49" s="133">
        <f t="shared" si="7"/>
        <v>21.615669658057492</v>
      </c>
      <c r="H49" s="134">
        <f t="shared" si="7"/>
        <v>9.0041023610912898</v>
      </c>
      <c r="I49" s="135"/>
      <c r="J49" s="133">
        <f t="shared" ref="J49:O53" si="8">U66</f>
        <v>15.819780280125043</v>
      </c>
      <c r="K49" s="133">
        <f t="shared" si="8"/>
        <v>-0.41934025224926696</v>
      </c>
      <c r="L49" s="133">
        <f t="shared" si="8"/>
        <v>8.1782758896644054</v>
      </c>
      <c r="M49" s="133">
        <f t="shared" si="8"/>
        <v>57.579356510472877</v>
      </c>
      <c r="N49" s="133">
        <f t="shared" si="8"/>
        <v>21.615669658057492</v>
      </c>
      <c r="O49" s="134">
        <f t="shared" si="8"/>
        <v>9.0041023610912898</v>
      </c>
    </row>
    <row r="50" spans="2:26" ht="13.5" customHeight="1">
      <c r="B50" s="132">
        <f t="shared" si="6"/>
        <v>2020</v>
      </c>
      <c r="C50" s="133">
        <f t="shared" si="7"/>
        <v>-5.4249840358153421</v>
      </c>
      <c r="D50" s="133">
        <f t="shared" si="7"/>
        <v>23.578825048941116</v>
      </c>
      <c r="E50" s="133">
        <f t="shared" si="7"/>
        <v>-4.1122628723780128</v>
      </c>
      <c r="F50" s="133">
        <f t="shared" si="7"/>
        <v>5.9540938677629311</v>
      </c>
      <c r="G50" s="133">
        <f t="shared" si="7"/>
        <v>-13.965871886683736</v>
      </c>
      <c r="H50" s="134">
        <f t="shared" si="7"/>
        <v>0.43624962966540215</v>
      </c>
      <c r="I50" s="135"/>
      <c r="J50" s="133">
        <f t="shared" si="8"/>
        <v>-5.4249840358153421</v>
      </c>
      <c r="K50" s="133">
        <f t="shared" si="8"/>
        <v>23.578825048941116</v>
      </c>
      <c r="L50" s="133">
        <f t="shared" si="8"/>
        <v>-4.1122628723780128</v>
      </c>
      <c r="M50" s="133">
        <f t="shared" si="8"/>
        <v>5.9540938677629311</v>
      </c>
      <c r="N50" s="133">
        <f t="shared" si="8"/>
        <v>-13.965871886683736</v>
      </c>
      <c r="O50" s="134">
        <f t="shared" si="8"/>
        <v>0.43624962966540215</v>
      </c>
    </row>
    <row r="51" spans="2:26" ht="13.5" customHeight="1">
      <c r="B51" s="132">
        <f t="shared" si="6"/>
        <v>2021</v>
      </c>
      <c r="C51" s="133">
        <f t="shared" si="7"/>
        <v>-3.3642805139733252</v>
      </c>
      <c r="D51" s="133">
        <f t="shared" si="7"/>
        <v>-24.554388766498178</v>
      </c>
      <c r="E51" s="133">
        <f t="shared" si="7"/>
        <v>6.0114677498989311</v>
      </c>
      <c r="F51" s="133">
        <f t="shared" si="7"/>
        <v>10.400769529229184</v>
      </c>
      <c r="G51" s="133">
        <f t="shared" si="7"/>
        <v>3.4703729312428195</v>
      </c>
      <c r="H51" s="134">
        <f t="shared" si="7"/>
        <v>-3.1185020534974872</v>
      </c>
      <c r="I51" s="135"/>
      <c r="J51" s="133">
        <f t="shared" si="8"/>
        <v>-3.3642805139733252</v>
      </c>
      <c r="K51" s="133">
        <f t="shared" si="8"/>
        <v>-24.554388766498178</v>
      </c>
      <c r="L51" s="133">
        <f t="shared" si="8"/>
        <v>6.0114677498989311</v>
      </c>
      <c r="M51" s="133">
        <f t="shared" si="8"/>
        <v>10.400769529229184</v>
      </c>
      <c r="N51" s="133">
        <f t="shared" si="8"/>
        <v>3.4703729312428195</v>
      </c>
      <c r="O51" s="134">
        <f t="shared" si="8"/>
        <v>-3.1185020534974872</v>
      </c>
    </row>
    <row r="52" spans="2:26" ht="13.5" customHeight="1">
      <c r="B52" s="132">
        <f>B53-1</f>
        <v>2022</v>
      </c>
      <c r="C52" s="133">
        <f t="shared" si="7"/>
        <v>-1.7179189322747166</v>
      </c>
      <c r="D52" s="133">
        <f t="shared" si="7"/>
        <v>24.031950941447359</v>
      </c>
      <c r="E52" s="133">
        <f t="shared" si="7"/>
        <v>36.674075966913676</v>
      </c>
      <c r="F52" s="133">
        <f t="shared" si="7"/>
        <v>19.828084844668652</v>
      </c>
      <c r="G52" s="133">
        <f t="shared" si="7"/>
        <v>8.983973152486028</v>
      </c>
      <c r="H52" s="134">
        <f t="shared" si="7"/>
        <v>24.45401337103856</v>
      </c>
      <c r="I52" s="135"/>
      <c r="J52" s="133">
        <f t="shared" si="8"/>
        <v>-1.7179189322747166</v>
      </c>
      <c r="K52" s="133">
        <f t="shared" si="8"/>
        <v>24.031950941447359</v>
      </c>
      <c r="L52" s="133">
        <f t="shared" si="8"/>
        <v>36.674075966913676</v>
      </c>
      <c r="M52" s="133">
        <f t="shared" si="8"/>
        <v>19.828084844668652</v>
      </c>
      <c r="N52" s="133">
        <f t="shared" si="8"/>
        <v>8.983973152486028</v>
      </c>
      <c r="O52" s="134">
        <f t="shared" si="8"/>
        <v>24.45401337103856</v>
      </c>
    </row>
    <row r="53" spans="2:26" ht="13.5" customHeight="1">
      <c r="B53" s="132">
        <f>Año_anterior_seleccionado_C.2.2</f>
        <v>2023</v>
      </c>
      <c r="C53" s="133">
        <f t="shared" si="7"/>
        <v>14.793642303014792</v>
      </c>
      <c r="D53" s="133">
        <f t="shared" si="7"/>
        <v>20.83961702048321</v>
      </c>
      <c r="E53" s="133">
        <f t="shared" si="7"/>
        <v>-3.7811771346848162</v>
      </c>
      <c r="F53" s="133">
        <f t="shared" si="7"/>
        <v>-1.8355126481730395</v>
      </c>
      <c r="G53" s="133">
        <f t="shared" si="7"/>
        <v>8.447138094110807</v>
      </c>
      <c r="H53" s="134">
        <f t="shared" si="7"/>
        <v>4.3096488676390505</v>
      </c>
      <c r="I53" s="135"/>
      <c r="J53" s="133">
        <f t="shared" si="8"/>
        <v>14.793642303014792</v>
      </c>
      <c r="K53" s="133">
        <f t="shared" si="8"/>
        <v>20.83961702048321</v>
      </c>
      <c r="L53" s="133">
        <f t="shared" si="8"/>
        <v>-3.7811771346848162</v>
      </c>
      <c r="M53" s="133">
        <f t="shared" si="8"/>
        <v>-1.8355126481730395</v>
      </c>
      <c r="N53" s="133">
        <f t="shared" si="8"/>
        <v>8.447138094110807</v>
      </c>
      <c r="O53" s="134">
        <f t="shared" si="8"/>
        <v>4.3096488676390505</v>
      </c>
    </row>
    <row r="54" spans="2:26" ht="13.8">
      <c r="B54" s="19"/>
      <c r="C54" s="133"/>
      <c r="D54" s="133"/>
      <c r="E54" s="133"/>
      <c r="F54" s="133"/>
      <c r="G54" s="133"/>
      <c r="H54" s="136"/>
      <c r="I54" s="135"/>
      <c r="J54" s="133"/>
      <c r="K54" s="133"/>
      <c r="L54" s="133"/>
      <c r="M54" s="133"/>
      <c r="N54" s="133"/>
      <c r="O54" s="136"/>
    </row>
    <row r="55" spans="2:26" ht="14.4" customHeight="1" thickBot="1">
      <c r="B55" s="116"/>
      <c r="C55" s="335" t="s">
        <v>116</v>
      </c>
      <c r="D55" s="335"/>
      <c r="E55" s="335"/>
      <c r="F55" s="335"/>
      <c r="G55" s="335"/>
      <c r="H55" s="335"/>
      <c r="I55" s="17"/>
      <c r="J55" s="335" t="s">
        <v>73</v>
      </c>
      <c r="K55" s="334"/>
      <c r="L55" s="334"/>
      <c r="M55" s="334"/>
      <c r="N55" s="334"/>
      <c r="O55" s="334"/>
    </row>
    <row r="56" spans="2:26" ht="6" customHeight="1">
      <c r="B56" s="116"/>
      <c r="C56" s="117"/>
      <c r="D56" s="118"/>
      <c r="E56" s="118"/>
      <c r="F56" s="118"/>
      <c r="G56" s="118"/>
      <c r="H56" s="118"/>
      <c r="I56" s="118"/>
      <c r="J56" s="117"/>
      <c r="K56" s="117"/>
      <c r="L56" s="117"/>
      <c r="M56" s="117"/>
      <c r="N56" s="117"/>
      <c r="O56" s="117"/>
    </row>
    <row r="57" spans="2:26" ht="13.5" customHeight="1" thickBot="1">
      <c r="B57" s="124">
        <f>Año_anterior_seleccionado_C.2.2</f>
        <v>2023</v>
      </c>
      <c r="C57" s="137"/>
      <c r="D57" s="137"/>
      <c r="E57" s="137"/>
      <c r="F57" s="137"/>
      <c r="G57" s="137"/>
      <c r="H57" s="138"/>
      <c r="I57" s="139"/>
      <c r="J57" s="137"/>
      <c r="K57" s="137"/>
      <c r="L57" s="137"/>
      <c r="M57" s="137"/>
      <c r="N57" s="137"/>
      <c r="O57" s="138"/>
      <c r="U57" s="120" t="s">
        <v>101</v>
      </c>
      <c r="V57" s="120" t="s">
        <v>102</v>
      </c>
      <c r="W57" s="120" t="s">
        <v>103</v>
      </c>
      <c r="X57" s="120" t="s">
        <v>104</v>
      </c>
      <c r="Y57" s="120" t="s">
        <v>8</v>
      </c>
      <c r="Z57" s="140" t="s">
        <v>87</v>
      </c>
    </row>
    <row r="58" spans="2:26" ht="6" customHeight="1">
      <c r="B58" s="141"/>
      <c r="C58" s="137"/>
      <c r="D58" s="137"/>
      <c r="E58" s="137"/>
      <c r="F58" s="137"/>
      <c r="G58" s="137"/>
      <c r="H58" s="138"/>
      <c r="I58" s="139"/>
      <c r="J58" s="137"/>
      <c r="K58" s="137"/>
      <c r="L58" s="137"/>
      <c r="M58" s="137"/>
      <c r="N58" s="137"/>
      <c r="O58" s="138"/>
    </row>
    <row r="59" spans="2:26" ht="12" customHeight="1">
      <c r="B59" s="128" t="s">
        <v>88</v>
      </c>
      <c r="C59" s="142">
        <f>W131</f>
        <v>-10.974464758962313</v>
      </c>
      <c r="D59" s="142">
        <f t="shared" ref="D59:H59" si="9">X131</f>
        <v>82.004738853776331</v>
      </c>
      <c r="E59" s="142">
        <f t="shared" si="9"/>
        <v>19.561706406804081</v>
      </c>
      <c r="F59" s="142">
        <f t="shared" si="9"/>
        <v>59.932841638184328</v>
      </c>
      <c r="G59" s="142">
        <f t="shared" si="9"/>
        <v>31.34381126860093</v>
      </c>
      <c r="H59" s="143">
        <f t="shared" si="9"/>
        <v>55.619813389867069</v>
      </c>
      <c r="I59" s="144"/>
      <c r="J59" s="142">
        <f t="shared" ref="J59:O70" si="10">AD131</f>
        <v>-10.974464758962313</v>
      </c>
      <c r="K59" s="142">
        <f t="shared" si="10"/>
        <v>82.004738853776331</v>
      </c>
      <c r="L59" s="142">
        <f t="shared" si="10"/>
        <v>19.561706406804081</v>
      </c>
      <c r="M59" s="142">
        <f t="shared" si="10"/>
        <v>59.932841638184328</v>
      </c>
      <c r="N59" s="142">
        <f t="shared" si="10"/>
        <v>31.34381126860093</v>
      </c>
      <c r="O59" s="143">
        <f t="shared" si="10"/>
        <v>55.619813389867069</v>
      </c>
      <c r="T59" s="145">
        <f>T60-1</f>
        <v>2018</v>
      </c>
      <c r="U59" s="125">
        <f t="shared" ref="U59:U64" si="11">-SUMIFS(IRPF_devoluciones_total,Años_datos,$T59)/1000</f>
        <v>11436.107</v>
      </c>
      <c r="V59" s="125">
        <f t="shared" ref="V59:V64" si="12">-SUMIFS(IS_devoluciones_total,Años_datos,$T59)/1000</f>
        <v>9920.8220000000001</v>
      </c>
      <c r="W59" s="125">
        <f t="shared" ref="W59:W64" si="13">-SUMIFS(IVA_devoluciones_total,Años_datos,$T59)/1000</f>
        <v>25978.812999999998</v>
      </c>
      <c r="X59" s="125">
        <f t="shared" ref="X59:X64" si="14">-SUMIFS(IIEE_devoluciones_total,Años_datos,$T59)/1000</f>
        <v>370.48</v>
      </c>
      <c r="Y59" s="125">
        <f>Z59-SUM(U59:X59)</f>
        <v>1506.6569999999992</v>
      </c>
      <c r="Z59" s="146">
        <f t="shared" ref="Z59:Z64" si="15">-SUMIFS(Ingresos_totales_devoluciones,Años_datos,$T59)/1000</f>
        <v>49212.879000000001</v>
      </c>
    </row>
    <row r="60" spans="2:26" ht="12" customHeight="1">
      <c r="B60" s="128" t="s">
        <v>89</v>
      </c>
      <c r="C60" s="142">
        <f t="shared" ref="C60:H70" si="16">W132</f>
        <v>34.688444616383315</v>
      </c>
      <c r="D60" s="142">
        <f t="shared" si="16"/>
        <v>19.093713609556364</v>
      </c>
      <c r="E60" s="142">
        <f t="shared" si="16"/>
        <v>-34.53802747484535</v>
      </c>
      <c r="F60" s="142">
        <f t="shared" si="16"/>
        <v>-29.944033579852093</v>
      </c>
      <c r="G60" s="142">
        <f t="shared" si="16"/>
        <v>-17.183431547210777</v>
      </c>
      <c r="H60" s="143">
        <f t="shared" si="16"/>
        <v>-23.180068146410626</v>
      </c>
      <c r="I60" s="144"/>
      <c r="J60" s="142">
        <f t="shared" si="10"/>
        <v>0.93122094742798756</v>
      </c>
      <c r="K60" s="142">
        <f t="shared" si="10"/>
        <v>75.558410852974248</v>
      </c>
      <c r="L60" s="142">
        <f t="shared" si="10"/>
        <v>-10.80960354461973</v>
      </c>
      <c r="M60" s="142">
        <f t="shared" si="10"/>
        <v>-7.474477940845774</v>
      </c>
      <c r="N60" s="142">
        <f t="shared" si="10"/>
        <v>4.3761988852449578</v>
      </c>
      <c r="O60" s="143">
        <f t="shared" si="10"/>
        <v>28.971182696734608</v>
      </c>
      <c r="T60" s="145">
        <f>B49</f>
        <v>2019</v>
      </c>
      <c r="U60" s="125">
        <f t="shared" si="11"/>
        <v>13245.273999999999</v>
      </c>
      <c r="V60" s="125">
        <f t="shared" si="12"/>
        <v>9879.2199999999993</v>
      </c>
      <c r="W60" s="125">
        <f t="shared" si="13"/>
        <v>28103.432000000001</v>
      </c>
      <c r="X60" s="125">
        <f t="shared" si="14"/>
        <v>583.79999999999995</v>
      </c>
      <c r="Y60" s="125">
        <f t="shared" ref="Y60:Y64" si="17">Z60-SUM(U60:X60)</f>
        <v>1832.3309999999983</v>
      </c>
      <c r="Z60" s="146">
        <f t="shared" si="15"/>
        <v>53644.057000000001</v>
      </c>
    </row>
    <row r="61" spans="2:26" ht="12" customHeight="1">
      <c r="B61" s="128" t="s">
        <v>90</v>
      </c>
      <c r="C61" s="142">
        <f t="shared" si="16"/>
        <v>-2.3343444876291577</v>
      </c>
      <c r="D61" s="142">
        <f t="shared" si="16"/>
        <v>61.151580708678068</v>
      </c>
      <c r="E61" s="142">
        <f t="shared" si="16"/>
        <v>-3.1520057842009939</v>
      </c>
      <c r="F61" s="142">
        <f t="shared" si="16"/>
        <v>61.5213076187909</v>
      </c>
      <c r="G61" s="142">
        <f t="shared" si="16"/>
        <v>29.207826253016506</v>
      </c>
      <c r="H61" s="143">
        <f t="shared" si="16"/>
        <v>4.2629552833384485</v>
      </c>
      <c r="I61" s="144"/>
      <c r="J61" s="142">
        <f t="shared" si="10"/>
        <v>-5.5243542888911021E-2</v>
      </c>
      <c r="K61" s="142">
        <f t="shared" si="10"/>
        <v>74.782347042036506</v>
      </c>
      <c r="L61" s="142">
        <f t="shared" si="10"/>
        <v>-8.1319058351352496</v>
      </c>
      <c r="M61" s="142">
        <f t="shared" si="10"/>
        <v>18.712911806834473</v>
      </c>
      <c r="N61" s="142">
        <f t="shared" si="10"/>
        <v>13.170280331885451</v>
      </c>
      <c r="O61" s="143">
        <f t="shared" si="10"/>
        <v>23.029771311894162</v>
      </c>
      <c r="T61" s="145">
        <f>B50</f>
        <v>2020</v>
      </c>
      <c r="U61" s="125">
        <f t="shared" si="11"/>
        <v>12526.72</v>
      </c>
      <c r="V61" s="125">
        <f t="shared" si="12"/>
        <v>12208.624</v>
      </c>
      <c r="W61" s="125">
        <f t="shared" si="13"/>
        <v>26947.744999999999</v>
      </c>
      <c r="X61" s="125">
        <f t="shared" si="14"/>
        <v>618.55999999999995</v>
      </c>
      <c r="Y61" s="125">
        <f t="shared" si="17"/>
        <v>1576.4300000000076</v>
      </c>
      <c r="Z61" s="146">
        <f t="shared" si="15"/>
        <v>53878.078999999998</v>
      </c>
    </row>
    <row r="62" spans="2:26" ht="12" customHeight="1">
      <c r="B62" s="128" t="s">
        <v>91</v>
      </c>
      <c r="C62" s="142">
        <f t="shared" si="16"/>
        <v>1.555544747828713</v>
      </c>
      <c r="D62" s="142">
        <f t="shared" si="16"/>
        <v>-29.535277291039531</v>
      </c>
      <c r="E62" s="142">
        <f t="shared" si="16"/>
        <v>5.4012817457854778</v>
      </c>
      <c r="F62" s="142">
        <f t="shared" si="16"/>
        <v>23.316057090130947</v>
      </c>
      <c r="G62" s="142">
        <f t="shared" si="16"/>
        <v>19.880867072733373</v>
      </c>
      <c r="H62" s="143">
        <f t="shared" si="16"/>
        <v>3.2998968118988938</v>
      </c>
      <c r="I62" s="144"/>
      <c r="J62" s="142">
        <f t="shared" si="10"/>
        <v>1.1312937426090763</v>
      </c>
      <c r="K62" s="142">
        <f t="shared" si="10"/>
        <v>68.804170155170624</v>
      </c>
      <c r="L62" s="142">
        <f t="shared" si="10"/>
        <v>-3.0725269902965477</v>
      </c>
      <c r="M62" s="142">
        <f t="shared" si="10"/>
        <v>20.952490114046661</v>
      </c>
      <c r="N62" s="142">
        <f t="shared" si="10"/>
        <v>15.348149563216667</v>
      </c>
      <c r="O62" s="143">
        <f t="shared" si="10"/>
        <v>15.987013791230808</v>
      </c>
      <c r="T62" s="145">
        <f>B51</f>
        <v>2021</v>
      </c>
      <c r="U62" s="125">
        <f t="shared" si="11"/>
        <v>12105.286</v>
      </c>
      <c r="V62" s="125">
        <f t="shared" si="12"/>
        <v>9210.8709999999992</v>
      </c>
      <c r="W62" s="125">
        <f t="shared" si="13"/>
        <v>28567.7</v>
      </c>
      <c r="X62" s="125">
        <f t="shared" si="14"/>
        <v>682.89499999999998</v>
      </c>
      <c r="Y62" s="125">
        <f t="shared" si="17"/>
        <v>1631.137999999999</v>
      </c>
      <c r="Z62" s="146">
        <f t="shared" si="15"/>
        <v>52197.89</v>
      </c>
    </row>
    <row r="63" spans="2:26" ht="12" customHeight="1">
      <c r="B63" s="128" t="s">
        <v>92</v>
      </c>
      <c r="C63" s="142">
        <f t="shared" si="16"/>
        <v>2.9513057417031825</v>
      </c>
      <c r="D63" s="142" t="str">
        <f t="shared" si="16"/>
        <v>-</v>
      </c>
      <c r="E63" s="142">
        <f t="shared" si="16"/>
        <v>8.6603483133620127</v>
      </c>
      <c r="F63" s="142">
        <f t="shared" si="16"/>
        <v>-26.063406085709733</v>
      </c>
      <c r="G63" s="142">
        <f t="shared" si="16"/>
        <v>53.182365332530132</v>
      </c>
      <c r="H63" s="143">
        <f t="shared" si="16"/>
        <v>23.514308895642209</v>
      </c>
      <c r="I63" s="144"/>
      <c r="J63" s="142">
        <f t="shared" si="10"/>
        <v>1.9228672445053008</v>
      </c>
      <c r="K63" s="142">
        <f t="shared" si="10"/>
        <v>89.4743201299611</v>
      </c>
      <c r="L63" s="142">
        <f t="shared" si="10"/>
        <v>-0.15496134933521249</v>
      </c>
      <c r="M63" s="142">
        <f t="shared" si="10"/>
        <v>8.5138666441878144</v>
      </c>
      <c r="N63" s="142">
        <f t="shared" si="10"/>
        <v>21.474227898501969</v>
      </c>
      <c r="O63" s="143">
        <f t="shared" si="10"/>
        <v>17.83447147137144</v>
      </c>
      <c r="T63" s="145">
        <f>B52</f>
        <v>2022</v>
      </c>
      <c r="U63" s="125">
        <f t="shared" si="11"/>
        <v>11897.326999999999</v>
      </c>
      <c r="V63" s="125">
        <f t="shared" si="12"/>
        <v>11424.423000000001</v>
      </c>
      <c r="W63" s="125">
        <f t="shared" si="13"/>
        <v>39044.639999999999</v>
      </c>
      <c r="X63" s="125">
        <f t="shared" si="14"/>
        <v>818.3</v>
      </c>
      <c r="Y63" s="125">
        <f t="shared" si="17"/>
        <v>1777.6789999999964</v>
      </c>
      <c r="Z63" s="146">
        <f t="shared" si="15"/>
        <v>64962.368999999999</v>
      </c>
    </row>
    <row r="64" spans="2:26" ht="12" customHeight="1">
      <c r="B64" s="128" t="s">
        <v>93</v>
      </c>
      <c r="C64" s="142">
        <f t="shared" si="16"/>
        <v>26.827621725192774</v>
      </c>
      <c r="D64" s="142">
        <f t="shared" si="16"/>
        <v>-33.477024451538817</v>
      </c>
      <c r="E64" s="142">
        <f t="shared" si="16"/>
        <v>-0.69351701221138373</v>
      </c>
      <c r="F64" s="142">
        <f t="shared" si="16"/>
        <v>-7.6721103679308236</v>
      </c>
      <c r="G64" s="142">
        <f t="shared" si="16"/>
        <v>8.9347286186194221</v>
      </c>
      <c r="H64" s="143">
        <f t="shared" si="16"/>
        <v>9.0730492407835683</v>
      </c>
      <c r="I64" s="144"/>
      <c r="J64" s="142">
        <f t="shared" si="10"/>
        <v>9.9406540873929963</v>
      </c>
      <c r="K64" s="142">
        <f t="shared" si="10"/>
        <v>85.322204377813264</v>
      </c>
      <c r="L64" s="142">
        <f t="shared" si="10"/>
        <v>-0.27462350377005695</v>
      </c>
      <c r="M64" s="142">
        <f t="shared" si="10"/>
        <v>4.680342347703256</v>
      </c>
      <c r="N64" s="142">
        <f t="shared" si="10"/>
        <v>18.665136220924204</v>
      </c>
      <c r="O64" s="143">
        <f t="shared" si="10"/>
        <v>15.912962896959757</v>
      </c>
      <c r="T64" s="145">
        <f>B53</f>
        <v>2023</v>
      </c>
      <c r="U64" s="125">
        <f t="shared" si="11"/>
        <v>13657.375</v>
      </c>
      <c r="V64" s="125">
        <f t="shared" si="12"/>
        <v>13805.228999999999</v>
      </c>
      <c r="W64" s="125">
        <f t="shared" si="13"/>
        <v>37568.292999999998</v>
      </c>
      <c r="X64" s="125">
        <f t="shared" si="14"/>
        <v>803.28</v>
      </c>
      <c r="Y64" s="125">
        <f t="shared" si="17"/>
        <v>1927.8420000000042</v>
      </c>
      <c r="Z64" s="146">
        <f t="shared" si="15"/>
        <v>67762.019</v>
      </c>
    </row>
    <row r="65" spans="2:26" ht="12" customHeight="1">
      <c r="B65" s="128" t="s">
        <v>94</v>
      </c>
      <c r="C65" s="142">
        <f t="shared" si="16"/>
        <v>50.483984201246521</v>
      </c>
      <c r="D65" s="142">
        <f t="shared" si="16"/>
        <v>-83.619566671595649</v>
      </c>
      <c r="E65" s="142">
        <f t="shared" si="16"/>
        <v>8.9279789721434692</v>
      </c>
      <c r="F65" s="142">
        <f t="shared" si="16"/>
        <v>9.2900041419301314</v>
      </c>
      <c r="G65" s="142">
        <f t="shared" si="16"/>
        <v>83.936410587476459</v>
      </c>
      <c r="H65" s="143">
        <f t="shared" si="16"/>
        <v>12.822661672059542</v>
      </c>
      <c r="I65" s="144"/>
      <c r="J65" s="142">
        <f t="shared" si="10"/>
        <v>14.035288073572463</v>
      </c>
      <c r="K65" s="142">
        <f t="shared" si="10"/>
        <v>76.110796717577927</v>
      </c>
      <c r="L65" s="142">
        <f t="shared" si="10"/>
        <v>1.4721127900555278</v>
      </c>
      <c r="M65" s="142">
        <f t="shared" si="10"/>
        <v>5.3000475621498078</v>
      </c>
      <c r="N65" s="142">
        <f t="shared" si="10"/>
        <v>28.021910011625884</v>
      </c>
      <c r="O65" s="143">
        <f t="shared" si="10"/>
        <v>15.45610663101818</v>
      </c>
      <c r="T65" s="147"/>
    </row>
    <row r="66" spans="2:26" ht="12" customHeight="1">
      <c r="B66" s="128" t="s">
        <v>95</v>
      </c>
      <c r="C66" s="142">
        <f t="shared" si="16"/>
        <v>51.730717749817892</v>
      </c>
      <c r="D66" s="142">
        <f t="shared" si="16"/>
        <v>-55.877944422743255</v>
      </c>
      <c r="E66" s="142">
        <f t="shared" si="16"/>
        <v>-2.3583890542498471</v>
      </c>
      <c r="F66" s="142">
        <f t="shared" si="16"/>
        <v>-4.2193896538890963</v>
      </c>
      <c r="G66" s="142">
        <f t="shared" si="16"/>
        <v>-51.379639516588441</v>
      </c>
      <c r="H66" s="143">
        <f t="shared" si="16"/>
        <v>-2.8282146053634838</v>
      </c>
      <c r="I66" s="144"/>
      <c r="J66" s="142">
        <f t="shared" si="10"/>
        <v>15.302100284582224</v>
      </c>
      <c r="K66" s="142">
        <f t="shared" si="10"/>
        <v>73.379391116111648</v>
      </c>
      <c r="L66" s="142">
        <f t="shared" si="10"/>
        <v>1.0637857037385723</v>
      </c>
      <c r="M66" s="142">
        <f t="shared" si="10"/>
        <v>4.4366433407101526</v>
      </c>
      <c r="N66" s="142">
        <f t="shared" si="10"/>
        <v>9.390267008299352</v>
      </c>
      <c r="O66" s="143">
        <f t="shared" si="10"/>
        <v>13.958175594745487</v>
      </c>
      <c r="T66" s="145">
        <f>T60</f>
        <v>2019</v>
      </c>
      <c r="U66" s="148">
        <f t="shared" ref="U66:Z70" si="18">IF(U59=0,"-",IF(ABS((U60-U59)/ABS(U59))*100&gt;=100,"-",IF((U60/U59)&lt;0,"-",((U60-U59)/ABS(U59))*100)))</f>
        <v>15.819780280125043</v>
      </c>
      <c r="V66" s="148">
        <f t="shared" si="18"/>
        <v>-0.41934025224926696</v>
      </c>
      <c r="W66" s="148">
        <f t="shared" si="18"/>
        <v>8.1782758896644054</v>
      </c>
      <c r="X66" s="148">
        <f t="shared" si="18"/>
        <v>57.579356510472877</v>
      </c>
      <c r="Y66" s="148">
        <f t="shared" si="18"/>
        <v>21.615669658057492</v>
      </c>
      <c r="Z66" s="149">
        <f t="shared" si="18"/>
        <v>9.0041023610912898</v>
      </c>
    </row>
    <row r="67" spans="2:26" ht="12" customHeight="1">
      <c r="B67" s="128" t="s">
        <v>96</v>
      </c>
      <c r="C67" s="142">
        <f t="shared" si="16"/>
        <v>17.547318120001488</v>
      </c>
      <c r="D67" s="142" t="str">
        <f t="shared" si="16"/>
        <v>-</v>
      </c>
      <c r="E67" s="142">
        <f t="shared" si="16"/>
        <v>-14.618288192492324</v>
      </c>
      <c r="F67" s="142">
        <f t="shared" si="16"/>
        <v>27.529717682020806</v>
      </c>
      <c r="G67" s="142" t="str">
        <f t="shared" si="16"/>
        <v>-</v>
      </c>
      <c r="H67" s="143">
        <f t="shared" si="16"/>
        <v>-2.2989268191888161</v>
      </c>
      <c r="I67" s="144"/>
      <c r="J67" s="142">
        <f t="shared" si="10"/>
        <v>15.374956274737178</v>
      </c>
      <c r="K67" s="142">
        <f t="shared" si="10"/>
        <v>76.13615494553504</v>
      </c>
      <c r="L67" s="142">
        <f t="shared" si="10"/>
        <v>-0.57914286609949917</v>
      </c>
      <c r="M67" s="142">
        <f t="shared" si="10"/>
        <v>6.7921196861969433</v>
      </c>
      <c r="N67" s="142">
        <f t="shared" si="10"/>
        <v>14.459382199413398</v>
      </c>
      <c r="O67" s="143">
        <f t="shared" si="10"/>
        <v>12.717626662792867</v>
      </c>
      <c r="T67" s="145">
        <f>T61</f>
        <v>2020</v>
      </c>
      <c r="U67" s="148">
        <f t="shared" si="18"/>
        <v>-5.4249840358153421</v>
      </c>
      <c r="V67" s="148">
        <f t="shared" si="18"/>
        <v>23.578825048941116</v>
      </c>
      <c r="W67" s="148">
        <f t="shared" si="18"/>
        <v>-4.1122628723780128</v>
      </c>
      <c r="X67" s="148">
        <f t="shared" si="18"/>
        <v>5.9540938677629311</v>
      </c>
      <c r="Y67" s="148">
        <f t="shared" si="18"/>
        <v>-13.965871886683736</v>
      </c>
      <c r="Z67" s="149">
        <f t="shared" si="18"/>
        <v>0.43624962966540215</v>
      </c>
    </row>
    <row r="68" spans="2:26" ht="12" customHeight="1">
      <c r="B68" s="128" t="s">
        <v>97</v>
      </c>
      <c r="C68" s="142">
        <f t="shared" si="16"/>
        <v>8.1130026386881084</v>
      </c>
      <c r="D68" s="142">
        <f t="shared" si="16"/>
        <v>-55.537880762902972</v>
      </c>
      <c r="E68" s="142">
        <f t="shared" si="16"/>
        <v>-7.1210782993614288</v>
      </c>
      <c r="F68" s="142">
        <f t="shared" si="16"/>
        <v>19.714353900097304</v>
      </c>
      <c r="G68" s="142">
        <f t="shared" si="16"/>
        <v>59.154032449988406</v>
      </c>
      <c r="H68" s="143">
        <f t="shared" si="16"/>
        <v>-19.756293727290348</v>
      </c>
      <c r="I68" s="144"/>
      <c r="J68" s="142">
        <f t="shared" si="10"/>
        <v>14.894014979681206</v>
      </c>
      <c r="K68" s="142">
        <f t="shared" si="10"/>
        <v>40.081070773047927</v>
      </c>
      <c r="L68" s="142">
        <f t="shared" si="10"/>
        <v>-1.2499589513507663</v>
      </c>
      <c r="M68" s="142">
        <f t="shared" si="10"/>
        <v>8.0009273251820332</v>
      </c>
      <c r="N68" s="142">
        <f t="shared" si="10"/>
        <v>19.277587541709032</v>
      </c>
      <c r="O68" s="143">
        <f t="shared" si="10"/>
        <v>8.8171509907908927</v>
      </c>
      <c r="T68" s="145">
        <f>T62</f>
        <v>2021</v>
      </c>
      <c r="U68" s="148">
        <f t="shared" si="18"/>
        <v>-3.3642805139733252</v>
      </c>
      <c r="V68" s="148">
        <f t="shared" si="18"/>
        <v>-24.554388766498178</v>
      </c>
      <c r="W68" s="148">
        <f t="shared" si="18"/>
        <v>6.0114677498989311</v>
      </c>
      <c r="X68" s="148">
        <f t="shared" si="18"/>
        <v>10.400769529229184</v>
      </c>
      <c r="Y68" s="148">
        <f t="shared" si="18"/>
        <v>3.4703729312428195</v>
      </c>
      <c r="Z68" s="149">
        <f t="shared" si="18"/>
        <v>-3.1185020534974872</v>
      </c>
    </row>
    <row r="69" spans="2:26" ht="12" customHeight="1">
      <c r="B69" s="128" t="s">
        <v>98</v>
      </c>
      <c r="C69" s="142">
        <f t="shared" si="16"/>
        <v>12.837590561966325</v>
      </c>
      <c r="D69" s="142">
        <f t="shared" si="16"/>
        <v>-11.78999896110497</v>
      </c>
      <c r="E69" s="142">
        <f t="shared" si="16"/>
        <v>-16.335791404278723</v>
      </c>
      <c r="F69" s="142">
        <f t="shared" si="16"/>
        <v>4.8666007905138278</v>
      </c>
      <c r="G69" s="142">
        <f t="shared" si="16"/>
        <v>61.902913322560259</v>
      </c>
      <c r="H69" s="143">
        <f t="shared" si="16"/>
        <v>-10.276875197301086</v>
      </c>
      <c r="I69" s="144"/>
      <c r="J69" s="142">
        <f t="shared" si="10"/>
        <v>14.773524204640118</v>
      </c>
      <c r="K69" s="142">
        <f t="shared" si="10"/>
        <v>33.058728105953875</v>
      </c>
      <c r="L69" s="142">
        <f t="shared" si="10"/>
        <v>-2.8523541661005147</v>
      </c>
      <c r="M69" s="142">
        <f t="shared" si="10"/>
        <v>7.7595990464355351</v>
      </c>
      <c r="N69" s="142">
        <f t="shared" si="10"/>
        <v>22.565477802901274</v>
      </c>
      <c r="O69" s="143">
        <f t="shared" si="10"/>
        <v>6.9056953502860328</v>
      </c>
      <c r="T69" s="145">
        <f>T63</f>
        <v>2022</v>
      </c>
      <c r="U69" s="148">
        <f t="shared" si="18"/>
        <v>-1.7179189322747166</v>
      </c>
      <c r="V69" s="148">
        <f t="shared" si="18"/>
        <v>24.031950941447359</v>
      </c>
      <c r="W69" s="148">
        <f t="shared" si="18"/>
        <v>36.674075966913676</v>
      </c>
      <c r="X69" s="148">
        <f t="shared" si="18"/>
        <v>19.828084844668652</v>
      </c>
      <c r="Y69" s="148">
        <f t="shared" si="18"/>
        <v>8.983973152486028</v>
      </c>
      <c r="Z69" s="149">
        <f t="shared" si="18"/>
        <v>24.45401337103856</v>
      </c>
    </row>
    <row r="70" spans="2:26" ht="12" customHeight="1">
      <c r="B70" s="128" t="s">
        <v>99</v>
      </c>
      <c r="C70" s="142">
        <f t="shared" si="16"/>
        <v>15.137169344926537</v>
      </c>
      <c r="D70" s="142">
        <f t="shared" si="16"/>
        <v>-16.42095711705835</v>
      </c>
      <c r="E70" s="142">
        <f t="shared" si="16"/>
        <v>-10.796284317567428</v>
      </c>
      <c r="F70" s="142">
        <f t="shared" si="16"/>
        <v>-34.137478388935136</v>
      </c>
      <c r="G70" s="142">
        <f t="shared" si="16"/>
        <v>-50.893583642121619</v>
      </c>
      <c r="H70" s="143">
        <f t="shared" si="16"/>
        <v>-12.76429105201359</v>
      </c>
      <c r="I70" s="144"/>
      <c r="J70" s="142">
        <f t="shared" si="10"/>
        <v>14.793642303014806</v>
      </c>
      <c r="K70" s="142">
        <f t="shared" si="10"/>
        <v>20.839617020483214</v>
      </c>
      <c r="L70" s="142">
        <f t="shared" si="10"/>
        <v>-3.7811771346848162</v>
      </c>
      <c r="M70" s="142">
        <f t="shared" si="10"/>
        <v>-1.8355126481730533</v>
      </c>
      <c r="N70" s="142">
        <f t="shared" si="10"/>
        <v>8.4471380941104162</v>
      </c>
      <c r="O70" s="143">
        <f t="shared" si="10"/>
        <v>4.3096488676390283</v>
      </c>
      <c r="T70" s="145">
        <f>T64</f>
        <v>2023</v>
      </c>
      <c r="U70" s="148">
        <f t="shared" si="18"/>
        <v>14.793642303014792</v>
      </c>
      <c r="V70" s="148">
        <f t="shared" si="18"/>
        <v>20.83961702048321</v>
      </c>
      <c r="W70" s="148">
        <f t="shared" si="18"/>
        <v>-3.7811771346848162</v>
      </c>
      <c r="X70" s="148">
        <f t="shared" si="18"/>
        <v>-1.8355126481730395</v>
      </c>
      <c r="Y70" s="148">
        <f t="shared" si="18"/>
        <v>8.447138094110807</v>
      </c>
      <c r="Z70" s="149">
        <f t="shared" si="18"/>
        <v>4.3096488676390505</v>
      </c>
    </row>
    <row r="71" spans="2:26" ht="12" customHeight="1">
      <c r="B71" s="150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</row>
    <row r="72" spans="2:26" ht="13.5" customHeight="1" thickBot="1">
      <c r="B72" s="124">
        <f>Año_seleccionado_C.2.2</f>
        <v>2024</v>
      </c>
      <c r="C72" s="142"/>
      <c r="D72" s="142"/>
      <c r="E72" s="142"/>
      <c r="F72" s="142"/>
      <c r="G72" s="142"/>
      <c r="H72" s="152"/>
      <c r="I72" s="144"/>
      <c r="J72" s="142"/>
      <c r="K72" s="142"/>
      <c r="L72" s="142"/>
      <c r="M72" s="142"/>
      <c r="N72" s="142"/>
      <c r="O72" s="152"/>
    </row>
    <row r="73" spans="2:26" ht="6" customHeight="1">
      <c r="B73" s="141"/>
      <c r="C73" s="142"/>
      <c r="D73" s="142"/>
      <c r="E73" s="142"/>
      <c r="F73" s="142"/>
      <c r="G73" s="142"/>
      <c r="H73" s="152"/>
      <c r="I73" s="144"/>
      <c r="J73" s="142"/>
      <c r="K73" s="142"/>
      <c r="L73" s="142"/>
      <c r="M73" s="142"/>
      <c r="N73" s="142"/>
      <c r="O73" s="152"/>
    </row>
    <row r="74" spans="2:26" ht="12" customHeight="1">
      <c r="B74" s="128" t="s">
        <v>88</v>
      </c>
      <c r="C74" s="142">
        <f>IF($T117="SI"," ",W143)</f>
        <v>-6.0994996960770553</v>
      </c>
      <c r="D74" s="142">
        <f t="shared" ref="D74:H85" si="19">IF($T117="SI"," ",X143)</f>
        <v>2.7028093724881703</v>
      </c>
      <c r="E74" s="142">
        <f t="shared" si="19"/>
        <v>-10.446675376961728</v>
      </c>
      <c r="F74" s="142">
        <f t="shared" si="19"/>
        <v>55.852579484103181</v>
      </c>
      <c r="G74" s="142">
        <f t="shared" si="19"/>
        <v>-53.236265753087764</v>
      </c>
      <c r="H74" s="143">
        <f t="shared" si="19"/>
        <v>-1.2964322071028207</v>
      </c>
      <c r="I74" s="144"/>
      <c r="J74" s="142">
        <f t="shared" ref="J74:N85" si="20">IF($T117="SI"," ",AD143)</f>
        <v>-6.0994996960770553</v>
      </c>
      <c r="K74" s="142">
        <f t="shared" si="20"/>
        <v>2.7028093724881703</v>
      </c>
      <c r="L74" s="142">
        <f t="shared" si="20"/>
        <v>-10.446675376961728</v>
      </c>
      <c r="M74" s="142">
        <f t="shared" si="20"/>
        <v>55.852579484103181</v>
      </c>
      <c r="N74" s="142">
        <f>IF($T117="SI"," ",AH143)</f>
        <v>-53.236265753087764</v>
      </c>
      <c r="O74" s="143">
        <f t="shared" ref="O74:O85" si="21">IF($T117="SI"," ",AI143)</f>
        <v>-1.2964322071028207</v>
      </c>
    </row>
    <row r="75" spans="2:26" ht="12" customHeight="1">
      <c r="B75" s="128" t="s">
        <v>89</v>
      </c>
      <c r="C75" s="142">
        <f>IF($T118="SI"," ",W144)</f>
        <v>21.391155336591826</v>
      </c>
      <c r="D75" s="142">
        <f t="shared" si="19"/>
        <v>45.571626552695562</v>
      </c>
      <c r="E75" s="142">
        <f t="shared" si="19"/>
        <v>-5.5994956880820714</v>
      </c>
      <c r="F75" s="142">
        <f t="shared" si="19"/>
        <v>29.741219435647238</v>
      </c>
      <c r="G75" s="142">
        <f t="shared" si="19"/>
        <v>53.848381425173471</v>
      </c>
      <c r="H75" s="143">
        <f t="shared" si="19"/>
        <v>10.359423111849004</v>
      </c>
      <c r="I75" s="144"/>
      <c r="J75" s="142">
        <f t="shared" si="20"/>
        <v>3.465406908794018</v>
      </c>
      <c r="K75" s="142">
        <f t="shared" si="20"/>
        <v>5.6826588997349177</v>
      </c>
      <c r="L75" s="142">
        <f t="shared" si="20"/>
        <v>-8.4494434129975051</v>
      </c>
      <c r="M75" s="142">
        <f t="shared" si="20"/>
        <v>41.024934787187497</v>
      </c>
      <c r="N75" s="142">
        <f t="shared" si="20"/>
        <v>-6.0191075540950711</v>
      </c>
      <c r="O75" s="143">
        <f t="shared" si="21"/>
        <v>1.0514414158803052</v>
      </c>
    </row>
    <row r="76" spans="2:26" ht="12" customHeight="1">
      <c r="B76" s="128" t="s">
        <v>90</v>
      </c>
      <c r="C76" s="142" t="str">
        <f t="shared" ref="C76:C85" si="22">IF($T119="SI"," ",W145)</f>
        <v xml:space="preserve"> </v>
      </c>
      <c r="D76" s="142" t="str">
        <f t="shared" si="19"/>
        <v xml:space="preserve"> </v>
      </c>
      <c r="E76" s="142" t="str">
        <f t="shared" si="19"/>
        <v xml:space="preserve"> </v>
      </c>
      <c r="F76" s="142" t="str">
        <f t="shared" si="19"/>
        <v xml:space="preserve"> </v>
      </c>
      <c r="G76" s="142" t="str">
        <f t="shared" si="19"/>
        <v xml:space="preserve"> </v>
      </c>
      <c r="H76" s="143" t="str">
        <f t="shared" si="19"/>
        <v xml:space="preserve"> </v>
      </c>
      <c r="I76" s="144"/>
      <c r="J76" s="142" t="str">
        <f t="shared" si="20"/>
        <v xml:space="preserve"> </v>
      </c>
      <c r="K76" s="142" t="str">
        <f t="shared" si="20"/>
        <v xml:space="preserve"> </v>
      </c>
      <c r="L76" s="142" t="str">
        <f t="shared" si="20"/>
        <v xml:space="preserve"> </v>
      </c>
      <c r="M76" s="142" t="str">
        <f t="shared" si="20"/>
        <v xml:space="preserve"> </v>
      </c>
      <c r="N76" s="142" t="str">
        <f t="shared" si="20"/>
        <v xml:space="preserve"> </v>
      </c>
      <c r="O76" s="143" t="str">
        <f t="shared" si="21"/>
        <v xml:space="preserve"> </v>
      </c>
    </row>
    <row r="77" spans="2:26" ht="12" customHeight="1">
      <c r="B77" s="128" t="s">
        <v>91</v>
      </c>
      <c r="C77" s="142" t="str">
        <f t="shared" si="22"/>
        <v xml:space="preserve"> </v>
      </c>
      <c r="D77" s="142" t="str">
        <f t="shared" si="19"/>
        <v xml:space="preserve"> </v>
      </c>
      <c r="E77" s="142" t="str">
        <f t="shared" si="19"/>
        <v xml:space="preserve"> </v>
      </c>
      <c r="F77" s="142" t="str">
        <f t="shared" si="19"/>
        <v xml:space="preserve"> </v>
      </c>
      <c r="G77" s="142" t="str">
        <f t="shared" si="19"/>
        <v xml:space="preserve"> </v>
      </c>
      <c r="H77" s="143" t="str">
        <f t="shared" si="19"/>
        <v xml:space="preserve"> </v>
      </c>
      <c r="I77" s="144"/>
      <c r="J77" s="142" t="str">
        <f t="shared" si="20"/>
        <v xml:space="preserve"> </v>
      </c>
      <c r="K77" s="142" t="str">
        <f t="shared" si="20"/>
        <v xml:space="preserve"> </v>
      </c>
      <c r="L77" s="142" t="str">
        <f t="shared" si="20"/>
        <v xml:space="preserve"> </v>
      </c>
      <c r="M77" s="142" t="str">
        <f t="shared" si="20"/>
        <v xml:space="preserve"> </v>
      </c>
      <c r="N77" s="142" t="str">
        <f t="shared" si="20"/>
        <v xml:space="preserve"> </v>
      </c>
      <c r="O77" s="143" t="str">
        <f t="shared" si="21"/>
        <v xml:space="preserve"> </v>
      </c>
    </row>
    <row r="78" spans="2:26" ht="12" customHeight="1">
      <c r="B78" s="128" t="s">
        <v>92</v>
      </c>
      <c r="C78" s="142" t="str">
        <f t="shared" si="22"/>
        <v xml:space="preserve"> </v>
      </c>
      <c r="D78" s="142" t="str">
        <f t="shared" si="19"/>
        <v xml:space="preserve"> </v>
      </c>
      <c r="E78" s="142" t="str">
        <f t="shared" si="19"/>
        <v xml:space="preserve"> </v>
      </c>
      <c r="F78" s="142" t="str">
        <f t="shared" si="19"/>
        <v xml:space="preserve"> </v>
      </c>
      <c r="G78" s="142" t="str">
        <f t="shared" si="19"/>
        <v xml:space="preserve"> </v>
      </c>
      <c r="H78" s="143" t="str">
        <f t="shared" si="19"/>
        <v xml:space="preserve"> </v>
      </c>
      <c r="I78" s="144"/>
      <c r="J78" s="142" t="str">
        <f t="shared" si="20"/>
        <v xml:space="preserve"> </v>
      </c>
      <c r="K78" s="142" t="str">
        <f t="shared" si="20"/>
        <v xml:space="preserve"> </v>
      </c>
      <c r="L78" s="142" t="str">
        <f t="shared" si="20"/>
        <v xml:space="preserve"> </v>
      </c>
      <c r="M78" s="142" t="str">
        <f t="shared" si="20"/>
        <v xml:space="preserve"> </v>
      </c>
      <c r="N78" s="142" t="str">
        <f t="shared" si="20"/>
        <v xml:space="preserve"> </v>
      </c>
      <c r="O78" s="143" t="str">
        <f t="shared" si="21"/>
        <v xml:space="preserve"> </v>
      </c>
    </row>
    <row r="79" spans="2:26" ht="12" customHeight="1">
      <c r="B79" s="128" t="s">
        <v>93</v>
      </c>
      <c r="C79" s="142" t="str">
        <f t="shared" si="22"/>
        <v xml:space="preserve"> </v>
      </c>
      <c r="D79" s="142" t="str">
        <f t="shared" si="19"/>
        <v xml:space="preserve"> </v>
      </c>
      <c r="E79" s="142" t="str">
        <f t="shared" si="19"/>
        <v xml:space="preserve"> </v>
      </c>
      <c r="F79" s="142" t="str">
        <f t="shared" si="19"/>
        <v xml:space="preserve"> </v>
      </c>
      <c r="G79" s="142" t="str">
        <f t="shared" si="19"/>
        <v xml:space="preserve"> </v>
      </c>
      <c r="H79" s="143" t="str">
        <f t="shared" si="19"/>
        <v xml:space="preserve"> </v>
      </c>
      <c r="I79" s="153"/>
      <c r="J79" s="142" t="str">
        <f t="shared" si="20"/>
        <v xml:space="preserve"> </v>
      </c>
      <c r="K79" s="142" t="str">
        <f t="shared" si="20"/>
        <v xml:space="preserve"> </v>
      </c>
      <c r="L79" s="142" t="str">
        <f t="shared" si="20"/>
        <v xml:space="preserve"> </v>
      </c>
      <c r="M79" s="142" t="str">
        <f t="shared" si="20"/>
        <v xml:space="preserve"> </v>
      </c>
      <c r="N79" s="142" t="str">
        <f t="shared" si="20"/>
        <v xml:space="preserve"> </v>
      </c>
      <c r="O79" s="143" t="str">
        <f t="shared" si="21"/>
        <v xml:space="preserve"> </v>
      </c>
    </row>
    <row r="80" spans="2:26" ht="12" customHeight="1">
      <c r="B80" s="128" t="s">
        <v>94</v>
      </c>
      <c r="C80" s="142" t="str">
        <f t="shared" si="22"/>
        <v xml:space="preserve"> </v>
      </c>
      <c r="D80" s="142" t="str">
        <f t="shared" si="19"/>
        <v xml:space="preserve"> </v>
      </c>
      <c r="E80" s="142" t="str">
        <f t="shared" si="19"/>
        <v xml:space="preserve"> </v>
      </c>
      <c r="F80" s="142" t="str">
        <f t="shared" si="19"/>
        <v xml:space="preserve"> </v>
      </c>
      <c r="G80" s="142" t="str">
        <f t="shared" si="19"/>
        <v xml:space="preserve"> </v>
      </c>
      <c r="H80" s="143" t="str">
        <f t="shared" si="19"/>
        <v xml:space="preserve"> </v>
      </c>
      <c r="I80" s="153"/>
      <c r="J80" s="142" t="str">
        <f t="shared" si="20"/>
        <v xml:space="preserve"> </v>
      </c>
      <c r="K80" s="142" t="str">
        <f t="shared" si="20"/>
        <v xml:space="preserve"> </v>
      </c>
      <c r="L80" s="142" t="str">
        <f t="shared" si="20"/>
        <v xml:space="preserve"> </v>
      </c>
      <c r="M80" s="142" t="str">
        <f t="shared" si="20"/>
        <v xml:space="preserve"> </v>
      </c>
      <c r="N80" s="142" t="str">
        <f t="shared" si="20"/>
        <v xml:space="preserve"> </v>
      </c>
      <c r="O80" s="143" t="str">
        <f t="shared" si="21"/>
        <v xml:space="preserve"> </v>
      </c>
    </row>
    <row r="81" spans="1:35" ht="12" customHeight="1">
      <c r="B81" s="128" t="s">
        <v>95</v>
      </c>
      <c r="C81" s="142" t="str">
        <f t="shared" si="22"/>
        <v xml:space="preserve"> </v>
      </c>
      <c r="D81" s="142" t="str">
        <f t="shared" si="19"/>
        <v xml:space="preserve"> </v>
      </c>
      <c r="E81" s="142" t="str">
        <f t="shared" si="19"/>
        <v xml:space="preserve"> </v>
      </c>
      <c r="F81" s="142" t="str">
        <f t="shared" si="19"/>
        <v xml:space="preserve"> </v>
      </c>
      <c r="G81" s="142" t="str">
        <f t="shared" si="19"/>
        <v xml:space="preserve"> </v>
      </c>
      <c r="H81" s="143" t="str">
        <f t="shared" si="19"/>
        <v xml:space="preserve"> </v>
      </c>
      <c r="I81" s="153"/>
      <c r="J81" s="142" t="str">
        <f t="shared" si="20"/>
        <v xml:space="preserve"> </v>
      </c>
      <c r="K81" s="142" t="str">
        <f t="shared" si="20"/>
        <v xml:space="preserve"> </v>
      </c>
      <c r="L81" s="142" t="str">
        <f t="shared" si="20"/>
        <v xml:space="preserve"> </v>
      </c>
      <c r="M81" s="142" t="str">
        <f t="shared" si="20"/>
        <v xml:space="preserve"> </v>
      </c>
      <c r="N81" s="142" t="str">
        <f t="shared" si="20"/>
        <v xml:space="preserve"> </v>
      </c>
      <c r="O81" s="143" t="str">
        <f t="shared" si="21"/>
        <v xml:space="preserve"> </v>
      </c>
    </row>
    <row r="82" spans="1:35" ht="12" customHeight="1">
      <c r="B82" s="128" t="s">
        <v>96</v>
      </c>
      <c r="C82" s="142" t="str">
        <f t="shared" si="22"/>
        <v xml:space="preserve"> </v>
      </c>
      <c r="D82" s="142" t="str">
        <f t="shared" si="19"/>
        <v xml:space="preserve"> </v>
      </c>
      <c r="E82" s="142" t="str">
        <f t="shared" si="19"/>
        <v xml:space="preserve"> </v>
      </c>
      <c r="F82" s="142" t="str">
        <f t="shared" si="19"/>
        <v xml:space="preserve"> </v>
      </c>
      <c r="G82" s="142" t="str">
        <f t="shared" si="19"/>
        <v xml:space="preserve"> </v>
      </c>
      <c r="H82" s="143" t="str">
        <f t="shared" si="19"/>
        <v xml:space="preserve"> </v>
      </c>
      <c r="I82" s="153"/>
      <c r="J82" s="142" t="str">
        <f t="shared" si="20"/>
        <v xml:space="preserve"> </v>
      </c>
      <c r="K82" s="142" t="str">
        <f t="shared" si="20"/>
        <v xml:space="preserve"> </v>
      </c>
      <c r="L82" s="142" t="str">
        <f t="shared" si="20"/>
        <v xml:space="preserve"> </v>
      </c>
      <c r="M82" s="142" t="str">
        <f t="shared" si="20"/>
        <v xml:space="preserve"> </v>
      </c>
      <c r="N82" s="142" t="str">
        <f t="shared" si="20"/>
        <v xml:space="preserve"> </v>
      </c>
      <c r="O82" s="143" t="str">
        <f t="shared" si="21"/>
        <v xml:space="preserve"> </v>
      </c>
    </row>
    <row r="83" spans="1:35" ht="12" customHeight="1">
      <c r="B83" s="128" t="s">
        <v>97</v>
      </c>
      <c r="C83" s="142" t="str">
        <f t="shared" si="22"/>
        <v xml:space="preserve"> </v>
      </c>
      <c r="D83" s="142" t="str">
        <f t="shared" si="19"/>
        <v xml:space="preserve"> </v>
      </c>
      <c r="E83" s="142" t="str">
        <f t="shared" si="19"/>
        <v xml:space="preserve"> </v>
      </c>
      <c r="F83" s="142" t="str">
        <f t="shared" si="19"/>
        <v xml:space="preserve"> </v>
      </c>
      <c r="G83" s="142" t="str">
        <f t="shared" si="19"/>
        <v xml:space="preserve"> </v>
      </c>
      <c r="H83" s="143" t="str">
        <f t="shared" si="19"/>
        <v xml:space="preserve"> </v>
      </c>
      <c r="I83" s="153"/>
      <c r="J83" s="142" t="str">
        <f t="shared" si="20"/>
        <v xml:space="preserve"> </v>
      </c>
      <c r="K83" s="142" t="str">
        <f t="shared" si="20"/>
        <v xml:space="preserve"> </v>
      </c>
      <c r="L83" s="142" t="str">
        <f t="shared" si="20"/>
        <v xml:space="preserve"> </v>
      </c>
      <c r="M83" s="142" t="str">
        <f t="shared" si="20"/>
        <v xml:space="preserve"> </v>
      </c>
      <c r="N83" s="142" t="str">
        <f t="shared" si="20"/>
        <v xml:space="preserve"> </v>
      </c>
      <c r="O83" s="143" t="str">
        <f t="shared" si="21"/>
        <v xml:space="preserve"> </v>
      </c>
    </row>
    <row r="84" spans="1:35" ht="12" customHeight="1">
      <c r="B84" s="128" t="s">
        <v>98</v>
      </c>
      <c r="C84" s="142" t="str">
        <f t="shared" si="22"/>
        <v xml:space="preserve"> </v>
      </c>
      <c r="D84" s="142" t="str">
        <f t="shared" si="19"/>
        <v xml:space="preserve"> </v>
      </c>
      <c r="E84" s="142" t="str">
        <f t="shared" si="19"/>
        <v xml:space="preserve"> </v>
      </c>
      <c r="F84" s="142" t="str">
        <f t="shared" si="19"/>
        <v xml:space="preserve"> </v>
      </c>
      <c r="G84" s="142" t="str">
        <f t="shared" si="19"/>
        <v xml:space="preserve"> </v>
      </c>
      <c r="H84" s="143" t="str">
        <f t="shared" si="19"/>
        <v xml:space="preserve"> </v>
      </c>
      <c r="I84" s="153"/>
      <c r="J84" s="142" t="str">
        <f t="shared" si="20"/>
        <v xml:space="preserve"> </v>
      </c>
      <c r="K84" s="142" t="str">
        <f t="shared" si="20"/>
        <v xml:space="preserve"> </v>
      </c>
      <c r="L84" s="142" t="str">
        <f t="shared" si="20"/>
        <v xml:space="preserve"> </v>
      </c>
      <c r="M84" s="142" t="str">
        <f t="shared" si="20"/>
        <v xml:space="preserve"> </v>
      </c>
      <c r="N84" s="142" t="str">
        <f t="shared" si="20"/>
        <v xml:space="preserve"> </v>
      </c>
      <c r="O84" s="143" t="str">
        <f t="shared" si="21"/>
        <v xml:space="preserve"> </v>
      </c>
    </row>
    <row r="85" spans="1:35" ht="12" customHeight="1">
      <c r="B85" s="128" t="s">
        <v>99</v>
      </c>
      <c r="C85" s="142" t="str">
        <f t="shared" si="22"/>
        <v xml:space="preserve"> </v>
      </c>
      <c r="D85" s="142" t="str">
        <f t="shared" si="19"/>
        <v xml:space="preserve"> </v>
      </c>
      <c r="E85" s="142" t="str">
        <f t="shared" si="19"/>
        <v xml:space="preserve"> </v>
      </c>
      <c r="F85" s="142" t="str">
        <f t="shared" si="19"/>
        <v xml:space="preserve"> </v>
      </c>
      <c r="G85" s="142" t="str">
        <f t="shared" si="19"/>
        <v xml:space="preserve"> </v>
      </c>
      <c r="H85" s="143" t="str">
        <f t="shared" si="19"/>
        <v xml:space="preserve"> </v>
      </c>
      <c r="I85" s="153"/>
      <c r="J85" s="142" t="str">
        <f t="shared" si="20"/>
        <v xml:space="preserve"> </v>
      </c>
      <c r="K85" s="142" t="str">
        <f t="shared" si="20"/>
        <v xml:space="preserve"> </v>
      </c>
      <c r="L85" s="142" t="str">
        <f t="shared" si="20"/>
        <v xml:space="preserve"> </v>
      </c>
      <c r="M85" s="142" t="str">
        <f t="shared" si="20"/>
        <v xml:space="preserve"> </v>
      </c>
      <c r="N85" s="142" t="str">
        <f t="shared" si="20"/>
        <v xml:space="preserve"> </v>
      </c>
      <c r="O85" s="143" t="str">
        <f t="shared" si="21"/>
        <v xml:space="preserve"> </v>
      </c>
    </row>
    <row r="86" spans="1:35" ht="12" customHeight="1">
      <c r="B86" s="150"/>
    </row>
    <row r="87" spans="1:35" ht="12" customHeight="1">
      <c r="A87" s="110"/>
      <c r="B87" s="154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</row>
    <row r="88" spans="1:35" ht="25.2" customHeight="1">
      <c r="A88" s="155" t="str">
        <f>CONCATENATE("TAX REVENUE MONTHLY REPORT. ",$S$8," ",$S$7)</f>
        <v>TAX REVENUE MONTHLY REPORT. FEBRUARY 2024</v>
      </c>
      <c r="B88" s="155"/>
      <c r="C88" s="156"/>
      <c r="D88" s="157"/>
      <c r="E88" s="158"/>
      <c r="F88" s="159"/>
      <c r="G88" s="159"/>
      <c r="H88" s="81"/>
      <c r="I88" s="160"/>
      <c r="J88" s="160"/>
      <c r="K88" s="161"/>
      <c r="L88" s="160"/>
      <c r="M88" s="160"/>
      <c r="N88" s="160"/>
      <c r="O88" s="70"/>
      <c r="P88" s="162" t="s">
        <v>233</v>
      </c>
    </row>
    <row r="89" spans="1:35" ht="15" hidden="1" customHeight="1">
      <c r="B89" s="163"/>
      <c r="J89" s="65"/>
      <c r="K89" s="65"/>
      <c r="L89" s="65"/>
      <c r="M89" s="65"/>
      <c r="N89" s="65"/>
    </row>
    <row r="90" spans="1:35" ht="15" hidden="1" customHeight="1">
      <c r="J90" s="65"/>
      <c r="K90" s="65"/>
      <c r="L90" s="65"/>
      <c r="M90" s="65"/>
      <c r="N90" s="65"/>
      <c r="AD90" s="140" t="s">
        <v>106</v>
      </c>
    </row>
    <row r="91" spans="1:35" ht="15" hidden="1" customHeight="1">
      <c r="J91" s="65"/>
      <c r="K91" s="65"/>
      <c r="L91" s="65"/>
      <c r="M91" s="65"/>
      <c r="N91" s="65"/>
      <c r="W91" s="120" t="s">
        <v>101</v>
      </c>
      <c r="X91" s="120" t="s">
        <v>102</v>
      </c>
      <c r="Y91" s="120" t="s">
        <v>103</v>
      </c>
      <c r="Z91" s="120" t="s">
        <v>104</v>
      </c>
      <c r="AA91" s="120" t="s">
        <v>8</v>
      </c>
      <c r="AB91" s="140" t="s">
        <v>87</v>
      </c>
      <c r="AD91" s="120" t="s">
        <v>101</v>
      </c>
      <c r="AE91" s="120" t="s">
        <v>102</v>
      </c>
      <c r="AF91" s="120" t="s">
        <v>103</v>
      </c>
      <c r="AG91" s="120" t="s">
        <v>104</v>
      </c>
      <c r="AH91" s="120" t="s">
        <v>8</v>
      </c>
      <c r="AI91" s="140" t="s">
        <v>87</v>
      </c>
    </row>
    <row r="92" spans="1:35" ht="15" hidden="1" customHeight="1">
      <c r="J92" s="65"/>
      <c r="K92" s="65"/>
      <c r="L92" s="65"/>
      <c r="M92" s="65"/>
      <c r="N92" s="65"/>
    </row>
    <row r="93" spans="1:35" ht="15" hidden="1" customHeight="1">
      <c r="J93" s="65"/>
      <c r="K93" s="65"/>
      <c r="L93" s="65"/>
      <c r="M93" s="65"/>
      <c r="N93" s="65"/>
      <c r="U93" s="164">
        <f t="shared" ref="U93:U104" si="23">Año_seleccionado_C.2.2-2</f>
        <v>2022</v>
      </c>
      <c r="V93" s="165" t="s">
        <v>217</v>
      </c>
      <c r="W93" s="166">
        <f t="shared" ref="W93:W128" si="24">-SUMIFS(IRPF_devoluciones_total,Años_datos,$U93,Mes_datos,$V93)/1000</f>
        <v>432.42200000000003</v>
      </c>
      <c r="X93" s="166">
        <f t="shared" ref="X93:X128" si="25">-SUMIFS(IS_devoluciones_total,Años_datos,$U93,Mes_datos,$V93)/1000</f>
        <v>3730.86</v>
      </c>
      <c r="Y93" s="166">
        <f t="shared" ref="Y93:Y128" si="26">-SUMIFS(IVA_devoluciones_total,Años_datos,$U93,Mes_datos,$V93)/1000</f>
        <v>1870.527</v>
      </c>
      <c r="Z93" s="166">
        <f t="shared" ref="Z93:Z128" si="27">-SUMIFS(IIEE_devoluciones_total,Años_datos,$U93,Mes_datos,$V93)/1000</f>
        <v>16.677</v>
      </c>
      <c r="AA93" s="166">
        <f>AB93-SUM(W93:Z93)</f>
        <v>93.338999999999942</v>
      </c>
      <c r="AB93" s="146">
        <f t="shared" ref="AB93:AB128" si="28">-SUMIFS(Ingresos_totales_devoluciones,Años_datos,$U93,Mes_datos,$V93)/1000</f>
        <v>6143.8249999999998</v>
      </c>
      <c r="AD93" s="166">
        <f>W93</f>
        <v>432.42200000000003</v>
      </c>
      <c r="AE93" s="166">
        <f t="shared" ref="AE93:AI93" si="29">X93</f>
        <v>3730.86</v>
      </c>
      <c r="AF93" s="166">
        <f t="shared" si="29"/>
        <v>1870.527</v>
      </c>
      <c r="AG93" s="166">
        <f t="shared" si="29"/>
        <v>16.677</v>
      </c>
      <c r="AH93" s="166">
        <f t="shared" si="29"/>
        <v>93.338999999999942</v>
      </c>
      <c r="AI93" s="146">
        <f t="shared" si="29"/>
        <v>6143.8249999999998</v>
      </c>
    </row>
    <row r="94" spans="1:35" ht="15" hidden="1" customHeight="1">
      <c r="J94" s="65"/>
      <c r="K94" s="65"/>
      <c r="L94" s="65"/>
      <c r="M94" s="65"/>
      <c r="N94" s="65"/>
      <c r="U94" s="167">
        <f t="shared" si="23"/>
        <v>2022</v>
      </c>
      <c r="V94" s="98" t="s">
        <v>218</v>
      </c>
      <c r="W94" s="125">
        <f t="shared" si="24"/>
        <v>152.50899999999999</v>
      </c>
      <c r="X94" s="125">
        <f t="shared" si="25"/>
        <v>425.93599999999998</v>
      </c>
      <c r="Y94" s="125">
        <f t="shared" si="26"/>
        <v>2394.19</v>
      </c>
      <c r="Z94" s="125">
        <f t="shared" si="27"/>
        <v>50.03</v>
      </c>
      <c r="AA94" s="125">
        <f t="shared" ref="AA94:AA128" si="30">AB94-SUM(W94:Z94)</f>
        <v>116.7519999999995</v>
      </c>
      <c r="AB94" s="146">
        <f t="shared" si="28"/>
        <v>3139.4169999999999</v>
      </c>
      <c r="AD94" s="125">
        <f>AD93+W94</f>
        <v>584.93100000000004</v>
      </c>
      <c r="AE94" s="125">
        <f t="shared" ref="AE94:AI104" si="31">AE93+X94</f>
        <v>4156.7960000000003</v>
      </c>
      <c r="AF94" s="125">
        <f t="shared" si="31"/>
        <v>4264.7170000000006</v>
      </c>
      <c r="AG94" s="125">
        <f t="shared" si="31"/>
        <v>66.706999999999994</v>
      </c>
      <c r="AH94" s="125">
        <f t="shared" si="31"/>
        <v>210.09099999999944</v>
      </c>
      <c r="AI94" s="146">
        <f t="shared" si="31"/>
        <v>9283.2420000000002</v>
      </c>
    </row>
    <row r="95" spans="1:35" ht="15" hidden="1" customHeight="1">
      <c r="J95" s="65"/>
      <c r="K95" s="65"/>
      <c r="L95" s="65"/>
      <c r="M95" s="65"/>
      <c r="N95" s="65"/>
      <c r="U95" s="167">
        <f t="shared" si="23"/>
        <v>2022</v>
      </c>
      <c r="V95" s="98" t="s">
        <v>219</v>
      </c>
      <c r="W95" s="125">
        <f t="shared" si="24"/>
        <v>253.17599999999999</v>
      </c>
      <c r="X95" s="125">
        <f t="shared" si="25"/>
        <v>236.666</v>
      </c>
      <c r="Y95" s="125">
        <f t="shared" si="26"/>
        <v>2293.143</v>
      </c>
      <c r="Z95" s="125">
        <f t="shared" si="27"/>
        <v>40.807000000000002</v>
      </c>
      <c r="AA95" s="125">
        <f t="shared" si="30"/>
        <v>115.20200000000023</v>
      </c>
      <c r="AB95" s="146">
        <f t="shared" si="28"/>
        <v>2938.9940000000001</v>
      </c>
      <c r="AD95" s="125">
        <f t="shared" ref="AD95:AD104" si="32">AD94+W95</f>
        <v>838.10699999999997</v>
      </c>
      <c r="AE95" s="125">
        <f t="shared" si="31"/>
        <v>4393.4620000000004</v>
      </c>
      <c r="AF95" s="125">
        <f t="shared" si="31"/>
        <v>6557.8600000000006</v>
      </c>
      <c r="AG95" s="125">
        <f t="shared" si="31"/>
        <v>107.514</v>
      </c>
      <c r="AH95" s="125">
        <f t="shared" si="31"/>
        <v>325.29299999999967</v>
      </c>
      <c r="AI95" s="146">
        <f t="shared" si="31"/>
        <v>12222.236000000001</v>
      </c>
    </row>
    <row r="96" spans="1:35" ht="15" hidden="1" customHeight="1">
      <c r="J96" s="65"/>
      <c r="K96" s="65"/>
      <c r="L96" s="65"/>
      <c r="M96" s="65"/>
      <c r="N96" s="65"/>
      <c r="U96" s="167">
        <f t="shared" si="23"/>
        <v>2022</v>
      </c>
      <c r="V96" s="98" t="s">
        <v>220</v>
      </c>
      <c r="W96" s="125">
        <f t="shared" si="24"/>
        <v>2344.002</v>
      </c>
      <c r="X96" s="125">
        <f t="shared" si="25"/>
        <v>267.084</v>
      </c>
      <c r="Y96" s="125">
        <f t="shared" si="26"/>
        <v>3915.4409999999998</v>
      </c>
      <c r="Z96" s="125">
        <f t="shared" si="27"/>
        <v>101.874</v>
      </c>
      <c r="AA96" s="125">
        <f t="shared" si="30"/>
        <v>156.29600000000028</v>
      </c>
      <c r="AB96" s="146">
        <f t="shared" si="28"/>
        <v>6784.6970000000001</v>
      </c>
      <c r="AD96" s="125">
        <f t="shared" si="32"/>
        <v>3182.1089999999999</v>
      </c>
      <c r="AE96" s="125">
        <f t="shared" si="31"/>
        <v>4660.5460000000003</v>
      </c>
      <c r="AF96" s="125">
        <f t="shared" si="31"/>
        <v>10473.300999999999</v>
      </c>
      <c r="AG96" s="125">
        <f t="shared" si="31"/>
        <v>209.38799999999998</v>
      </c>
      <c r="AH96" s="125">
        <f t="shared" si="31"/>
        <v>481.58899999999994</v>
      </c>
      <c r="AI96" s="146">
        <f t="shared" si="31"/>
        <v>19006.933000000001</v>
      </c>
    </row>
    <row r="97" spans="10:35" ht="15" hidden="1" customHeight="1">
      <c r="J97" s="65"/>
      <c r="K97" s="65"/>
      <c r="L97" s="65"/>
      <c r="M97" s="65"/>
      <c r="N97" s="65"/>
      <c r="U97" s="167">
        <f t="shared" si="23"/>
        <v>2022</v>
      </c>
      <c r="V97" s="98" t="s">
        <v>221</v>
      </c>
      <c r="W97" s="125">
        <f t="shared" si="24"/>
        <v>2449.221</v>
      </c>
      <c r="X97" s="125">
        <f t="shared" si="25"/>
        <v>98.415000000000006</v>
      </c>
      <c r="Y97" s="125">
        <f t="shared" si="26"/>
        <v>3466.3040000000001</v>
      </c>
      <c r="Z97" s="125">
        <f t="shared" si="27"/>
        <v>75.323999999999998</v>
      </c>
      <c r="AA97" s="125">
        <f t="shared" si="30"/>
        <v>93.043999999999869</v>
      </c>
      <c r="AB97" s="146">
        <f t="shared" si="28"/>
        <v>6182.308</v>
      </c>
      <c r="AD97" s="125">
        <f t="shared" si="32"/>
        <v>5631.33</v>
      </c>
      <c r="AE97" s="125">
        <f t="shared" si="31"/>
        <v>4758.9610000000002</v>
      </c>
      <c r="AF97" s="125">
        <f t="shared" si="31"/>
        <v>13939.605</v>
      </c>
      <c r="AG97" s="125">
        <f t="shared" si="31"/>
        <v>284.71199999999999</v>
      </c>
      <c r="AH97" s="125">
        <f t="shared" si="31"/>
        <v>574.63299999999981</v>
      </c>
      <c r="AI97" s="146">
        <f t="shared" si="31"/>
        <v>25189.241000000002</v>
      </c>
    </row>
    <row r="98" spans="10:35" ht="15" hidden="1" customHeight="1">
      <c r="J98" s="65"/>
      <c r="K98" s="65"/>
      <c r="L98" s="65"/>
      <c r="M98" s="65"/>
      <c r="N98" s="65"/>
      <c r="U98" s="167">
        <f t="shared" si="23"/>
        <v>2022</v>
      </c>
      <c r="V98" s="98" t="s">
        <v>222</v>
      </c>
      <c r="W98" s="125">
        <f t="shared" si="24"/>
        <v>2673.7069999999999</v>
      </c>
      <c r="X98" s="125">
        <f t="shared" si="25"/>
        <v>166.32900000000001</v>
      </c>
      <c r="Y98" s="125">
        <f t="shared" si="26"/>
        <v>3982.0219999999999</v>
      </c>
      <c r="Z98" s="125">
        <f t="shared" si="27"/>
        <v>88.358999999999995</v>
      </c>
      <c r="AA98" s="125">
        <f t="shared" si="30"/>
        <v>165.89199999999983</v>
      </c>
      <c r="AB98" s="146">
        <f t="shared" si="28"/>
        <v>7076.3090000000002</v>
      </c>
      <c r="AD98" s="125">
        <f t="shared" si="32"/>
        <v>8305.0370000000003</v>
      </c>
      <c r="AE98" s="125">
        <f t="shared" si="31"/>
        <v>4925.29</v>
      </c>
      <c r="AF98" s="125">
        <f t="shared" si="31"/>
        <v>17921.627</v>
      </c>
      <c r="AG98" s="125">
        <f t="shared" si="31"/>
        <v>373.07099999999997</v>
      </c>
      <c r="AH98" s="125">
        <f t="shared" si="31"/>
        <v>740.52499999999964</v>
      </c>
      <c r="AI98" s="146">
        <f t="shared" si="31"/>
        <v>32265.550000000003</v>
      </c>
    </row>
    <row r="99" spans="10:35" ht="15" hidden="1" customHeight="1">
      <c r="J99" s="65"/>
      <c r="K99" s="65"/>
      <c r="L99" s="65"/>
      <c r="M99" s="65"/>
      <c r="N99" s="65"/>
      <c r="U99" s="167">
        <f t="shared" si="23"/>
        <v>2022</v>
      </c>
      <c r="V99" s="98" t="s">
        <v>223</v>
      </c>
      <c r="W99" s="125">
        <f t="shared" si="24"/>
        <v>932.98500000000001</v>
      </c>
      <c r="X99" s="125">
        <f t="shared" si="25"/>
        <v>284.03399999999999</v>
      </c>
      <c r="Y99" s="125">
        <f t="shared" si="26"/>
        <v>4198.6210000000001</v>
      </c>
      <c r="Z99" s="125">
        <f t="shared" si="27"/>
        <v>57.944000000000003</v>
      </c>
      <c r="AA99" s="125">
        <f t="shared" si="30"/>
        <v>123.91999999999916</v>
      </c>
      <c r="AB99" s="146">
        <f t="shared" si="28"/>
        <v>5597.5039999999999</v>
      </c>
      <c r="AD99" s="125">
        <f t="shared" si="32"/>
        <v>9238.0220000000008</v>
      </c>
      <c r="AE99" s="125">
        <f t="shared" si="31"/>
        <v>5209.3239999999996</v>
      </c>
      <c r="AF99" s="125">
        <f t="shared" si="31"/>
        <v>22120.248</v>
      </c>
      <c r="AG99" s="125">
        <f t="shared" si="31"/>
        <v>431.01499999999999</v>
      </c>
      <c r="AH99" s="125">
        <f t="shared" si="31"/>
        <v>864.4449999999988</v>
      </c>
      <c r="AI99" s="146">
        <f t="shared" si="31"/>
        <v>37863.054000000004</v>
      </c>
    </row>
    <row r="100" spans="10:35" ht="15" hidden="1" customHeight="1">
      <c r="J100" s="65"/>
      <c r="K100" s="65"/>
      <c r="L100" s="65"/>
      <c r="M100" s="65"/>
      <c r="N100" s="65"/>
      <c r="U100" s="167">
        <f t="shared" si="23"/>
        <v>2022</v>
      </c>
      <c r="V100" s="98" t="s">
        <v>224</v>
      </c>
      <c r="W100" s="125">
        <f t="shared" si="24"/>
        <v>321.25400000000002</v>
      </c>
      <c r="X100" s="125">
        <f t="shared" si="25"/>
        <v>110.081</v>
      </c>
      <c r="Y100" s="125">
        <f t="shared" si="26"/>
        <v>2639.3440000000001</v>
      </c>
      <c r="Z100" s="125">
        <f t="shared" si="27"/>
        <v>42.991999999999997</v>
      </c>
      <c r="AA100" s="125">
        <f t="shared" si="30"/>
        <v>265.0329999999999</v>
      </c>
      <c r="AB100" s="146">
        <f t="shared" si="28"/>
        <v>3378.7040000000002</v>
      </c>
      <c r="AD100" s="125">
        <f t="shared" si="32"/>
        <v>9559.2760000000017</v>
      </c>
      <c r="AE100" s="125">
        <f t="shared" si="31"/>
        <v>5319.4049999999997</v>
      </c>
      <c r="AF100" s="125">
        <f t="shared" si="31"/>
        <v>24759.592000000001</v>
      </c>
      <c r="AG100" s="125">
        <f t="shared" si="31"/>
        <v>474.00700000000001</v>
      </c>
      <c r="AH100" s="125">
        <f t="shared" si="31"/>
        <v>1129.4779999999987</v>
      </c>
      <c r="AI100" s="146">
        <f t="shared" si="31"/>
        <v>41241.758000000002</v>
      </c>
    </row>
    <row r="101" spans="10:35" ht="15" hidden="1" customHeight="1">
      <c r="J101" s="65"/>
      <c r="K101" s="65"/>
      <c r="L101" s="65"/>
      <c r="M101" s="65"/>
      <c r="N101" s="65"/>
      <c r="U101" s="167">
        <f t="shared" si="23"/>
        <v>2022</v>
      </c>
      <c r="V101" s="98" t="s">
        <v>225</v>
      </c>
      <c r="W101" s="125">
        <f t="shared" si="24"/>
        <v>320.596</v>
      </c>
      <c r="X101" s="125">
        <f t="shared" si="25"/>
        <v>82.234999999999999</v>
      </c>
      <c r="Y101" s="125">
        <f t="shared" si="26"/>
        <v>2897.4870000000001</v>
      </c>
      <c r="Z101" s="125">
        <f t="shared" si="27"/>
        <v>53.84</v>
      </c>
      <c r="AA101" s="125">
        <f t="shared" si="30"/>
        <v>52.909999999999854</v>
      </c>
      <c r="AB101" s="146">
        <f t="shared" si="28"/>
        <v>3407.0680000000002</v>
      </c>
      <c r="AD101" s="125">
        <f t="shared" si="32"/>
        <v>9879.8720000000012</v>
      </c>
      <c r="AE101" s="125">
        <f t="shared" si="31"/>
        <v>5401.6399999999994</v>
      </c>
      <c r="AF101" s="125">
        <f t="shared" si="31"/>
        <v>27657.079000000002</v>
      </c>
      <c r="AG101" s="125">
        <f t="shared" si="31"/>
        <v>527.84699999999998</v>
      </c>
      <c r="AH101" s="125">
        <f t="shared" si="31"/>
        <v>1182.3879999999986</v>
      </c>
      <c r="AI101" s="146">
        <f t="shared" si="31"/>
        <v>44648.826000000001</v>
      </c>
    </row>
    <row r="102" spans="10:35" ht="15" hidden="1" customHeight="1">
      <c r="J102" s="65"/>
      <c r="K102" s="65"/>
      <c r="L102" s="65"/>
      <c r="M102" s="65"/>
      <c r="N102" s="65"/>
      <c r="U102" s="167">
        <f t="shared" si="23"/>
        <v>2022</v>
      </c>
      <c r="V102" s="98" t="s">
        <v>226</v>
      </c>
      <c r="W102" s="125">
        <f t="shared" si="24"/>
        <v>700.72699999999998</v>
      </c>
      <c r="X102" s="125">
        <f t="shared" si="25"/>
        <v>2036.799</v>
      </c>
      <c r="Y102" s="125">
        <f t="shared" si="26"/>
        <v>3160.0129999999999</v>
      </c>
      <c r="Z102" s="125">
        <f t="shared" si="27"/>
        <v>54.472999999999999</v>
      </c>
      <c r="AA102" s="125">
        <f t="shared" si="30"/>
        <v>142.86599999999999</v>
      </c>
      <c r="AB102" s="146">
        <f t="shared" si="28"/>
        <v>6094.8779999999997</v>
      </c>
      <c r="AD102" s="125">
        <f t="shared" si="32"/>
        <v>10580.599000000002</v>
      </c>
      <c r="AE102" s="125">
        <f t="shared" si="31"/>
        <v>7438.4389999999994</v>
      </c>
      <c r="AF102" s="125">
        <f t="shared" si="31"/>
        <v>30817.092000000001</v>
      </c>
      <c r="AG102" s="125">
        <f t="shared" si="31"/>
        <v>582.31999999999994</v>
      </c>
      <c r="AH102" s="125">
        <f t="shared" si="31"/>
        <v>1325.2539999999985</v>
      </c>
      <c r="AI102" s="146">
        <f t="shared" si="31"/>
        <v>50743.703999999998</v>
      </c>
    </row>
    <row r="103" spans="10:35" ht="15" hidden="1" customHeight="1">
      <c r="J103" s="65"/>
      <c r="K103" s="65"/>
      <c r="L103" s="65"/>
      <c r="M103" s="65"/>
      <c r="N103" s="65"/>
      <c r="U103" s="167">
        <f t="shared" si="23"/>
        <v>2022</v>
      </c>
      <c r="V103" s="98" t="s">
        <v>227</v>
      </c>
      <c r="W103" s="125">
        <f t="shared" si="24"/>
        <v>658.52700000000004</v>
      </c>
      <c r="X103" s="125">
        <f t="shared" si="25"/>
        <v>1164.6990000000001</v>
      </c>
      <c r="Y103" s="125">
        <f t="shared" si="26"/>
        <v>3662.357</v>
      </c>
      <c r="Z103" s="125">
        <f t="shared" si="27"/>
        <v>48.576000000000001</v>
      </c>
      <c r="AA103" s="125">
        <f t="shared" si="30"/>
        <v>110.76699999999983</v>
      </c>
      <c r="AB103" s="146">
        <f t="shared" si="28"/>
        <v>5644.9260000000004</v>
      </c>
      <c r="AD103" s="125">
        <f t="shared" si="32"/>
        <v>11239.126000000002</v>
      </c>
      <c r="AE103" s="125">
        <f t="shared" si="31"/>
        <v>8603.137999999999</v>
      </c>
      <c r="AF103" s="125">
        <f t="shared" si="31"/>
        <v>34479.449000000001</v>
      </c>
      <c r="AG103" s="125">
        <f t="shared" si="31"/>
        <v>630.89599999999996</v>
      </c>
      <c r="AH103" s="125">
        <f t="shared" si="31"/>
        <v>1436.0209999999984</v>
      </c>
      <c r="AI103" s="146">
        <f t="shared" si="31"/>
        <v>56388.63</v>
      </c>
    </row>
    <row r="104" spans="10:35" ht="15" hidden="1" customHeight="1">
      <c r="J104" s="65"/>
      <c r="K104" s="65"/>
      <c r="L104" s="65"/>
      <c r="M104" s="65"/>
      <c r="N104" s="65"/>
      <c r="U104" s="167">
        <f t="shared" si="23"/>
        <v>2022</v>
      </c>
      <c r="V104" s="98" t="s">
        <v>228</v>
      </c>
      <c r="W104" s="125">
        <f t="shared" si="24"/>
        <v>658.20100000000002</v>
      </c>
      <c r="X104" s="125">
        <f t="shared" si="25"/>
        <v>2821.2849999999999</v>
      </c>
      <c r="Y104" s="125">
        <f t="shared" si="26"/>
        <v>4565.1909999999998</v>
      </c>
      <c r="Z104" s="125">
        <f t="shared" si="27"/>
        <v>187.404</v>
      </c>
      <c r="AA104" s="125">
        <f t="shared" si="30"/>
        <v>341.65799999999945</v>
      </c>
      <c r="AB104" s="146">
        <f t="shared" si="28"/>
        <v>8573.7389999999996</v>
      </c>
      <c r="AD104" s="125">
        <f t="shared" si="32"/>
        <v>11897.327000000001</v>
      </c>
      <c r="AE104" s="125">
        <f t="shared" si="31"/>
        <v>11424.422999999999</v>
      </c>
      <c r="AF104" s="125">
        <f t="shared" si="31"/>
        <v>39044.639999999999</v>
      </c>
      <c r="AG104" s="125">
        <f t="shared" si="31"/>
        <v>818.3</v>
      </c>
      <c r="AH104" s="125">
        <f t="shared" si="31"/>
        <v>1777.6789999999978</v>
      </c>
      <c r="AI104" s="146">
        <f t="shared" si="31"/>
        <v>64962.368999999999</v>
      </c>
    </row>
    <row r="105" spans="10:35" ht="15" hidden="1" customHeight="1">
      <c r="J105" s="65"/>
      <c r="K105" s="65"/>
      <c r="L105" s="65"/>
      <c r="M105" s="65"/>
      <c r="N105" s="65"/>
      <c r="U105" s="164">
        <f t="shared" ref="U105:U116" si="33">Año_seleccionado_C.2.2-1</f>
        <v>2023</v>
      </c>
      <c r="V105" s="165" t="s">
        <v>217</v>
      </c>
      <c r="W105" s="166">
        <f t="shared" si="24"/>
        <v>384.96600000000001</v>
      </c>
      <c r="X105" s="166">
        <f t="shared" si="25"/>
        <v>6790.3419999999996</v>
      </c>
      <c r="Y105" s="166">
        <f t="shared" si="26"/>
        <v>2236.4340000000002</v>
      </c>
      <c r="Z105" s="166">
        <f t="shared" si="27"/>
        <v>26.672000000000001</v>
      </c>
      <c r="AA105" s="166">
        <f t="shared" si="30"/>
        <v>122.59499999999935</v>
      </c>
      <c r="AB105" s="146">
        <f t="shared" si="28"/>
        <v>9561.009</v>
      </c>
      <c r="AD105" s="166">
        <f>W105</f>
        <v>384.96600000000001</v>
      </c>
      <c r="AE105" s="166">
        <f t="shared" ref="AE105:AI105" si="34">X105</f>
        <v>6790.3419999999996</v>
      </c>
      <c r="AF105" s="166">
        <f t="shared" si="34"/>
        <v>2236.4340000000002</v>
      </c>
      <c r="AG105" s="166">
        <f t="shared" si="34"/>
        <v>26.672000000000001</v>
      </c>
      <c r="AH105" s="166">
        <f t="shared" si="34"/>
        <v>122.59499999999935</v>
      </c>
      <c r="AI105" s="146">
        <f t="shared" si="34"/>
        <v>9561.009</v>
      </c>
    </row>
    <row r="106" spans="10:35" ht="15" hidden="1" customHeight="1">
      <c r="J106" s="65"/>
      <c r="K106" s="65"/>
      <c r="L106" s="65"/>
      <c r="M106" s="65"/>
      <c r="N106" s="65"/>
      <c r="U106" s="167">
        <f t="shared" si="33"/>
        <v>2023</v>
      </c>
      <c r="V106" s="98" t="s">
        <v>218</v>
      </c>
      <c r="W106" s="125">
        <f t="shared" si="24"/>
        <v>205.41200000000001</v>
      </c>
      <c r="X106" s="125">
        <f t="shared" si="25"/>
        <v>507.26299999999998</v>
      </c>
      <c r="Y106" s="125">
        <f t="shared" si="26"/>
        <v>1567.2840000000001</v>
      </c>
      <c r="Z106" s="125">
        <f t="shared" si="27"/>
        <v>35.048999999999999</v>
      </c>
      <c r="AA106" s="125">
        <f t="shared" si="30"/>
        <v>96.690000000000055</v>
      </c>
      <c r="AB106" s="146">
        <f t="shared" si="28"/>
        <v>2411.6979999999999</v>
      </c>
      <c r="AD106" s="125">
        <f>AD105+W106</f>
        <v>590.37800000000004</v>
      </c>
      <c r="AE106" s="125">
        <f t="shared" ref="AE106:AI116" si="35">AE105+X106</f>
        <v>7297.6049999999996</v>
      </c>
      <c r="AF106" s="125">
        <f t="shared" si="35"/>
        <v>3803.7180000000003</v>
      </c>
      <c r="AG106" s="125">
        <f t="shared" si="35"/>
        <v>61.721000000000004</v>
      </c>
      <c r="AH106" s="125">
        <f t="shared" si="35"/>
        <v>219.2849999999994</v>
      </c>
      <c r="AI106" s="146">
        <f t="shared" si="35"/>
        <v>11972.707</v>
      </c>
    </row>
    <row r="107" spans="10:35" ht="15" hidden="1" customHeight="1">
      <c r="J107" s="65"/>
      <c r="K107" s="65"/>
      <c r="L107" s="65"/>
      <c r="M107" s="65"/>
      <c r="N107" s="65"/>
      <c r="U107" s="167">
        <f t="shared" si="33"/>
        <v>2023</v>
      </c>
      <c r="V107" s="98" t="s">
        <v>219</v>
      </c>
      <c r="W107" s="125">
        <f t="shared" si="24"/>
        <v>247.26599999999999</v>
      </c>
      <c r="X107" s="125">
        <f t="shared" si="25"/>
        <v>381.39100000000002</v>
      </c>
      <c r="Y107" s="125">
        <f t="shared" si="26"/>
        <v>2220.8629999999998</v>
      </c>
      <c r="Z107" s="125">
        <f t="shared" si="27"/>
        <v>65.912000000000006</v>
      </c>
      <c r="AA107" s="125">
        <f t="shared" si="30"/>
        <v>148.85000000000036</v>
      </c>
      <c r="AB107" s="146">
        <f t="shared" si="28"/>
        <v>3064.2820000000002</v>
      </c>
      <c r="AD107" s="125">
        <f t="shared" ref="AD107:AD116" si="36">AD106+W107</f>
        <v>837.64400000000001</v>
      </c>
      <c r="AE107" s="125">
        <f t="shared" si="35"/>
        <v>7678.9959999999992</v>
      </c>
      <c r="AF107" s="125">
        <f t="shared" si="35"/>
        <v>6024.5810000000001</v>
      </c>
      <c r="AG107" s="125">
        <f t="shared" si="35"/>
        <v>127.63300000000001</v>
      </c>
      <c r="AH107" s="125">
        <f t="shared" si="35"/>
        <v>368.13499999999976</v>
      </c>
      <c r="AI107" s="146">
        <f t="shared" si="35"/>
        <v>15036.989000000001</v>
      </c>
    </row>
    <row r="108" spans="10:35" ht="15" hidden="1" customHeight="1">
      <c r="J108" s="65"/>
      <c r="K108" s="65"/>
      <c r="L108" s="65"/>
      <c r="M108" s="65"/>
      <c r="N108" s="65"/>
      <c r="U108" s="167">
        <f t="shared" si="33"/>
        <v>2023</v>
      </c>
      <c r="V108" s="98" t="s">
        <v>220</v>
      </c>
      <c r="W108" s="125">
        <f t="shared" si="24"/>
        <v>2380.4639999999999</v>
      </c>
      <c r="X108" s="125">
        <f t="shared" si="25"/>
        <v>188.2</v>
      </c>
      <c r="Y108" s="125">
        <f t="shared" si="26"/>
        <v>4126.9250000000002</v>
      </c>
      <c r="Z108" s="125">
        <f t="shared" si="27"/>
        <v>125.627</v>
      </c>
      <c r="AA108" s="125">
        <f t="shared" si="30"/>
        <v>187.36899999999969</v>
      </c>
      <c r="AB108" s="146">
        <f t="shared" si="28"/>
        <v>7008.585</v>
      </c>
      <c r="AD108" s="125">
        <f t="shared" si="36"/>
        <v>3218.1080000000002</v>
      </c>
      <c r="AE108" s="125">
        <f t="shared" si="35"/>
        <v>7867.195999999999</v>
      </c>
      <c r="AF108" s="125">
        <f t="shared" si="35"/>
        <v>10151.506000000001</v>
      </c>
      <c r="AG108" s="125">
        <f t="shared" si="35"/>
        <v>253.26</v>
      </c>
      <c r="AH108" s="125">
        <f t="shared" si="35"/>
        <v>555.50399999999945</v>
      </c>
      <c r="AI108" s="146">
        <f t="shared" si="35"/>
        <v>22045.574000000001</v>
      </c>
    </row>
    <row r="109" spans="10:35" ht="15" hidden="1" customHeight="1">
      <c r="J109" s="65"/>
      <c r="K109" s="65"/>
      <c r="L109" s="65"/>
      <c r="M109" s="65"/>
      <c r="N109" s="65"/>
      <c r="U109" s="167">
        <f t="shared" si="33"/>
        <v>2023</v>
      </c>
      <c r="V109" s="98" t="s">
        <v>221</v>
      </c>
      <c r="W109" s="125">
        <f t="shared" si="24"/>
        <v>2521.5050000000001</v>
      </c>
      <c r="X109" s="125">
        <f t="shared" si="25"/>
        <v>1149.8130000000001</v>
      </c>
      <c r="Y109" s="125">
        <f t="shared" si="26"/>
        <v>3766.498</v>
      </c>
      <c r="Z109" s="125">
        <f t="shared" si="27"/>
        <v>55.692</v>
      </c>
      <c r="AA109" s="125">
        <f t="shared" si="30"/>
        <v>142.52699999999913</v>
      </c>
      <c r="AB109" s="146">
        <f t="shared" si="28"/>
        <v>7636.0349999999999</v>
      </c>
      <c r="AD109" s="125">
        <f t="shared" si="36"/>
        <v>5739.6130000000003</v>
      </c>
      <c r="AE109" s="125">
        <f t="shared" si="35"/>
        <v>9017.0089999999982</v>
      </c>
      <c r="AF109" s="125">
        <f t="shared" si="35"/>
        <v>13918.004000000001</v>
      </c>
      <c r="AG109" s="125">
        <f t="shared" si="35"/>
        <v>308.952</v>
      </c>
      <c r="AH109" s="125">
        <f t="shared" si="35"/>
        <v>698.03099999999858</v>
      </c>
      <c r="AI109" s="146">
        <f t="shared" si="35"/>
        <v>29681.609</v>
      </c>
    </row>
    <row r="110" spans="10:35" ht="15" hidden="1" customHeight="1">
      <c r="J110" s="65"/>
      <c r="K110" s="65"/>
      <c r="L110" s="65"/>
      <c r="M110" s="65"/>
      <c r="N110" s="65"/>
      <c r="U110" s="167">
        <f t="shared" si="33"/>
        <v>2023</v>
      </c>
      <c r="V110" s="98" t="s">
        <v>222</v>
      </c>
      <c r="W110" s="125">
        <f t="shared" si="24"/>
        <v>3390.9989999999998</v>
      </c>
      <c r="X110" s="125">
        <f t="shared" si="25"/>
        <v>110.64700000000001</v>
      </c>
      <c r="Y110" s="125">
        <f t="shared" si="26"/>
        <v>3954.4059999999999</v>
      </c>
      <c r="Z110" s="125">
        <f t="shared" si="27"/>
        <v>81.58</v>
      </c>
      <c r="AA110" s="125">
        <f t="shared" si="30"/>
        <v>180.71399999999994</v>
      </c>
      <c r="AB110" s="146">
        <f t="shared" si="28"/>
        <v>7718.3459999999995</v>
      </c>
      <c r="AD110" s="125">
        <f t="shared" si="36"/>
        <v>9130.612000000001</v>
      </c>
      <c r="AE110" s="125">
        <f t="shared" si="35"/>
        <v>9127.655999999999</v>
      </c>
      <c r="AF110" s="125">
        <f t="shared" si="35"/>
        <v>17872.41</v>
      </c>
      <c r="AG110" s="125">
        <f t="shared" si="35"/>
        <v>390.53199999999998</v>
      </c>
      <c r="AH110" s="125">
        <f t="shared" si="35"/>
        <v>878.74499999999853</v>
      </c>
      <c r="AI110" s="146">
        <f t="shared" si="35"/>
        <v>37399.955000000002</v>
      </c>
    </row>
    <row r="111" spans="10:35" ht="15" hidden="1" customHeight="1">
      <c r="J111" s="65"/>
      <c r="K111" s="65"/>
      <c r="L111" s="65"/>
      <c r="M111" s="65"/>
      <c r="N111" s="65"/>
      <c r="U111" s="167">
        <f t="shared" si="33"/>
        <v>2023</v>
      </c>
      <c r="V111" s="98" t="s">
        <v>223</v>
      </c>
      <c r="W111" s="125">
        <f t="shared" si="24"/>
        <v>1403.9929999999999</v>
      </c>
      <c r="X111" s="125">
        <f t="shared" si="25"/>
        <v>46.526000000000003</v>
      </c>
      <c r="Y111" s="125">
        <f t="shared" si="26"/>
        <v>4573.473</v>
      </c>
      <c r="Z111" s="125">
        <f t="shared" si="27"/>
        <v>63.326999999999998</v>
      </c>
      <c r="AA111" s="125">
        <f t="shared" si="30"/>
        <v>227.93399999999929</v>
      </c>
      <c r="AB111" s="146">
        <f t="shared" si="28"/>
        <v>6315.2529999999997</v>
      </c>
      <c r="AD111" s="125">
        <f t="shared" si="36"/>
        <v>10534.605000000001</v>
      </c>
      <c r="AE111" s="125">
        <f t="shared" si="35"/>
        <v>9174.1819999999989</v>
      </c>
      <c r="AF111" s="125">
        <f t="shared" si="35"/>
        <v>22445.883000000002</v>
      </c>
      <c r="AG111" s="125">
        <f t="shared" si="35"/>
        <v>453.85899999999998</v>
      </c>
      <c r="AH111" s="125">
        <f t="shared" si="35"/>
        <v>1106.6789999999978</v>
      </c>
      <c r="AI111" s="146">
        <f t="shared" si="35"/>
        <v>43715.207999999999</v>
      </c>
    </row>
    <row r="112" spans="10:35" ht="15" hidden="1" customHeight="1">
      <c r="J112" s="65"/>
      <c r="K112" s="65"/>
      <c r="L112" s="65"/>
      <c r="M112" s="65"/>
      <c r="N112" s="65"/>
      <c r="U112" s="167">
        <f t="shared" si="33"/>
        <v>2023</v>
      </c>
      <c r="V112" s="98" t="s">
        <v>224</v>
      </c>
      <c r="W112" s="125">
        <f t="shared" si="24"/>
        <v>487.44099999999997</v>
      </c>
      <c r="X112" s="125">
        <f t="shared" si="25"/>
        <v>48.57</v>
      </c>
      <c r="Y112" s="125">
        <f t="shared" si="26"/>
        <v>2577.098</v>
      </c>
      <c r="Z112" s="125">
        <f t="shared" si="27"/>
        <v>41.177999999999997</v>
      </c>
      <c r="AA112" s="125">
        <f t="shared" si="30"/>
        <v>128.86000000000013</v>
      </c>
      <c r="AB112" s="146">
        <f t="shared" si="28"/>
        <v>3283.1469999999999</v>
      </c>
      <c r="AD112" s="125">
        <f t="shared" si="36"/>
        <v>11022.046000000002</v>
      </c>
      <c r="AE112" s="125">
        <f t="shared" si="35"/>
        <v>9222.7519999999986</v>
      </c>
      <c r="AF112" s="125">
        <f t="shared" si="35"/>
        <v>25022.981</v>
      </c>
      <c r="AG112" s="125">
        <f t="shared" si="35"/>
        <v>495.03699999999998</v>
      </c>
      <c r="AH112" s="125">
        <f t="shared" si="35"/>
        <v>1235.5389999999979</v>
      </c>
      <c r="AI112" s="146">
        <f t="shared" si="35"/>
        <v>46998.354999999996</v>
      </c>
    </row>
    <row r="113" spans="10:35" ht="15" hidden="1" customHeight="1">
      <c r="J113" s="65"/>
      <c r="K113" s="65"/>
      <c r="L113" s="65"/>
      <c r="M113" s="65"/>
      <c r="N113" s="65"/>
      <c r="U113" s="167">
        <f t="shared" si="33"/>
        <v>2023</v>
      </c>
      <c r="V113" s="98" t="s">
        <v>225</v>
      </c>
      <c r="W113" s="125">
        <f t="shared" si="24"/>
        <v>376.85199999999998</v>
      </c>
      <c r="X113" s="125">
        <f t="shared" si="25"/>
        <v>291.48899999999998</v>
      </c>
      <c r="Y113" s="125">
        <f t="shared" si="26"/>
        <v>2473.924</v>
      </c>
      <c r="Z113" s="125">
        <f t="shared" si="27"/>
        <v>68.662000000000006</v>
      </c>
      <c r="AA113" s="125">
        <f t="shared" si="30"/>
        <v>117.81500000000051</v>
      </c>
      <c r="AB113" s="146">
        <f t="shared" si="28"/>
        <v>3328.7420000000002</v>
      </c>
      <c r="AD113" s="125">
        <f t="shared" si="36"/>
        <v>11398.898000000003</v>
      </c>
      <c r="AE113" s="125">
        <f t="shared" si="35"/>
        <v>9514.2409999999982</v>
      </c>
      <c r="AF113" s="125">
        <f t="shared" si="35"/>
        <v>27496.904999999999</v>
      </c>
      <c r="AG113" s="125">
        <f t="shared" si="35"/>
        <v>563.69899999999996</v>
      </c>
      <c r="AH113" s="125">
        <f t="shared" si="35"/>
        <v>1353.3539999999985</v>
      </c>
      <c r="AI113" s="146">
        <f t="shared" si="35"/>
        <v>50327.096999999994</v>
      </c>
    </row>
    <row r="114" spans="10:35" ht="15" hidden="1" customHeight="1">
      <c r="J114" s="65"/>
      <c r="K114" s="65"/>
      <c r="L114" s="65"/>
      <c r="M114" s="65"/>
      <c r="N114" s="65"/>
      <c r="U114" s="167">
        <f t="shared" si="33"/>
        <v>2023</v>
      </c>
      <c r="V114" s="98" t="s">
        <v>226</v>
      </c>
      <c r="W114" s="125">
        <f t="shared" si="24"/>
        <v>757.577</v>
      </c>
      <c r="X114" s="125">
        <f t="shared" si="25"/>
        <v>905.60400000000004</v>
      </c>
      <c r="Y114" s="125">
        <f t="shared" si="26"/>
        <v>2934.9859999999999</v>
      </c>
      <c r="Z114" s="125">
        <f t="shared" si="27"/>
        <v>65.212000000000003</v>
      </c>
      <c r="AA114" s="125">
        <f t="shared" si="30"/>
        <v>227.37700000000041</v>
      </c>
      <c r="AB114" s="146">
        <f t="shared" si="28"/>
        <v>4890.7560000000003</v>
      </c>
      <c r="AD114" s="125">
        <f t="shared" si="36"/>
        <v>12156.475000000002</v>
      </c>
      <c r="AE114" s="125">
        <f t="shared" si="35"/>
        <v>10419.844999999998</v>
      </c>
      <c r="AF114" s="125">
        <f t="shared" si="35"/>
        <v>30431.891</v>
      </c>
      <c r="AG114" s="125">
        <f t="shared" si="35"/>
        <v>628.91099999999994</v>
      </c>
      <c r="AH114" s="125">
        <f t="shared" si="35"/>
        <v>1580.7309999999989</v>
      </c>
      <c r="AI114" s="146">
        <f t="shared" si="35"/>
        <v>55217.852999999996</v>
      </c>
    </row>
    <row r="115" spans="10:35" ht="15" hidden="1" customHeight="1">
      <c r="J115" s="65"/>
      <c r="K115" s="65"/>
      <c r="L115" s="65"/>
      <c r="M115" s="65"/>
      <c r="N115" s="65"/>
      <c r="U115" s="167">
        <f t="shared" si="33"/>
        <v>2023</v>
      </c>
      <c r="V115" s="98" t="s">
        <v>227</v>
      </c>
      <c r="W115" s="125">
        <f t="shared" si="24"/>
        <v>743.06600000000003</v>
      </c>
      <c r="X115" s="125">
        <f t="shared" si="25"/>
        <v>1027.3810000000001</v>
      </c>
      <c r="Y115" s="125">
        <f t="shared" si="26"/>
        <v>3064.0819999999999</v>
      </c>
      <c r="Z115" s="125">
        <f t="shared" si="27"/>
        <v>50.94</v>
      </c>
      <c r="AA115" s="125">
        <f t="shared" si="30"/>
        <v>179.33500000000004</v>
      </c>
      <c r="AB115" s="146">
        <f t="shared" si="28"/>
        <v>5064.8040000000001</v>
      </c>
      <c r="AD115" s="125">
        <f t="shared" si="36"/>
        <v>12899.541000000003</v>
      </c>
      <c r="AE115" s="125">
        <f t="shared" si="35"/>
        <v>11447.225999999997</v>
      </c>
      <c r="AF115" s="125">
        <f t="shared" si="35"/>
        <v>33495.972999999998</v>
      </c>
      <c r="AG115" s="125">
        <f t="shared" si="35"/>
        <v>679.85099999999989</v>
      </c>
      <c r="AH115" s="125">
        <f t="shared" si="35"/>
        <v>1760.0659999999989</v>
      </c>
      <c r="AI115" s="146">
        <f t="shared" si="35"/>
        <v>60282.656999999992</v>
      </c>
    </row>
    <row r="116" spans="10:35" ht="15" hidden="1" customHeight="1">
      <c r="J116" s="65"/>
      <c r="K116" s="65"/>
      <c r="L116" s="65"/>
      <c r="M116" s="65"/>
      <c r="N116" s="65"/>
      <c r="U116" s="167">
        <f t="shared" si="33"/>
        <v>2023</v>
      </c>
      <c r="V116" s="98" t="s">
        <v>228</v>
      </c>
      <c r="W116" s="125">
        <f t="shared" si="24"/>
        <v>757.83399999999995</v>
      </c>
      <c r="X116" s="125">
        <f t="shared" si="25"/>
        <v>2358.0030000000002</v>
      </c>
      <c r="Y116" s="125">
        <f t="shared" si="26"/>
        <v>4072.32</v>
      </c>
      <c r="Z116" s="125">
        <f t="shared" si="27"/>
        <v>123.429</v>
      </c>
      <c r="AA116" s="125">
        <f t="shared" si="30"/>
        <v>167.77599999999984</v>
      </c>
      <c r="AB116" s="146">
        <f t="shared" si="28"/>
        <v>7479.3620000000001</v>
      </c>
      <c r="AD116" s="125">
        <f t="shared" si="36"/>
        <v>13657.375000000004</v>
      </c>
      <c r="AE116" s="125">
        <f t="shared" si="35"/>
        <v>13805.228999999998</v>
      </c>
      <c r="AF116" s="125">
        <f t="shared" si="35"/>
        <v>37568.292999999998</v>
      </c>
      <c r="AG116" s="125">
        <f t="shared" si="35"/>
        <v>803.27999999999986</v>
      </c>
      <c r="AH116" s="125">
        <f t="shared" si="35"/>
        <v>1927.8419999999987</v>
      </c>
      <c r="AI116" s="146">
        <f t="shared" si="35"/>
        <v>67762.018999999986</v>
      </c>
    </row>
    <row r="117" spans="10:35" ht="15" hidden="1" customHeight="1">
      <c r="J117" s="65"/>
      <c r="K117" s="65"/>
      <c r="L117" s="65"/>
      <c r="M117" s="65"/>
      <c r="N117" s="65"/>
      <c r="R117"/>
      <c r="S117" s="129">
        <f>IF(S118="",IF(V117=" ","",1),2)</f>
        <v>2</v>
      </c>
      <c r="T117" s="2" t="str">
        <f>IF(SUMIFS(Data!$D$8:$D$367,Data!$A$8:$A$367,$U117,Data!$C$8:$C$367,$V105),"NO","SI")</f>
        <v>NO</v>
      </c>
      <c r="U117" s="164">
        <f t="shared" ref="U117:U128" si="37">Año_seleccionado_C.2.2</f>
        <v>2024</v>
      </c>
      <c r="V117" s="165" t="s">
        <v>217</v>
      </c>
      <c r="W117" s="166">
        <f t="shared" si="24"/>
        <v>361.48500000000001</v>
      </c>
      <c r="X117" s="166">
        <f t="shared" si="25"/>
        <v>6973.8720000000003</v>
      </c>
      <c r="Y117" s="166">
        <f t="shared" si="26"/>
        <v>2002.8009999999999</v>
      </c>
      <c r="Z117" s="166">
        <f t="shared" si="27"/>
        <v>41.569000000000003</v>
      </c>
      <c r="AA117" s="166">
        <f t="shared" si="30"/>
        <v>57.330000000001746</v>
      </c>
      <c r="AB117" s="146">
        <f t="shared" si="28"/>
        <v>9437.0570000000007</v>
      </c>
      <c r="AD117" s="166">
        <f>W117</f>
        <v>361.48500000000001</v>
      </c>
      <c r="AE117" s="166">
        <f t="shared" ref="AE117:AI117" si="38">X117</f>
        <v>6973.8720000000003</v>
      </c>
      <c r="AF117" s="166">
        <f t="shared" si="38"/>
        <v>2002.8009999999999</v>
      </c>
      <c r="AG117" s="166">
        <f t="shared" si="38"/>
        <v>41.569000000000003</v>
      </c>
      <c r="AH117" s="166">
        <f t="shared" si="38"/>
        <v>57.330000000001746</v>
      </c>
      <c r="AI117" s="146">
        <f t="shared" si="38"/>
        <v>9437.0570000000007</v>
      </c>
    </row>
    <row r="118" spans="10:35" ht="15" hidden="1" customHeight="1">
      <c r="J118" s="65"/>
      <c r="K118" s="65"/>
      <c r="L118" s="65"/>
      <c r="M118" s="65"/>
      <c r="N118" s="65"/>
      <c r="R118"/>
      <c r="S118" s="129">
        <f t="shared" ref="S118:S127" si="39">IF(S119="",IF(V118=" ","",1),2)</f>
        <v>1</v>
      </c>
      <c r="T118" s="2" t="str">
        <f>IF(SUMIFS(Data!$D$8:$D$367,Data!$A$8:$A$367,$U118,Data!$C$8:$C$367,$V106),"NO","SI")</f>
        <v>NO</v>
      </c>
      <c r="U118" s="167">
        <f t="shared" si="37"/>
        <v>2024</v>
      </c>
      <c r="V118" s="98" t="str">
        <f>IF($T118="SI"," ",V106)</f>
        <v>FEBRUARY</v>
      </c>
      <c r="W118" s="125">
        <f t="shared" si="24"/>
        <v>249.352</v>
      </c>
      <c r="X118" s="125">
        <f t="shared" si="25"/>
        <v>738.43100000000004</v>
      </c>
      <c r="Y118" s="125">
        <f t="shared" si="26"/>
        <v>1479.5239999999999</v>
      </c>
      <c r="Z118" s="125">
        <f t="shared" si="27"/>
        <v>45.472999999999999</v>
      </c>
      <c r="AA118" s="125">
        <f t="shared" si="30"/>
        <v>148.75600000000031</v>
      </c>
      <c r="AB118" s="146">
        <f t="shared" si="28"/>
        <v>2661.5360000000001</v>
      </c>
      <c r="AD118" s="125">
        <f>AD117+W118</f>
        <v>610.83699999999999</v>
      </c>
      <c r="AE118" s="125">
        <f t="shared" ref="AE118:AI128" si="40">AE117+X118</f>
        <v>7712.3029999999999</v>
      </c>
      <c r="AF118" s="125">
        <f t="shared" si="40"/>
        <v>3482.3249999999998</v>
      </c>
      <c r="AG118" s="125">
        <f t="shared" si="40"/>
        <v>87.042000000000002</v>
      </c>
      <c r="AH118" s="125">
        <f t="shared" si="40"/>
        <v>206.08600000000206</v>
      </c>
      <c r="AI118" s="146">
        <f t="shared" si="40"/>
        <v>12098.593000000001</v>
      </c>
    </row>
    <row r="119" spans="10:35" ht="15" hidden="1" customHeight="1">
      <c r="J119" s="65"/>
      <c r="K119" s="65"/>
      <c r="L119" s="65"/>
      <c r="M119" s="65"/>
      <c r="N119" s="65"/>
      <c r="R119"/>
      <c r="S119" s="129" t="str">
        <f t="shared" si="39"/>
        <v/>
      </c>
      <c r="T119" s="2" t="str">
        <f>IF(SUMIFS(Data!$D$8:$D$367,Data!$A$8:$A$367,$U119,Data!$C$8:$C$367,$V107),"NO","SI")</f>
        <v>SI</v>
      </c>
      <c r="U119" s="167">
        <f t="shared" si="37"/>
        <v>2024</v>
      </c>
      <c r="V119" s="98" t="str">
        <f t="shared" ref="V119:V128" si="41">IF($T119="SI"," ",V107)</f>
        <v xml:space="preserve"> </v>
      </c>
      <c r="W119" s="125">
        <f t="shared" si="24"/>
        <v>0</v>
      </c>
      <c r="X119" s="125">
        <f t="shared" si="25"/>
        <v>0</v>
      </c>
      <c r="Y119" s="125">
        <f t="shared" si="26"/>
        <v>0</v>
      </c>
      <c r="Z119" s="125">
        <f t="shared" si="27"/>
        <v>0</v>
      </c>
      <c r="AA119" s="125">
        <f t="shared" si="30"/>
        <v>0</v>
      </c>
      <c r="AB119" s="146">
        <f t="shared" si="28"/>
        <v>0</v>
      </c>
      <c r="AD119" s="125">
        <f t="shared" ref="AD119:AD128" si="42">AD118+W119</f>
        <v>610.83699999999999</v>
      </c>
      <c r="AE119" s="125">
        <f t="shared" si="40"/>
        <v>7712.3029999999999</v>
      </c>
      <c r="AF119" s="125">
        <f t="shared" si="40"/>
        <v>3482.3249999999998</v>
      </c>
      <c r="AG119" s="125">
        <f t="shared" si="40"/>
        <v>87.042000000000002</v>
      </c>
      <c r="AH119" s="125">
        <f t="shared" si="40"/>
        <v>206.08600000000206</v>
      </c>
      <c r="AI119" s="146">
        <f t="shared" si="40"/>
        <v>12098.593000000001</v>
      </c>
    </row>
    <row r="120" spans="10:35" ht="15" hidden="1" customHeight="1">
      <c r="J120" s="65"/>
      <c r="K120" s="65"/>
      <c r="L120" s="65"/>
      <c r="M120" s="65"/>
      <c r="N120" s="65"/>
      <c r="R120"/>
      <c r="S120" s="129" t="str">
        <f t="shared" si="39"/>
        <v/>
      </c>
      <c r="T120" s="2" t="str">
        <f>IF(SUMIFS(Data!$D$8:$D$367,Data!$A$8:$A$367,$U120,Data!$C$8:$C$367,$V108),"NO","SI")</f>
        <v>SI</v>
      </c>
      <c r="U120" s="167">
        <f t="shared" si="37"/>
        <v>2024</v>
      </c>
      <c r="V120" s="98" t="str">
        <f t="shared" si="41"/>
        <v xml:space="preserve"> </v>
      </c>
      <c r="W120" s="125">
        <f t="shared" si="24"/>
        <v>0</v>
      </c>
      <c r="X120" s="125">
        <f t="shared" si="25"/>
        <v>0</v>
      </c>
      <c r="Y120" s="125">
        <f t="shared" si="26"/>
        <v>0</v>
      </c>
      <c r="Z120" s="125">
        <f t="shared" si="27"/>
        <v>0</v>
      </c>
      <c r="AA120" s="125">
        <f t="shared" si="30"/>
        <v>0</v>
      </c>
      <c r="AB120" s="146">
        <f t="shared" si="28"/>
        <v>0</v>
      </c>
      <c r="AD120" s="125">
        <f t="shared" si="42"/>
        <v>610.83699999999999</v>
      </c>
      <c r="AE120" s="125">
        <f t="shared" si="40"/>
        <v>7712.3029999999999</v>
      </c>
      <c r="AF120" s="125">
        <f t="shared" si="40"/>
        <v>3482.3249999999998</v>
      </c>
      <c r="AG120" s="125">
        <f t="shared" si="40"/>
        <v>87.042000000000002</v>
      </c>
      <c r="AH120" s="125">
        <f t="shared" si="40"/>
        <v>206.08600000000206</v>
      </c>
      <c r="AI120" s="146">
        <f t="shared" si="40"/>
        <v>12098.593000000001</v>
      </c>
    </row>
    <row r="121" spans="10:35" ht="15" hidden="1" customHeight="1">
      <c r="J121" s="65"/>
      <c r="K121" s="65"/>
      <c r="L121" s="65"/>
      <c r="M121" s="65"/>
      <c r="N121" s="65"/>
      <c r="R121"/>
      <c r="S121" s="129" t="str">
        <f t="shared" si="39"/>
        <v/>
      </c>
      <c r="T121" s="2" t="str">
        <f>IF(SUMIFS(Data!$D$8:$D$367,Data!$A$8:$A$367,$U121,Data!$C$8:$C$367,$V109),"NO","SI")</f>
        <v>SI</v>
      </c>
      <c r="U121" s="167">
        <f t="shared" si="37"/>
        <v>2024</v>
      </c>
      <c r="V121" s="98" t="str">
        <f t="shared" si="41"/>
        <v xml:space="preserve"> </v>
      </c>
      <c r="W121" s="125">
        <f t="shared" si="24"/>
        <v>0</v>
      </c>
      <c r="X121" s="125">
        <f t="shared" si="25"/>
        <v>0</v>
      </c>
      <c r="Y121" s="125">
        <f t="shared" si="26"/>
        <v>0</v>
      </c>
      <c r="Z121" s="125">
        <f t="shared" si="27"/>
        <v>0</v>
      </c>
      <c r="AA121" s="125">
        <f t="shared" si="30"/>
        <v>0</v>
      </c>
      <c r="AB121" s="146">
        <f t="shared" si="28"/>
        <v>0</v>
      </c>
      <c r="AD121" s="125">
        <f t="shared" si="42"/>
        <v>610.83699999999999</v>
      </c>
      <c r="AE121" s="125">
        <f t="shared" si="40"/>
        <v>7712.3029999999999</v>
      </c>
      <c r="AF121" s="125">
        <f t="shared" si="40"/>
        <v>3482.3249999999998</v>
      </c>
      <c r="AG121" s="125">
        <f t="shared" si="40"/>
        <v>87.042000000000002</v>
      </c>
      <c r="AH121" s="125">
        <f t="shared" si="40"/>
        <v>206.08600000000206</v>
      </c>
      <c r="AI121" s="146">
        <f t="shared" si="40"/>
        <v>12098.593000000001</v>
      </c>
    </row>
    <row r="122" spans="10:35" ht="15" hidden="1" customHeight="1">
      <c r="J122" s="65"/>
      <c r="K122" s="65"/>
      <c r="L122" s="65"/>
      <c r="M122" s="65"/>
      <c r="N122" s="65"/>
      <c r="R122"/>
      <c r="S122" s="129" t="str">
        <f t="shared" si="39"/>
        <v/>
      </c>
      <c r="T122" s="2" t="str">
        <f>IF(SUMIFS(Data!$D$8:$D$367,Data!$A$8:$A$367,$U122,Data!$C$8:$C$367,$V110),"NO","SI")</f>
        <v>SI</v>
      </c>
      <c r="U122" s="167">
        <f t="shared" si="37"/>
        <v>2024</v>
      </c>
      <c r="V122" s="98" t="str">
        <f t="shared" si="41"/>
        <v xml:space="preserve"> </v>
      </c>
      <c r="W122" s="125">
        <f t="shared" si="24"/>
        <v>0</v>
      </c>
      <c r="X122" s="125">
        <f t="shared" si="25"/>
        <v>0</v>
      </c>
      <c r="Y122" s="125">
        <f t="shared" si="26"/>
        <v>0</v>
      </c>
      <c r="Z122" s="125">
        <f t="shared" si="27"/>
        <v>0</v>
      </c>
      <c r="AA122" s="125">
        <f t="shared" si="30"/>
        <v>0</v>
      </c>
      <c r="AB122" s="146">
        <f t="shared" si="28"/>
        <v>0</v>
      </c>
      <c r="AD122" s="125">
        <f t="shared" si="42"/>
        <v>610.83699999999999</v>
      </c>
      <c r="AE122" s="125">
        <f t="shared" si="40"/>
        <v>7712.3029999999999</v>
      </c>
      <c r="AF122" s="125">
        <f t="shared" si="40"/>
        <v>3482.3249999999998</v>
      </c>
      <c r="AG122" s="125">
        <f t="shared" si="40"/>
        <v>87.042000000000002</v>
      </c>
      <c r="AH122" s="125">
        <f t="shared" si="40"/>
        <v>206.08600000000206</v>
      </c>
      <c r="AI122" s="146">
        <f t="shared" si="40"/>
        <v>12098.593000000001</v>
      </c>
    </row>
    <row r="123" spans="10:35" ht="15" hidden="1" customHeight="1">
      <c r="J123" s="65"/>
      <c r="K123" s="65"/>
      <c r="L123" s="65"/>
      <c r="M123" s="65"/>
      <c r="N123" s="65"/>
      <c r="R123"/>
      <c r="S123" s="129" t="str">
        <f t="shared" si="39"/>
        <v/>
      </c>
      <c r="T123" s="2" t="str">
        <f>IF(SUMIFS(Data!$D$8:$D$367,Data!$A$8:$A$367,$U123,Data!$C$8:$C$367,$V111),"NO","SI")</f>
        <v>SI</v>
      </c>
      <c r="U123" s="167">
        <f t="shared" si="37"/>
        <v>2024</v>
      </c>
      <c r="V123" s="98" t="str">
        <f t="shared" si="41"/>
        <v xml:space="preserve"> </v>
      </c>
      <c r="W123" s="125">
        <f t="shared" si="24"/>
        <v>0</v>
      </c>
      <c r="X123" s="125">
        <f t="shared" si="25"/>
        <v>0</v>
      </c>
      <c r="Y123" s="125">
        <f t="shared" si="26"/>
        <v>0</v>
      </c>
      <c r="Z123" s="125">
        <f t="shared" si="27"/>
        <v>0</v>
      </c>
      <c r="AA123" s="125">
        <f t="shared" si="30"/>
        <v>0</v>
      </c>
      <c r="AB123" s="146">
        <f t="shared" si="28"/>
        <v>0</v>
      </c>
      <c r="AD123" s="125">
        <f t="shared" si="42"/>
        <v>610.83699999999999</v>
      </c>
      <c r="AE123" s="125">
        <f t="shared" si="40"/>
        <v>7712.3029999999999</v>
      </c>
      <c r="AF123" s="125">
        <f t="shared" si="40"/>
        <v>3482.3249999999998</v>
      </c>
      <c r="AG123" s="125">
        <f t="shared" si="40"/>
        <v>87.042000000000002</v>
      </c>
      <c r="AH123" s="125">
        <f t="shared" si="40"/>
        <v>206.08600000000206</v>
      </c>
      <c r="AI123" s="146">
        <f t="shared" si="40"/>
        <v>12098.593000000001</v>
      </c>
    </row>
    <row r="124" spans="10:35" ht="15" hidden="1" customHeight="1">
      <c r="J124" s="65"/>
      <c r="K124" s="65"/>
      <c r="L124" s="65"/>
      <c r="M124" s="65"/>
      <c r="N124" s="65"/>
      <c r="R124"/>
      <c r="S124" s="129" t="str">
        <f t="shared" si="39"/>
        <v/>
      </c>
      <c r="T124" s="2" t="str">
        <f>IF(SUMIFS(Data!$D$8:$D$367,Data!$A$8:$A$367,$U124,Data!$C$8:$C$367,$V112),"NO","SI")</f>
        <v>SI</v>
      </c>
      <c r="U124" s="167">
        <f t="shared" si="37"/>
        <v>2024</v>
      </c>
      <c r="V124" s="98" t="str">
        <f t="shared" si="41"/>
        <v xml:space="preserve"> </v>
      </c>
      <c r="W124" s="125">
        <f t="shared" si="24"/>
        <v>0</v>
      </c>
      <c r="X124" s="125">
        <f t="shared" si="25"/>
        <v>0</v>
      </c>
      <c r="Y124" s="125">
        <f t="shared" si="26"/>
        <v>0</v>
      </c>
      <c r="Z124" s="125">
        <f t="shared" si="27"/>
        <v>0</v>
      </c>
      <c r="AA124" s="125">
        <f t="shared" si="30"/>
        <v>0</v>
      </c>
      <c r="AB124" s="146">
        <f t="shared" si="28"/>
        <v>0</v>
      </c>
      <c r="AD124" s="125">
        <f t="shared" si="42"/>
        <v>610.83699999999999</v>
      </c>
      <c r="AE124" s="125">
        <f t="shared" si="40"/>
        <v>7712.3029999999999</v>
      </c>
      <c r="AF124" s="125">
        <f t="shared" si="40"/>
        <v>3482.3249999999998</v>
      </c>
      <c r="AG124" s="125">
        <f t="shared" si="40"/>
        <v>87.042000000000002</v>
      </c>
      <c r="AH124" s="125">
        <f t="shared" si="40"/>
        <v>206.08600000000206</v>
      </c>
      <c r="AI124" s="146">
        <f t="shared" si="40"/>
        <v>12098.593000000001</v>
      </c>
    </row>
    <row r="125" spans="10:35" ht="15" hidden="1" customHeight="1">
      <c r="J125" s="65"/>
      <c r="K125" s="65"/>
      <c r="L125" s="65"/>
      <c r="M125" s="65"/>
      <c r="N125" s="65"/>
      <c r="R125"/>
      <c r="S125" s="129" t="str">
        <f t="shared" si="39"/>
        <v/>
      </c>
      <c r="T125" s="2" t="str">
        <f>IF(SUMIFS(Data!$D$8:$D$367,Data!$A$8:$A$367,$U125,Data!$C$8:$C$367,$V113),"NO","SI")</f>
        <v>SI</v>
      </c>
      <c r="U125" s="167">
        <f t="shared" si="37"/>
        <v>2024</v>
      </c>
      <c r="V125" s="98" t="str">
        <f t="shared" si="41"/>
        <v xml:space="preserve"> </v>
      </c>
      <c r="W125" s="125">
        <f t="shared" si="24"/>
        <v>0</v>
      </c>
      <c r="X125" s="125">
        <f t="shared" si="25"/>
        <v>0</v>
      </c>
      <c r="Y125" s="125">
        <f t="shared" si="26"/>
        <v>0</v>
      </c>
      <c r="Z125" s="125">
        <f t="shared" si="27"/>
        <v>0</v>
      </c>
      <c r="AA125" s="125">
        <f t="shared" si="30"/>
        <v>0</v>
      </c>
      <c r="AB125" s="146">
        <f t="shared" si="28"/>
        <v>0</v>
      </c>
      <c r="AD125" s="125">
        <f t="shared" si="42"/>
        <v>610.83699999999999</v>
      </c>
      <c r="AE125" s="125">
        <f t="shared" si="40"/>
        <v>7712.3029999999999</v>
      </c>
      <c r="AF125" s="125">
        <f t="shared" si="40"/>
        <v>3482.3249999999998</v>
      </c>
      <c r="AG125" s="125">
        <f t="shared" si="40"/>
        <v>87.042000000000002</v>
      </c>
      <c r="AH125" s="125">
        <f t="shared" si="40"/>
        <v>206.08600000000206</v>
      </c>
      <c r="AI125" s="146">
        <f t="shared" si="40"/>
        <v>12098.593000000001</v>
      </c>
    </row>
    <row r="126" spans="10:35" ht="15" hidden="1" customHeight="1">
      <c r="J126" s="65"/>
      <c r="K126" s="65"/>
      <c r="L126" s="65"/>
      <c r="M126" s="65"/>
      <c r="N126" s="65"/>
      <c r="R126"/>
      <c r="S126" s="129" t="str">
        <f t="shared" si="39"/>
        <v/>
      </c>
      <c r="T126" s="2" t="str">
        <f>IF(SUMIFS(Data!$D$8:$D$367,Data!$A$8:$A$367,$U126,Data!$C$8:$C$367,$V114),"NO","SI")</f>
        <v>SI</v>
      </c>
      <c r="U126" s="167">
        <f t="shared" si="37"/>
        <v>2024</v>
      </c>
      <c r="V126" s="98" t="str">
        <f>IF($T126="SI"," ",V114)</f>
        <v xml:space="preserve"> </v>
      </c>
      <c r="W126" s="125">
        <f t="shared" si="24"/>
        <v>0</v>
      </c>
      <c r="X126" s="125">
        <f t="shared" si="25"/>
        <v>0</v>
      </c>
      <c r="Y126" s="125">
        <f t="shared" si="26"/>
        <v>0</v>
      </c>
      <c r="Z126" s="125">
        <f t="shared" si="27"/>
        <v>0</v>
      </c>
      <c r="AA126" s="125">
        <f t="shared" si="30"/>
        <v>0</v>
      </c>
      <c r="AB126" s="146">
        <f t="shared" si="28"/>
        <v>0</v>
      </c>
      <c r="AD126" s="125">
        <f t="shared" si="42"/>
        <v>610.83699999999999</v>
      </c>
      <c r="AE126" s="125">
        <f t="shared" si="40"/>
        <v>7712.3029999999999</v>
      </c>
      <c r="AF126" s="125">
        <f t="shared" si="40"/>
        <v>3482.3249999999998</v>
      </c>
      <c r="AG126" s="125">
        <f t="shared" si="40"/>
        <v>87.042000000000002</v>
      </c>
      <c r="AH126" s="125">
        <f t="shared" si="40"/>
        <v>206.08600000000206</v>
      </c>
      <c r="AI126" s="146">
        <f t="shared" si="40"/>
        <v>12098.593000000001</v>
      </c>
    </row>
    <row r="127" spans="10:35" ht="15" hidden="1" customHeight="1">
      <c r="J127" s="65"/>
      <c r="K127" s="65"/>
      <c r="L127" s="65"/>
      <c r="M127" s="65"/>
      <c r="N127" s="65"/>
      <c r="R127"/>
      <c r="S127" s="129" t="str">
        <f t="shared" si="39"/>
        <v/>
      </c>
      <c r="T127" s="2" t="str">
        <f>IF(SUMIFS(Data!$D$8:$D$367,Data!$A$8:$A$367,$U127,Data!$C$8:$C$367,$V115),"NO","SI")</f>
        <v>SI</v>
      </c>
      <c r="U127" s="167">
        <f t="shared" si="37"/>
        <v>2024</v>
      </c>
      <c r="V127" s="98" t="str">
        <f>IF($T127="SI"," ",V115)</f>
        <v xml:space="preserve"> </v>
      </c>
      <c r="W127" s="125">
        <f t="shared" si="24"/>
        <v>0</v>
      </c>
      <c r="X127" s="125">
        <f t="shared" si="25"/>
        <v>0</v>
      </c>
      <c r="Y127" s="125">
        <f t="shared" si="26"/>
        <v>0</v>
      </c>
      <c r="Z127" s="125">
        <f t="shared" si="27"/>
        <v>0</v>
      </c>
      <c r="AA127" s="125">
        <f t="shared" si="30"/>
        <v>0</v>
      </c>
      <c r="AB127" s="146">
        <f t="shared" si="28"/>
        <v>0</v>
      </c>
      <c r="AD127" s="125">
        <f t="shared" si="42"/>
        <v>610.83699999999999</v>
      </c>
      <c r="AE127" s="125">
        <f t="shared" si="40"/>
        <v>7712.3029999999999</v>
      </c>
      <c r="AF127" s="125">
        <f t="shared" si="40"/>
        <v>3482.3249999999998</v>
      </c>
      <c r="AG127" s="125">
        <f t="shared" si="40"/>
        <v>87.042000000000002</v>
      </c>
      <c r="AH127" s="125">
        <f t="shared" si="40"/>
        <v>206.08600000000206</v>
      </c>
      <c r="AI127" s="146">
        <f t="shared" si="40"/>
        <v>12098.593000000001</v>
      </c>
    </row>
    <row r="128" spans="10:35" ht="15" hidden="1" customHeight="1">
      <c r="J128" s="65"/>
      <c r="K128" s="65"/>
      <c r="L128" s="65"/>
      <c r="M128" s="65"/>
      <c r="N128" s="65"/>
      <c r="R128"/>
      <c r="S128" s="129" t="str">
        <f>IF(V128=" ","",1)</f>
        <v/>
      </c>
      <c r="T128" s="2" t="str">
        <f>IF(SUMIFS(Data!$D$8:$D$367,Data!$A$8:$A$367,$U128,Data!$C$8:$C$367,$V116),"NO","SI")</f>
        <v>SI</v>
      </c>
      <c r="U128" s="167">
        <f t="shared" si="37"/>
        <v>2024</v>
      </c>
      <c r="V128" s="98" t="str">
        <f t="shared" si="41"/>
        <v xml:space="preserve"> </v>
      </c>
      <c r="W128" s="125">
        <f t="shared" si="24"/>
        <v>0</v>
      </c>
      <c r="X128" s="125">
        <f t="shared" si="25"/>
        <v>0</v>
      </c>
      <c r="Y128" s="125">
        <f t="shared" si="26"/>
        <v>0</v>
      </c>
      <c r="Z128" s="125">
        <f t="shared" si="27"/>
        <v>0</v>
      </c>
      <c r="AA128" s="125">
        <f t="shared" si="30"/>
        <v>0</v>
      </c>
      <c r="AB128" s="146">
        <f t="shared" si="28"/>
        <v>0</v>
      </c>
      <c r="AD128" s="125">
        <f t="shared" si="42"/>
        <v>610.83699999999999</v>
      </c>
      <c r="AE128" s="125">
        <f t="shared" si="40"/>
        <v>7712.3029999999999</v>
      </c>
      <c r="AF128" s="125">
        <f t="shared" si="40"/>
        <v>3482.3249999999998</v>
      </c>
      <c r="AG128" s="125">
        <f t="shared" si="40"/>
        <v>87.042000000000002</v>
      </c>
      <c r="AH128" s="125">
        <f t="shared" si="40"/>
        <v>206.08600000000206</v>
      </c>
      <c r="AI128" s="146">
        <f t="shared" si="40"/>
        <v>12098.593000000001</v>
      </c>
    </row>
    <row r="129" spans="10:35" ht="15" hidden="1" customHeight="1">
      <c r="J129" s="65"/>
      <c r="K129" s="65"/>
      <c r="L129" s="65"/>
      <c r="M129" s="65"/>
      <c r="N129" s="65"/>
    </row>
    <row r="130" spans="10:35" ht="15" hidden="1" customHeight="1">
      <c r="J130" s="65"/>
      <c r="K130" s="65"/>
      <c r="L130" s="65"/>
      <c r="M130" s="65"/>
      <c r="N130" s="65"/>
      <c r="W130" s="140" t="s">
        <v>107</v>
      </c>
      <c r="AD130" s="168"/>
    </row>
    <row r="131" spans="10:35" ht="15" hidden="1" customHeight="1">
      <c r="J131" s="65"/>
      <c r="K131" s="65"/>
      <c r="L131" s="65"/>
      <c r="M131" s="65"/>
      <c r="N131" s="65"/>
      <c r="U131" s="164">
        <f t="shared" ref="U131:U142" si="43">Año_seleccionado_C.2.2-1</f>
        <v>2023</v>
      </c>
      <c r="V131" s="165" t="s">
        <v>217</v>
      </c>
      <c r="W131" s="169">
        <f>IF(W93=0,"-",IF(ABS((W105-W93)/ABS(W93))*100&gt;=100,"-",IF((W105/W93)&lt;0,"-",((W105-W93)/ABS(W93))*100)))</f>
        <v>-10.974464758962313</v>
      </c>
      <c r="X131" s="170">
        <f t="shared" ref="X131:AB131" si="44">IF(X93=0,"-",IF(ABS((X105-X93)/ABS(X93))*100&gt;=100,"-",IF((X105/X93)&lt;0,"-",((X105-X93)/ABS(X93))*100)))</f>
        <v>82.004738853776331</v>
      </c>
      <c r="Y131" s="170">
        <f t="shared" si="44"/>
        <v>19.561706406804081</v>
      </c>
      <c r="Z131" s="170">
        <f t="shared" si="44"/>
        <v>59.932841638184328</v>
      </c>
      <c r="AA131" s="170">
        <f t="shared" si="44"/>
        <v>31.34381126860093</v>
      </c>
      <c r="AB131" s="149">
        <f t="shared" si="44"/>
        <v>55.619813389867069</v>
      </c>
      <c r="AD131" s="169">
        <f>IF(AD93=0,"-",IF(ABS((AD105-AD93)/ABS(AD93))*100&gt;=100,"-",IF((AD105/AD93)&lt;0,"-",((AD105-AD93)/ABS(AD93))*100)))</f>
        <v>-10.974464758962313</v>
      </c>
      <c r="AE131" s="170">
        <f t="shared" ref="AE131:AI131" si="45">IF(AE93=0,"-",IF(ABS((AE105-AE93)/ABS(AE93))*100&gt;=100,"-",IF((AE105/AE93)&lt;0,"-",((AE105-AE93)/ABS(AE93))*100)))</f>
        <v>82.004738853776331</v>
      </c>
      <c r="AF131" s="170">
        <f t="shared" si="45"/>
        <v>19.561706406804081</v>
      </c>
      <c r="AG131" s="170">
        <f t="shared" si="45"/>
        <v>59.932841638184328</v>
      </c>
      <c r="AH131" s="170">
        <f t="shared" si="45"/>
        <v>31.34381126860093</v>
      </c>
      <c r="AI131" s="149">
        <f t="shared" si="45"/>
        <v>55.619813389867069</v>
      </c>
    </row>
    <row r="132" spans="10:35" ht="15" hidden="1" customHeight="1">
      <c r="J132" s="65"/>
      <c r="K132" s="65"/>
      <c r="L132" s="65"/>
      <c r="M132" s="65"/>
      <c r="N132" s="65"/>
      <c r="U132" s="167">
        <f t="shared" si="43"/>
        <v>2023</v>
      </c>
      <c r="V132" s="98" t="s">
        <v>218</v>
      </c>
      <c r="W132" s="137">
        <f t="shared" ref="W132:AB147" si="46">IF(W94=0,"-",IF(ABS((W106-W94)/ABS(W94))*100&gt;=100,"-",IF((W106/W94)&lt;0,"-",((W106-W94)/ABS(W94))*100)))</f>
        <v>34.688444616383315</v>
      </c>
      <c r="X132" s="148">
        <f t="shared" si="46"/>
        <v>19.093713609556364</v>
      </c>
      <c r="Y132" s="148">
        <f t="shared" si="46"/>
        <v>-34.53802747484535</v>
      </c>
      <c r="Z132" s="148">
        <f t="shared" si="46"/>
        <v>-29.944033579852093</v>
      </c>
      <c r="AA132" s="148">
        <f t="shared" si="46"/>
        <v>-17.183431547210777</v>
      </c>
      <c r="AB132" s="149">
        <f t="shared" si="46"/>
        <v>-23.180068146410626</v>
      </c>
      <c r="AD132" s="137">
        <f t="shared" ref="AD132:AI147" si="47">IF(AD94=0,"-",IF(ABS((AD106-AD94)/ABS(AD94))*100&gt;=100,"-",IF((AD106/AD94)&lt;0,"-",((AD106-AD94)/ABS(AD94))*100)))</f>
        <v>0.93122094742798756</v>
      </c>
      <c r="AE132" s="148">
        <f t="shared" si="47"/>
        <v>75.558410852974248</v>
      </c>
      <c r="AF132" s="148">
        <f t="shared" si="47"/>
        <v>-10.80960354461973</v>
      </c>
      <c r="AG132" s="148">
        <f t="shared" si="47"/>
        <v>-7.474477940845774</v>
      </c>
      <c r="AH132" s="148">
        <f t="shared" si="47"/>
        <v>4.3761988852449578</v>
      </c>
      <c r="AI132" s="149">
        <f t="shared" si="47"/>
        <v>28.971182696734608</v>
      </c>
    </row>
    <row r="133" spans="10:35" ht="15" hidden="1" customHeight="1">
      <c r="J133" s="65"/>
      <c r="K133" s="65"/>
      <c r="L133" s="65"/>
      <c r="M133" s="65"/>
      <c r="N133" s="65"/>
      <c r="U133" s="167">
        <f t="shared" si="43"/>
        <v>2023</v>
      </c>
      <c r="V133" s="98" t="s">
        <v>219</v>
      </c>
      <c r="W133" s="137">
        <f t="shared" si="46"/>
        <v>-2.3343444876291577</v>
      </c>
      <c r="X133" s="148">
        <f t="shared" si="46"/>
        <v>61.151580708678068</v>
      </c>
      <c r="Y133" s="148">
        <f t="shared" si="46"/>
        <v>-3.1520057842009939</v>
      </c>
      <c r="Z133" s="148">
        <f t="shared" si="46"/>
        <v>61.5213076187909</v>
      </c>
      <c r="AA133" s="148">
        <f t="shared" si="46"/>
        <v>29.207826253016506</v>
      </c>
      <c r="AB133" s="149">
        <f t="shared" si="46"/>
        <v>4.2629552833384485</v>
      </c>
      <c r="AD133" s="137">
        <f t="shared" si="47"/>
        <v>-5.5243542888911021E-2</v>
      </c>
      <c r="AE133" s="148">
        <f t="shared" si="47"/>
        <v>74.782347042036506</v>
      </c>
      <c r="AF133" s="148">
        <f t="shared" si="47"/>
        <v>-8.1319058351352496</v>
      </c>
      <c r="AG133" s="148">
        <f t="shared" si="47"/>
        <v>18.712911806834473</v>
      </c>
      <c r="AH133" s="148">
        <f t="shared" si="47"/>
        <v>13.170280331885451</v>
      </c>
      <c r="AI133" s="149">
        <f t="shared" si="47"/>
        <v>23.029771311894162</v>
      </c>
    </row>
    <row r="134" spans="10:35" ht="15" hidden="1" customHeight="1">
      <c r="J134" s="65"/>
      <c r="K134" s="65"/>
      <c r="L134" s="65"/>
      <c r="M134" s="65"/>
      <c r="N134" s="65"/>
      <c r="U134" s="167">
        <f t="shared" si="43"/>
        <v>2023</v>
      </c>
      <c r="V134" s="98" t="s">
        <v>220</v>
      </c>
      <c r="W134" s="137">
        <f t="shared" si="46"/>
        <v>1.555544747828713</v>
      </c>
      <c r="X134" s="148">
        <f t="shared" si="46"/>
        <v>-29.535277291039531</v>
      </c>
      <c r="Y134" s="148">
        <f t="shared" si="46"/>
        <v>5.4012817457854778</v>
      </c>
      <c r="Z134" s="148">
        <f t="shared" si="46"/>
        <v>23.316057090130947</v>
      </c>
      <c r="AA134" s="148">
        <f t="shared" si="46"/>
        <v>19.880867072733373</v>
      </c>
      <c r="AB134" s="149">
        <f t="shared" si="46"/>
        <v>3.2998968118988938</v>
      </c>
      <c r="AD134" s="137">
        <f t="shared" si="47"/>
        <v>1.1312937426090763</v>
      </c>
      <c r="AE134" s="148">
        <f t="shared" si="47"/>
        <v>68.804170155170624</v>
      </c>
      <c r="AF134" s="148">
        <f t="shared" si="47"/>
        <v>-3.0725269902965477</v>
      </c>
      <c r="AG134" s="148">
        <f t="shared" si="47"/>
        <v>20.952490114046661</v>
      </c>
      <c r="AH134" s="148">
        <f t="shared" si="47"/>
        <v>15.348149563216667</v>
      </c>
      <c r="AI134" s="149">
        <f t="shared" si="47"/>
        <v>15.987013791230808</v>
      </c>
    </row>
    <row r="135" spans="10:35" ht="15" hidden="1" customHeight="1">
      <c r="J135" s="65"/>
      <c r="K135" s="65"/>
      <c r="L135" s="65"/>
      <c r="M135" s="65"/>
      <c r="N135" s="65"/>
      <c r="U135" s="167">
        <f t="shared" si="43"/>
        <v>2023</v>
      </c>
      <c r="V135" s="98" t="s">
        <v>221</v>
      </c>
      <c r="W135" s="137">
        <f t="shared" si="46"/>
        <v>2.9513057417031825</v>
      </c>
      <c r="X135" s="148" t="str">
        <f t="shared" si="46"/>
        <v>-</v>
      </c>
      <c r="Y135" s="148">
        <f t="shared" si="46"/>
        <v>8.6603483133620127</v>
      </c>
      <c r="Z135" s="148">
        <f t="shared" si="46"/>
        <v>-26.063406085709733</v>
      </c>
      <c r="AA135" s="148">
        <f t="shared" si="46"/>
        <v>53.182365332530132</v>
      </c>
      <c r="AB135" s="149">
        <f t="shared" si="46"/>
        <v>23.514308895642209</v>
      </c>
      <c r="AD135" s="137">
        <f t="shared" si="47"/>
        <v>1.9228672445053008</v>
      </c>
      <c r="AE135" s="148">
        <f t="shared" si="47"/>
        <v>89.4743201299611</v>
      </c>
      <c r="AF135" s="148">
        <f t="shared" si="47"/>
        <v>-0.15496134933521249</v>
      </c>
      <c r="AG135" s="148">
        <f t="shared" si="47"/>
        <v>8.5138666441878144</v>
      </c>
      <c r="AH135" s="148">
        <f t="shared" si="47"/>
        <v>21.474227898501969</v>
      </c>
      <c r="AI135" s="149">
        <f t="shared" si="47"/>
        <v>17.83447147137144</v>
      </c>
    </row>
    <row r="136" spans="10:35" ht="15" hidden="1" customHeight="1">
      <c r="J136" s="65"/>
      <c r="K136" s="65"/>
      <c r="L136" s="65"/>
      <c r="M136" s="65"/>
      <c r="N136" s="65"/>
      <c r="U136" s="167">
        <f t="shared" si="43"/>
        <v>2023</v>
      </c>
      <c r="V136" s="98" t="s">
        <v>222</v>
      </c>
      <c r="W136" s="137">
        <f t="shared" si="46"/>
        <v>26.827621725192774</v>
      </c>
      <c r="X136" s="148">
        <f t="shared" si="46"/>
        <v>-33.477024451538817</v>
      </c>
      <c r="Y136" s="148">
        <f t="shared" si="46"/>
        <v>-0.69351701221138373</v>
      </c>
      <c r="Z136" s="148">
        <f t="shared" si="46"/>
        <v>-7.6721103679308236</v>
      </c>
      <c r="AA136" s="148">
        <f t="shared" si="46"/>
        <v>8.9347286186194221</v>
      </c>
      <c r="AB136" s="149">
        <f t="shared" si="46"/>
        <v>9.0730492407835683</v>
      </c>
      <c r="AD136" s="137">
        <f t="shared" si="47"/>
        <v>9.9406540873929963</v>
      </c>
      <c r="AE136" s="148">
        <f t="shared" si="47"/>
        <v>85.322204377813264</v>
      </c>
      <c r="AF136" s="148">
        <f t="shared" si="47"/>
        <v>-0.27462350377005695</v>
      </c>
      <c r="AG136" s="148">
        <f t="shared" si="47"/>
        <v>4.680342347703256</v>
      </c>
      <c r="AH136" s="148">
        <f t="shared" si="47"/>
        <v>18.665136220924204</v>
      </c>
      <c r="AI136" s="149">
        <f t="shared" si="47"/>
        <v>15.912962896959757</v>
      </c>
    </row>
    <row r="137" spans="10:35" ht="15" hidden="1" customHeight="1">
      <c r="J137" s="65"/>
      <c r="K137" s="65"/>
      <c r="L137" s="65"/>
      <c r="M137" s="65"/>
      <c r="N137" s="65"/>
      <c r="U137" s="167">
        <f t="shared" si="43"/>
        <v>2023</v>
      </c>
      <c r="V137" s="98" t="s">
        <v>223</v>
      </c>
      <c r="W137" s="137">
        <f t="shared" si="46"/>
        <v>50.483984201246521</v>
      </c>
      <c r="X137" s="148">
        <f t="shared" si="46"/>
        <v>-83.619566671595649</v>
      </c>
      <c r="Y137" s="148">
        <f t="shared" si="46"/>
        <v>8.9279789721434692</v>
      </c>
      <c r="Z137" s="148">
        <f t="shared" si="46"/>
        <v>9.2900041419301314</v>
      </c>
      <c r="AA137" s="148">
        <f t="shared" si="46"/>
        <v>83.936410587476459</v>
      </c>
      <c r="AB137" s="149">
        <f t="shared" si="46"/>
        <v>12.822661672059542</v>
      </c>
      <c r="AD137" s="137">
        <f t="shared" si="47"/>
        <v>14.035288073572463</v>
      </c>
      <c r="AE137" s="148">
        <f t="shared" si="47"/>
        <v>76.110796717577927</v>
      </c>
      <c r="AF137" s="148">
        <f t="shared" si="47"/>
        <v>1.4721127900555278</v>
      </c>
      <c r="AG137" s="148">
        <f t="shared" si="47"/>
        <v>5.3000475621498078</v>
      </c>
      <c r="AH137" s="148">
        <f t="shared" si="47"/>
        <v>28.021910011625884</v>
      </c>
      <c r="AI137" s="149">
        <f t="shared" si="47"/>
        <v>15.45610663101818</v>
      </c>
    </row>
    <row r="138" spans="10:35" ht="15" hidden="1" customHeight="1">
      <c r="J138" s="65"/>
      <c r="K138" s="65"/>
      <c r="L138" s="65"/>
      <c r="M138" s="65"/>
      <c r="N138" s="65"/>
      <c r="U138" s="167">
        <f t="shared" si="43"/>
        <v>2023</v>
      </c>
      <c r="V138" s="98" t="s">
        <v>224</v>
      </c>
      <c r="W138" s="137">
        <f t="shared" si="46"/>
        <v>51.730717749817892</v>
      </c>
      <c r="X138" s="148">
        <f t="shared" si="46"/>
        <v>-55.877944422743255</v>
      </c>
      <c r="Y138" s="148">
        <f t="shared" si="46"/>
        <v>-2.3583890542498471</v>
      </c>
      <c r="Z138" s="148">
        <f t="shared" si="46"/>
        <v>-4.2193896538890963</v>
      </c>
      <c r="AA138" s="148">
        <f t="shared" si="46"/>
        <v>-51.379639516588441</v>
      </c>
      <c r="AB138" s="149">
        <f t="shared" si="46"/>
        <v>-2.8282146053634838</v>
      </c>
      <c r="AD138" s="137">
        <f t="shared" si="47"/>
        <v>15.302100284582224</v>
      </c>
      <c r="AE138" s="148">
        <f t="shared" si="47"/>
        <v>73.379391116111648</v>
      </c>
      <c r="AF138" s="148">
        <f t="shared" si="47"/>
        <v>1.0637857037385723</v>
      </c>
      <c r="AG138" s="148">
        <f t="shared" si="47"/>
        <v>4.4366433407101526</v>
      </c>
      <c r="AH138" s="148">
        <f t="shared" si="47"/>
        <v>9.390267008299352</v>
      </c>
      <c r="AI138" s="149">
        <f t="shared" si="47"/>
        <v>13.958175594745487</v>
      </c>
    </row>
    <row r="139" spans="10:35" ht="15" hidden="1" customHeight="1">
      <c r="J139" s="65"/>
      <c r="K139" s="65"/>
      <c r="L139" s="65"/>
      <c r="M139" s="65"/>
      <c r="N139" s="65"/>
      <c r="U139" s="167">
        <f t="shared" si="43"/>
        <v>2023</v>
      </c>
      <c r="V139" s="98" t="s">
        <v>225</v>
      </c>
      <c r="W139" s="137">
        <f t="shared" si="46"/>
        <v>17.547318120001488</v>
      </c>
      <c r="X139" s="148" t="str">
        <f t="shared" si="46"/>
        <v>-</v>
      </c>
      <c r="Y139" s="148">
        <f t="shared" si="46"/>
        <v>-14.618288192492324</v>
      </c>
      <c r="Z139" s="148">
        <f t="shared" si="46"/>
        <v>27.529717682020806</v>
      </c>
      <c r="AA139" s="148" t="str">
        <f t="shared" si="46"/>
        <v>-</v>
      </c>
      <c r="AB139" s="149">
        <f t="shared" si="46"/>
        <v>-2.2989268191888161</v>
      </c>
      <c r="AD139" s="137">
        <f t="shared" si="47"/>
        <v>15.374956274737178</v>
      </c>
      <c r="AE139" s="148">
        <f t="shared" si="47"/>
        <v>76.13615494553504</v>
      </c>
      <c r="AF139" s="148">
        <f t="shared" si="47"/>
        <v>-0.57914286609949917</v>
      </c>
      <c r="AG139" s="148">
        <f t="shared" si="47"/>
        <v>6.7921196861969433</v>
      </c>
      <c r="AH139" s="148">
        <f t="shared" si="47"/>
        <v>14.459382199413398</v>
      </c>
      <c r="AI139" s="149">
        <f t="shared" si="47"/>
        <v>12.717626662792867</v>
      </c>
    </row>
    <row r="140" spans="10:35" ht="15" hidden="1" customHeight="1">
      <c r="J140" s="65"/>
      <c r="K140" s="65"/>
      <c r="L140" s="65"/>
      <c r="M140" s="65"/>
      <c r="N140" s="65"/>
      <c r="U140" s="167">
        <f t="shared" si="43"/>
        <v>2023</v>
      </c>
      <c r="V140" s="98" t="s">
        <v>226</v>
      </c>
      <c r="W140" s="137">
        <f t="shared" si="46"/>
        <v>8.1130026386881084</v>
      </c>
      <c r="X140" s="148">
        <f t="shared" si="46"/>
        <v>-55.537880762902972</v>
      </c>
      <c r="Y140" s="148">
        <f t="shared" si="46"/>
        <v>-7.1210782993614288</v>
      </c>
      <c r="Z140" s="148">
        <f t="shared" si="46"/>
        <v>19.714353900097304</v>
      </c>
      <c r="AA140" s="148">
        <f t="shared" si="46"/>
        <v>59.154032449988406</v>
      </c>
      <c r="AB140" s="149">
        <f t="shared" si="46"/>
        <v>-19.756293727290348</v>
      </c>
      <c r="AD140" s="137">
        <f t="shared" si="47"/>
        <v>14.894014979681206</v>
      </c>
      <c r="AE140" s="148">
        <f t="shared" si="47"/>
        <v>40.081070773047927</v>
      </c>
      <c r="AF140" s="148">
        <f t="shared" si="47"/>
        <v>-1.2499589513507663</v>
      </c>
      <c r="AG140" s="148">
        <f t="shared" si="47"/>
        <v>8.0009273251820332</v>
      </c>
      <c r="AH140" s="148">
        <f t="shared" si="47"/>
        <v>19.277587541709032</v>
      </c>
      <c r="AI140" s="149">
        <f t="shared" si="47"/>
        <v>8.8171509907908927</v>
      </c>
    </row>
    <row r="141" spans="10:35" ht="15" hidden="1" customHeight="1">
      <c r="J141" s="65"/>
      <c r="K141" s="65"/>
      <c r="L141" s="65"/>
      <c r="M141" s="65"/>
      <c r="N141" s="65"/>
      <c r="U141" s="167">
        <f t="shared" si="43"/>
        <v>2023</v>
      </c>
      <c r="V141" s="98" t="s">
        <v>227</v>
      </c>
      <c r="W141" s="137">
        <f t="shared" si="46"/>
        <v>12.837590561966325</v>
      </c>
      <c r="X141" s="148">
        <f t="shared" si="46"/>
        <v>-11.78999896110497</v>
      </c>
      <c r="Y141" s="148">
        <f t="shared" si="46"/>
        <v>-16.335791404278723</v>
      </c>
      <c r="Z141" s="148">
        <f t="shared" si="46"/>
        <v>4.8666007905138278</v>
      </c>
      <c r="AA141" s="148">
        <f t="shared" si="46"/>
        <v>61.902913322560259</v>
      </c>
      <c r="AB141" s="149">
        <f t="shared" si="46"/>
        <v>-10.276875197301086</v>
      </c>
      <c r="AD141" s="137">
        <f t="shared" si="47"/>
        <v>14.773524204640118</v>
      </c>
      <c r="AE141" s="148">
        <f t="shared" si="47"/>
        <v>33.058728105953875</v>
      </c>
      <c r="AF141" s="148">
        <f t="shared" si="47"/>
        <v>-2.8523541661005147</v>
      </c>
      <c r="AG141" s="148">
        <f t="shared" si="47"/>
        <v>7.7595990464355351</v>
      </c>
      <c r="AH141" s="148">
        <f t="shared" si="47"/>
        <v>22.565477802901274</v>
      </c>
      <c r="AI141" s="149">
        <f t="shared" si="47"/>
        <v>6.9056953502860328</v>
      </c>
    </row>
    <row r="142" spans="10:35" ht="15" hidden="1" customHeight="1">
      <c r="J142" s="65"/>
      <c r="K142" s="65"/>
      <c r="L142" s="65"/>
      <c r="M142" s="65"/>
      <c r="N142" s="65"/>
      <c r="U142" s="167">
        <f t="shared" si="43"/>
        <v>2023</v>
      </c>
      <c r="V142" s="98" t="s">
        <v>228</v>
      </c>
      <c r="W142" s="137">
        <f t="shared" si="46"/>
        <v>15.137169344926537</v>
      </c>
      <c r="X142" s="148">
        <f t="shared" si="46"/>
        <v>-16.42095711705835</v>
      </c>
      <c r="Y142" s="148">
        <f t="shared" si="46"/>
        <v>-10.796284317567428</v>
      </c>
      <c r="Z142" s="148">
        <f t="shared" si="46"/>
        <v>-34.137478388935136</v>
      </c>
      <c r="AA142" s="148">
        <f t="shared" si="46"/>
        <v>-50.893583642121619</v>
      </c>
      <c r="AB142" s="149">
        <f t="shared" si="46"/>
        <v>-12.76429105201359</v>
      </c>
      <c r="AD142" s="137">
        <f t="shared" si="47"/>
        <v>14.793642303014806</v>
      </c>
      <c r="AE142" s="148">
        <f t="shared" si="47"/>
        <v>20.839617020483214</v>
      </c>
      <c r="AF142" s="148">
        <f t="shared" si="47"/>
        <v>-3.7811771346848162</v>
      </c>
      <c r="AG142" s="148">
        <f t="shared" si="47"/>
        <v>-1.8355126481730533</v>
      </c>
      <c r="AH142" s="148">
        <f t="shared" si="47"/>
        <v>8.4471380941104162</v>
      </c>
      <c r="AI142" s="149">
        <f t="shared" si="47"/>
        <v>4.3096488676390283</v>
      </c>
    </row>
    <row r="143" spans="10:35" ht="15" hidden="1" customHeight="1">
      <c r="J143" s="65"/>
      <c r="K143" s="65"/>
      <c r="L143" s="65"/>
      <c r="M143" s="65"/>
      <c r="N143" s="65"/>
      <c r="U143" s="164">
        <f t="shared" ref="U143:U154" si="48">Año_seleccionado_C.2.2</f>
        <v>2024</v>
      </c>
      <c r="V143" s="165" t="s">
        <v>217</v>
      </c>
      <c r="W143" s="169">
        <f t="shared" si="46"/>
        <v>-6.0994996960770553</v>
      </c>
      <c r="X143" s="170">
        <f t="shared" si="46"/>
        <v>2.7028093724881703</v>
      </c>
      <c r="Y143" s="170">
        <f t="shared" si="46"/>
        <v>-10.446675376961728</v>
      </c>
      <c r="Z143" s="170">
        <f t="shared" si="46"/>
        <v>55.852579484103181</v>
      </c>
      <c r="AA143" s="170">
        <f t="shared" si="46"/>
        <v>-53.236265753087764</v>
      </c>
      <c r="AB143" s="149">
        <f t="shared" si="46"/>
        <v>-1.2964322071028207</v>
      </c>
      <c r="AD143" s="169">
        <f t="shared" si="47"/>
        <v>-6.0994996960770553</v>
      </c>
      <c r="AE143" s="170">
        <f t="shared" si="47"/>
        <v>2.7028093724881703</v>
      </c>
      <c r="AF143" s="170">
        <f t="shared" si="47"/>
        <v>-10.446675376961728</v>
      </c>
      <c r="AG143" s="170">
        <f t="shared" si="47"/>
        <v>55.852579484103181</v>
      </c>
      <c r="AH143" s="170">
        <f t="shared" si="47"/>
        <v>-53.236265753087764</v>
      </c>
      <c r="AI143" s="149">
        <f t="shared" si="47"/>
        <v>-1.2964322071028207</v>
      </c>
    </row>
    <row r="144" spans="10:35" ht="15" hidden="1" customHeight="1">
      <c r="J144" s="65"/>
      <c r="K144" s="65"/>
      <c r="L144" s="65"/>
      <c r="M144" s="65"/>
      <c r="N144" s="65"/>
      <c r="U144" s="167">
        <f t="shared" si="48"/>
        <v>2024</v>
      </c>
      <c r="V144" s="98" t="s">
        <v>218</v>
      </c>
      <c r="W144" s="137">
        <f t="shared" si="46"/>
        <v>21.391155336591826</v>
      </c>
      <c r="X144" s="148">
        <f t="shared" si="46"/>
        <v>45.571626552695562</v>
      </c>
      <c r="Y144" s="148">
        <f t="shared" si="46"/>
        <v>-5.5994956880820714</v>
      </c>
      <c r="Z144" s="148">
        <f t="shared" si="46"/>
        <v>29.741219435647238</v>
      </c>
      <c r="AA144" s="148">
        <f t="shared" si="46"/>
        <v>53.848381425173471</v>
      </c>
      <c r="AB144" s="149">
        <f t="shared" si="46"/>
        <v>10.359423111849004</v>
      </c>
      <c r="AD144" s="137">
        <f t="shared" si="47"/>
        <v>3.465406908794018</v>
      </c>
      <c r="AE144" s="148">
        <f t="shared" si="47"/>
        <v>5.6826588997349177</v>
      </c>
      <c r="AF144" s="148">
        <f t="shared" si="47"/>
        <v>-8.4494434129975051</v>
      </c>
      <c r="AG144" s="148">
        <f t="shared" si="47"/>
        <v>41.024934787187497</v>
      </c>
      <c r="AH144" s="148">
        <f t="shared" si="47"/>
        <v>-6.0191075540950711</v>
      </c>
      <c r="AI144" s="149">
        <f t="shared" si="47"/>
        <v>1.0514414158803052</v>
      </c>
    </row>
    <row r="145" spans="3:35" ht="15" hidden="1" customHeight="1">
      <c r="J145" s="65"/>
      <c r="K145" s="65"/>
      <c r="L145" s="65"/>
      <c r="M145" s="65"/>
      <c r="N145" s="65"/>
      <c r="U145" s="167">
        <f t="shared" si="48"/>
        <v>2024</v>
      </c>
      <c r="V145" s="98" t="s">
        <v>219</v>
      </c>
      <c r="W145" s="137" t="str">
        <f t="shared" si="46"/>
        <v>-</v>
      </c>
      <c r="X145" s="148" t="str">
        <f t="shared" si="46"/>
        <v>-</v>
      </c>
      <c r="Y145" s="148" t="str">
        <f t="shared" si="46"/>
        <v>-</v>
      </c>
      <c r="Z145" s="148" t="str">
        <f t="shared" si="46"/>
        <v>-</v>
      </c>
      <c r="AA145" s="148" t="str">
        <f t="shared" si="46"/>
        <v>-</v>
      </c>
      <c r="AB145" s="149" t="str">
        <f t="shared" si="46"/>
        <v>-</v>
      </c>
      <c r="AD145" s="137">
        <f t="shared" si="47"/>
        <v>-27.076777246658484</v>
      </c>
      <c r="AE145" s="148">
        <f t="shared" si="47"/>
        <v>0.43374159851106447</v>
      </c>
      <c r="AF145" s="148">
        <f t="shared" si="47"/>
        <v>-42.19805493527268</v>
      </c>
      <c r="AG145" s="148">
        <f t="shared" si="47"/>
        <v>-31.802903637773934</v>
      </c>
      <c r="AH145" s="148">
        <f t="shared" si="47"/>
        <v>-44.018906107813116</v>
      </c>
      <c r="AI145" s="149">
        <f t="shared" si="47"/>
        <v>-19.541119568551924</v>
      </c>
    </row>
    <row r="146" spans="3:35" ht="15" hidden="1" customHeight="1">
      <c r="J146" s="65"/>
      <c r="K146" s="65"/>
      <c r="L146" s="65"/>
      <c r="M146" s="65"/>
      <c r="N146" s="65"/>
      <c r="U146" s="167">
        <f t="shared" si="48"/>
        <v>2024</v>
      </c>
      <c r="V146" s="98" t="s">
        <v>220</v>
      </c>
      <c r="W146" s="137" t="str">
        <f t="shared" si="46"/>
        <v>-</v>
      </c>
      <c r="X146" s="148" t="str">
        <f t="shared" si="46"/>
        <v>-</v>
      </c>
      <c r="Y146" s="148" t="str">
        <f t="shared" si="46"/>
        <v>-</v>
      </c>
      <c r="Z146" s="148" t="str">
        <f t="shared" si="46"/>
        <v>-</v>
      </c>
      <c r="AA146" s="148" t="str">
        <f t="shared" si="46"/>
        <v>-</v>
      </c>
      <c r="AB146" s="149" t="str">
        <f t="shared" si="46"/>
        <v>-</v>
      </c>
      <c r="AD146" s="137">
        <f t="shared" si="47"/>
        <v>-81.01875387650135</v>
      </c>
      <c r="AE146" s="148">
        <f t="shared" si="47"/>
        <v>-1.9688463335602564</v>
      </c>
      <c r="AF146" s="148">
        <f t="shared" si="47"/>
        <v>-65.696469075622872</v>
      </c>
      <c r="AG146" s="148">
        <f t="shared" si="47"/>
        <v>-65.631366974650547</v>
      </c>
      <c r="AH146" s="148">
        <f t="shared" si="47"/>
        <v>-62.901077219965607</v>
      </c>
      <c r="AI146" s="149">
        <f t="shared" si="47"/>
        <v>-45.120081699845962</v>
      </c>
    </row>
    <row r="147" spans="3:35" ht="15" hidden="1" customHeight="1">
      <c r="J147" s="65"/>
      <c r="K147" s="65"/>
      <c r="L147" s="65"/>
      <c r="M147" s="65"/>
      <c r="N147" s="65"/>
      <c r="U147" s="167">
        <f t="shared" si="48"/>
        <v>2024</v>
      </c>
      <c r="V147" s="98" t="s">
        <v>221</v>
      </c>
      <c r="W147" s="137" t="str">
        <f t="shared" si="46"/>
        <v>-</v>
      </c>
      <c r="X147" s="148" t="str">
        <f t="shared" si="46"/>
        <v>-</v>
      </c>
      <c r="Y147" s="148" t="str">
        <f t="shared" si="46"/>
        <v>-</v>
      </c>
      <c r="Z147" s="148" t="str">
        <f t="shared" si="46"/>
        <v>-</v>
      </c>
      <c r="AA147" s="148" t="str">
        <f t="shared" si="46"/>
        <v>-</v>
      </c>
      <c r="AB147" s="149" t="str">
        <f t="shared" si="46"/>
        <v>-</v>
      </c>
      <c r="AD147" s="137">
        <f t="shared" si="47"/>
        <v>-89.357522885253758</v>
      </c>
      <c r="AE147" s="148">
        <f t="shared" si="47"/>
        <v>-14.469387798104655</v>
      </c>
      <c r="AF147" s="148">
        <f t="shared" si="47"/>
        <v>-74.979709734240629</v>
      </c>
      <c r="AG147" s="148">
        <f t="shared" si="47"/>
        <v>-71.826691524897072</v>
      </c>
      <c r="AH147" s="148">
        <f t="shared" si="47"/>
        <v>-70.4760963338301</v>
      </c>
      <c r="AI147" s="149">
        <f t="shared" si="47"/>
        <v>-59.238756227804224</v>
      </c>
    </row>
    <row r="148" spans="3:35" ht="15" hidden="1" customHeight="1">
      <c r="J148" s="65"/>
      <c r="K148" s="65"/>
      <c r="L148" s="65"/>
      <c r="M148" s="65"/>
      <c r="N148" s="65"/>
      <c r="U148" s="167">
        <f t="shared" si="48"/>
        <v>2024</v>
      </c>
      <c r="V148" s="98" t="s">
        <v>222</v>
      </c>
      <c r="W148" s="137" t="str">
        <f t="shared" ref="W148:AB154" si="49">IF(W110=0,"-",IF(ABS((W122-W110)/ABS(W110))*100&gt;=100,"-",IF((W122/W110)&lt;0,"-",((W122-W110)/ABS(W110))*100)))</f>
        <v>-</v>
      </c>
      <c r="X148" s="148" t="str">
        <f t="shared" si="49"/>
        <v>-</v>
      </c>
      <c r="Y148" s="148" t="str">
        <f t="shared" si="49"/>
        <v>-</v>
      </c>
      <c r="Z148" s="148" t="str">
        <f t="shared" si="49"/>
        <v>-</v>
      </c>
      <c r="AA148" s="148" t="str">
        <f t="shared" si="49"/>
        <v>-</v>
      </c>
      <c r="AB148" s="149" t="str">
        <f t="shared" si="49"/>
        <v>-</v>
      </c>
      <c r="AD148" s="137">
        <f t="shared" ref="AD148:AI154" si="50">IF(AD110=0,"-",IF(ABS((AD122-AD110)/ABS(AD110))*100&gt;=100,"-",IF((AD122/AD110)&lt;0,"-",((AD122-AD110)/ABS(AD110))*100)))</f>
        <v>-93.310010325704354</v>
      </c>
      <c r="AE148" s="148">
        <f t="shared" si="50"/>
        <v>-15.506204440658141</v>
      </c>
      <c r="AF148" s="148">
        <f t="shared" si="50"/>
        <v>-80.515638349836422</v>
      </c>
      <c r="AG148" s="148">
        <f t="shared" si="50"/>
        <v>-77.711941659070192</v>
      </c>
      <c r="AH148" s="148">
        <f t="shared" si="50"/>
        <v>-76.547690171778797</v>
      </c>
      <c r="AI148" s="149">
        <f t="shared" si="50"/>
        <v>-67.650781932759003</v>
      </c>
    </row>
    <row r="149" spans="3:35" ht="15" hidden="1" customHeight="1">
      <c r="J149" s="65"/>
      <c r="K149" s="65"/>
      <c r="L149" s="65"/>
      <c r="M149" s="65"/>
      <c r="N149" s="65"/>
      <c r="U149" s="167">
        <f t="shared" si="48"/>
        <v>2024</v>
      </c>
      <c r="V149" s="98" t="s">
        <v>223</v>
      </c>
      <c r="W149" s="137" t="str">
        <f t="shared" si="49"/>
        <v>-</v>
      </c>
      <c r="X149" s="148" t="str">
        <f t="shared" si="49"/>
        <v>-</v>
      </c>
      <c r="Y149" s="148" t="str">
        <f t="shared" si="49"/>
        <v>-</v>
      </c>
      <c r="Z149" s="148" t="str">
        <f t="shared" si="49"/>
        <v>-</v>
      </c>
      <c r="AA149" s="148" t="str">
        <f t="shared" si="49"/>
        <v>-</v>
      </c>
      <c r="AB149" s="149" t="str">
        <f t="shared" si="49"/>
        <v>-</v>
      </c>
      <c r="AD149" s="137">
        <f t="shared" si="50"/>
        <v>-94.201614583555809</v>
      </c>
      <c r="AE149" s="148">
        <f t="shared" si="50"/>
        <v>-15.93470676731723</v>
      </c>
      <c r="AF149" s="148">
        <f t="shared" si="50"/>
        <v>-84.485684969488617</v>
      </c>
      <c r="AG149" s="148">
        <f t="shared" si="50"/>
        <v>-80.821797077947124</v>
      </c>
      <c r="AH149" s="148">
        <f t="shared" si="50"/>
        <v>-81.377978618912763</v>
      </c>
      <c r="AI149" s="149">
        <f t="shared" si="50"/>
        <v>-72.324063973343101</v>
      </c>
    </row>
    <row r="150" spans="3:35" ht="15" hidden="1" customHeight="1">
      <c r="J150" s="65"/>
      <c r="K150" s="65"/>
      <c r="L150" s="65"/>
      <c r="M150" s="65"/>
      <c r="N150" s="65"/>
      <c r="U150" s="167">
        <f t="shared" si="48"/>
        <v>2024</v>
      </c>
      <c r="V150" s="98" t="s">
        <v>224</v>
      </c>
      <c r="W150" s="137" t="str">
        <f t="shared" si="49"/>
        <v>-</v>
      </c>
      <c r="X150" s="148" t="str">
        <f t="shared" si="49"/>
        <v>-</v>
      </c>
      <c r="Y150" s="148" t="str">
        <f t="shared" si="49"/>
        <v>-</v>
      </c>
      <c r="Z150" s="148" t="str">
        <f t="shared" si="49"/>
        <v>-</v>
      </c>
      <c r="AA150" s="148" t="str">
        <f t="shared" si="49"/>
        <v>-</v>
      </c>
      <c r="AB150" s="149" t="str">
        <f t="shared" si="49"/>
        <v>-</v>
      </c>
      <c r="AD150" s="137">
        <f t="shared" si="50"/>
        <v>-94.458043452186644</v>
      </c>
      <c r="AE150" s="148">
        <f t="shared" si="50"/>
        <v>-16.377421836779295</v>
      </c>
      <c r="AF150" s="148">
        <f t="shared" si="50"/>
        <v>-86.083492610252947</v>
      </c>
      <c r="AG150" s="148">
        <f t="shared" si="50"/>
        <v>-82.417071855235065</v>
      </c>
      <c r="AH150" s="148">
        <f t="shared" si="50"/>
        <v>-83.320154199907705</v>
      </c>
      <c r="AI150" s="149">
        <f t="shared" si="50"/>
        <v>-74.25741177536959</v>
      </c>
    </row>
    <row r="151" spans="3:35" ht="13.2" hidden="1">
      <c r="J151" s="65"/>
      <c r="K151" s="65"/>
      <c r="L151" s="65"/>
      <c r="M151" s="65"/>
      <c r="N151" s="65"/>
      <c r="U151" s="167">
        <f t="shared" si="48"/>
        <v>2024</v>
      </c>
      <c r="V151" s="98" t="s">
        <v>225</v>
      </c>
      <c r="W151" s="137" t="str">
        <f t="shared" si="49"/>
        <v>-</v>
      </c>
      <c r="X151" s="148" t="str">
        <f t="shared" si="49"/>
        <v>-</v>
      </c>
      <c r="Y151" s="148" t="str">
        <f t="shared" si="49"/>
        <v>-</v>
      </c>
      <c r="Z151" s="148" t="str">
        <f t="shared" si="49"/>
        <v>-</v>
      </c>
      <c r="AA151" s="148" t="str">
        <f t="shared" si="49"/>
        <v>-</v>
      </c>
      <c r="AB151" s="149" t="str">
        <f t="shared" si="49"/>
        <v>-</v>
      </c>
      <c r="AD151" s="137">
        <f t="shared" si="50"/>
        <v>-94.641262690481142</v>
      </c>
      <c r="AE151" s="148">
        <f t="shared" si="50"/>
        <v>-18.939377297674074</v>
      </c>
      <c r="AF151" s="148">
        <f t="shared" si="50"/>
        <v>-87.335574676495412</v>
      </c>
      <c r="AG151" s="148">
        <f t="shared" si="50"/>
        <v>-84.558780483910738</v>
      </c>
      <c r="AH151" s="148">
        <f t="shared" si="50"/>
        <v>-84.772202986062609</v>
      </c>
      <c r="AI151" s="149">
        <f t="shared" si="50"/>
        <v>-75.960081703103199</v>
      </c>
    </row>
    <row r="152" spans="3:35" ht="13.2" hidden="1">
      <c r="J152" s="65"/>
      <c r="K152" s="65"/>
      <c r="L152" s="65"/>
      <c r="M152" s="65"/>
      <c r="N152" s="65"/>
      <c r="U152" s="167">
        <f t="shared" si="48"/>
        <v>2024</v>
      </c>
      <c r="V152" s="98" t="s">
        <v>226</v>
      </c>
      <c r="W152" s="137" t="str">
        <f t="shared" si="49"/>
        <v>-</v>
      </c>
      <c r="X152" s="148" t="str">
        <f t="shared" si="49"/>
        <v>-</v>
      </c>
      <c r="Y152" s="148" t="str">
        <f t="shared" si="49"/>
        <v>-</v>
      </c>
      <c r="Z152" s="148" t="str">
        <f t="shared" si="49"/>
        <v>-</v>
      </c>
      <c r="AA152" s="148" t="str">
        <f t="shared" si="49"/>
        <v>-</v>
      </c>
      <c r="AB152" s="149" t="str">
        <f t="shared" si="49"/>
        <v>-</v>
      </c>
      <c r="AD152" s="137">
        <f t="shared" si="50"/>
        <v>-94.97521279811788</v>
      </c>
      <c r="AE152" s="148">
        <f t="shared" si="50"/>
        <v>-25.984474817043807</v>
      </c>
      <c r="AF152" s="148">
        <f t="shared" si="50"/>
        <v>-88.55698779941082</v>
      </c>
      <c r="AG152" s="148">
        <f t="shared" si="50"/>
        <v>-86.159885898004646</v>
      </c>
      <c r="AH152" s="148">
        <f t="shared" si="50"/>
        <v>-86.962614132322187</v>
      </c>
      <c r="AI152" s="149">
        <f t="shared" si="50"/>
        <v>-78.089345487590762</v>
      </c>
    </row>
    <row r="153" spans="3:35" ht="13.2" hidden="1">
      <c r="J153" s="65"/>
      <c r="K153" s="65"/>
      <c r="L153" s="65"/>
      <c r="M153" s="65"/>
      <c r="N153" s="65"/>
      <c r="U153" s="167">
        <f t="shared" si="48"/>
        <v>2024</v>
      </c>
      <c r="V153" s="98" t="s">
        <v>227</v>
      </c>
      <c r="W153" s="137" t="str">
        <f t="shared" si="49"/>
        <v>-</v>
      </c>
      <c r="X153" s="148" t="str">
        <f t="shared" si="49"/>
        <v>-</v>
      </c>
      <c r="Y153" s="148" t="str">
        <f t="shared" si="49"/>
        <v>-</v>
      </c>
      <c r="Z153" s="148" t="str">
        <f t="shared" si="49"/>
        <v>-</v>
      </c>
      <c r="AA153" s="148" t="str">
        <f t="shared" si="49"/>
        <v>-</v>
      </c>
      <c r="AB153" s="149" t="str">
        <f t="shared" si="49"/>
        <v>-</v>
      </c>
      <c r="AD153" s="137">
        <f t="shared" si="50"/>
        <v>-95.264660967394121</v>
      </c>
      <c r="AE153" s="148">
        <f t="shared" si="50"/>
        <v>-32.627319492076055</v>
      </c>
      <c r="AF153" s="148">
        <f t="shared" si="50"/>
        <v>-89.603750277682622</v>
      </c>
      <c r="AG153" s="148">
        <f t="shared" si="50"/>
        <v>-87.196900497314843</v>
      </c>
      <c r="AH153" s="148">
        <f t="shared" si="50"/>
        <v>-88.291007269045465</v>
      </c>
      <c r="AI153" s="149">
        <f t="shared" si="50"/>
        <v>-79.93022603499378</v>
      </c>
    </row>
    <row r="154" spans="3:35" ht="13.2" hidden="1">
      <c r="J154" s="65"/>
      <c r="K154" s="65"/>
      <c r="L154" s="65"/>
      <c r="M154" s="65"/>
      <c r="N154" s="65"/>
      <c r="U154" s="167">
        <f t="shared" si="48"/>
        <v>2024</v>
      </c>
      <c r="V154" s="98" t="s">
        <v>228</v>
      </c>
      <c r="W154" s="137" t="str">
        <f t="shared" si="49"/>
        <v>-</v>
      </c>
      <c r="X154" s="148" t="str">
        <f t="shared" si="49"/>
        <v>-</v>
      </c>
      <c r="Y154" s="148" t="str">
        <f t="shared" si="49"/>
        <v>-</v>
      </c>
      <c r="Z154" s="148" t="str">
        <f t="shared" si="49"/>
        <v>-</v>
      </c>
      <c r="AA154" s="148" t="str">
        <f t="shared" si="49"/>
        <v>-</v>
      </c>
      <c r="AB154" s="149" t="str">
        <f t="shared" si="49"/>
        <v>-</v>
      </c>
      <c r="AD154" s="137">
        <f t="shared" si="50"/>
        <v>-95.527420166759725</v>
      </c>
      <c r="AE154" s="148">
        <f t="shared" si="50"/>
        <v>-44.134914386425599</v>
      </c>
      <c r="AF154" s="148">
        <f t="shared" si="50"/>
        <v>-90.730680789781971</v>
      </c>
      <c r="AG154" s="148">
        <f t="shared" si="50"/>
        <v>-89.164176874813265</v>
      </c>
      <c r="AH154" s="148">
        <f t="shared" si="50"/>
        <v>-89.31001606978154</v>
      </c>
      <c r="AI154" s="149">
        <f t="shared" si="50"/>
        <v>-82.145465588916409</v>
      </c>
    </row>
    <row r="155" spans="3:35" ht="13.2" hidden="1">
      <c r="C155" s="137"/>
      <c r="J155" s="65"/>
      <c r="K155" s="65"/>
      <c r="L155" s="65"/>
      <c r="M155" s="65"/>
      <c r="N155" s="65"/>
    </row>
    <row r="156" spans="3:35" ht="13.2" hidden="1">
      <c r="J156" s="65"/>
      <c r="K156" s="65"/>
      <c r="L156" s="65"/>
      <c r="M156" s="65"/>
      <c r="N156" s="65"/>
      <c r="W156" s="137"/>
      <c r="X156" s="137"/>
      <c r="Y156" s="137"/>
      <c r="Z156" s="137"/>
      <c r="AA156" s="137"/>
      <c r="AB156"/>
    </row>
    <row r="157" spans="3:35" ht="13.2" hidden="1">
      <c r="J157" s="65"/>
      <c r="K157" s="65"/>
      <c r="L157" s="65"/>
      <c r="M157" s="65"/>
      <c r="N157" s="65"/>
      <c r="W157" s="137"/>
      <c r="X157" s="137"/>
      <c r="Y157" s="137"/>
      <c r="Z157" s="137"/>
      <c r="AA157" s="137"/>
      <c r="AB157"/>
    </row>
    <row r="158" spans="3:35" ht="13.2" hidden="1">
      <c r="J158" s="65"/>
      <c r="K158" s="65"/>
      <c r="L158" s="65"/>
      <c r="M158" s="65"/>
      <c r="N158" s="65"/>
      <c r="W158" s="137"/>
      <c r="X158" s="137"/>
      <c r="Y158" s="137"/>
      <c r="Z158" s="137"/>
      <c r="AA158" s="137"/>
      <c r="AB158"/>
    </row>
    <row r="159" spans="3:35" ht="13.2" hidden="1">
      <c r="J159" s="65"/>
      <c r="K159" s="65"/>
      <c r="L159" s="65"/>
      <c r="M159" s="65"/>
      <c r="N159" s="65"/>
      <c r="W159" s="137"/>
      <c r="X159" s="137"/>
      <c r="Y159" s="137"/>
      <c r="Z159" s="137"/>
      <c r="AA159" s="137"/>
      <c r="AB159"/>
    </row>
    <row r="160" spans="3:35" ht="13.2" hidden="1">
      <c r="J160" s="65"/>
      <c r="K160" s="65"/>
      <c r="L160" s="65"/>
      <c r="M160" s="65"/>
      <c r="N160" s="65"/>
      <c r="W160" s="137"/>
      <c r="X160" s="137"/>
      <c r="Y160" s="137"/>
      <c r="Z160" s="137"/>
      <c r="AA160" s="137"/>
      <c r="AB160"/>
    </row>
    <row r="161" spans="10:28" ht="13.2" hidden="1">
      <c r="J161" s="65"/>
      <c r="K161" s="65"/>
      <c r="L161" s="65"/>
      <c r="M161" s="65"/>
      <c r="N161" s="65"/>
      <c r="W161" s="137"/>
      <c r="X161" s="137"/>
      <c r="Y161" s="137"/>
      <c r="Z161" s="137"/>
      <c r="AA161" s="137"/>
      <c r="AB161"/>
    </row>
    <row r="162" spans="10:28" ht="13.2" hidden="1">
      <c r="J162" s="65"/>
      <c r="K162" s="65"/>
      <c r="L162" s="65"/>
      <c r="M162" s="65"/>
      <c r="N162" s="65"/>
      <c r="W162" s="137"/>
      <c r="X162" s="137"/>
      <c r="Y162" s="137"/>
      <c r="Z162" s="137"/>
      <c r="AA162" s="137"/>
      <c r="AB162"/>
    </row>
    <row r="163" spans="10:28" ht="13.2" hidden="1">
      <c r="J163" s="65"/>
      <c r="K163" s="65"/>
      <c r="L163" s="65"/>
      <c r="M163" s="65"/>
      <c r="N163" s="65"/>
      <c r="W163" s="137"/>
      <c r="X163" s="137"/>
      <c r="Y163" s="137"/>
      <c r="Z163" s="137"/>
      <c r="AA163" s="137"/>
      <c r="AB163"/>
    </row>
    <row r="164" spans="10:28" ht="13.2" hidden="1">
      <c r="J164" s="65"/>
      <c r="K164" s="65"/>
      <c r="L164" s="65"/>
      <c r="M164" s="65"/>
      <c r="N164" s="65"/>
      <c r="W164" s="137"/>
      <c r="X164" s="137"/>
      <c r="Y164" s="137"/>
      <c r="Z164" s="137"/>
      <c r="AA164" s="137"/>
      <c r="AB164"/>
    </row>
    <row r="165" spans="10:28" ht="13.2" hidden="1">
      <c r="J165" s="65"/>
      <c r="K165" s="65"/>
      <c r="L165" s="65"/>
      <c r="M165" s="65"/>
      <c r="N165" s="65"/>
      <c r="W165" s="137"/>
      <c r="X165" s="137"/>
      <c r="Y165" s="137"/>
      <c r="Z165" s="137"/>
      <c r="AA165" s="137"/>
      <c r="AB165"/>
    </row>
    <row r="166" spans="10:28" ht="13.2" hidden="1">
      <c r="J166" s="65"/>
      <c r="K166" s="65"/>
      <c r="L166" s="65"/>
      <c r="M166" s="65"/>
      <c r="N166" s="65"/>
      <c r="W166" s="137"/>
      <c r="X166" s="137"/>
      <c r="Y166" s="137"/>
      <c r="Z166" s="137"/>
      <c r="AA166" s="137"/>
      <c r="AB166"/>
    </row>
    <row r="167" spans="10:28" ht="13.2" hidden="1">
      <c r="J167" s="65"/>
      <c r="K167" s="65"/>
      <c r="L167" s="65"/>
      <c r="M167" s="65"/>
      <c r="N167" s="65"/>
      <c r="W167" s="137"/>
      <c r="X167" s="137"/>
      <c r="Y167" s="137"/>
      <c r="Z167" s="137"/>
      <c r="AA167" s="137"/>
      <c r="AB167"/>
    </row>
    <row r="168" spans="10:28" ht="12.6" hidden="1">
      <c r="J168" s="65"/>
      <c r="K168" s="65"/>
      <c r="L168" s="65"/>
      <c r="M168" s="65"/>
      <c r="N168" s="65"/>
    </row>
    <row r="169" spans="10:28" ht="12.6" hidden="1">
      <c r="J169" s="65"/>
      <c r="K169" s="65"/>
      <c r="L169" s="65"/>
      <c r="M169" s="65"/>
      <c r="N169" s="65"/>
    </row>
    <row r="170" spans="10:28" ht="12.6" hidden="1">
      <c r="J170" s="65"/>
      <c r="K170" s="65"/>
      <c r="L170" s="65"/>
      <c r="M170" s="65"/>
      <c r="N170" s="65"/>
    </row>
    <row r="171" spans="10:28" ht="12.6" hidden="1">
      <c r="J171" s="65"/>
      <c r="K171" s="65"/>
      <c r="L171" s="65"/>
      <c r="M171" s="65"/>
      <c r="N171" s="65"/>
    </row>
    <row r="172" spans="10:28" ht="12.6" hidden="1">
      <c r="J172" s="65"/>
      <c r="K172" s="65"/>
      <c r="L172" s="65"/>
      <c r="M172" s="65"/>
      <c r="N172" s="65"/>
    </row>
    <row r="173" spans="10:28" ht="12.6" hidden="1">
      <c r="J173" s="65"/>
      <c r="K173" s="65"/>
      <c r="L173" s="65"/>
      <c r="M173" s="65"/>
      <c r="N173" s="65"/>
    </row>
    <row r="174" spans="10:28" ht="12.6" hidden="1">
      <c r="J174" s="65"/>
      <c r="K174" s="65"/>
      <c r="L174" s="65"/>
      <c r="M174" s="65"/>
      <c r="N174" s="65"/>
    </row>
    <row r="175" spans="10:28" ht="12.6" hidden="1">
      <c r="J175" s="65"/>
      <c r="K175" s="65"/>
      <c r="L175" s="65"/>
      <c r="M175" s="65"/>
      <c r="N175" s="65"/>
    </row>
    <row r="176" spans="10:28" ht="12.6" hidden="1">
      <c r="J176" s="65"/>
      <c r="K176" s="65"/>
      <c r="L176" s="65"/>
      <c r="M176" s="65"/>
      <c r="N176" s="65"/>
    </row>
    <row r="177" spans="10:14" ht="12.6" hidden="1">
      <c r="J177" s="65"/>
      <c r="K177" s="65"/>
      <c r="L177" s="65"/>
      <c r="M177" s="65"/>
      <c r="N177" s="65"/>
    </row>
    <row r="178" spans="10:14" ht="12.6" hidden="1">
      <c r="J178" s="65"/>
      <c r="K178" s="65"/>
      <c r="L178" s="65"/>
      <c r="M178" s="65"/>
      <c r="N178" s="65"/>
    </row>
    <row r="179" spans="10:14" ht="12.6" hidden="1">
      <c r="J179" s="65"/>
      <c r="K179" s="65"/>
      <c r="L179" s="65"/>
      <c r="M179" s="65"/>
      <c r="N179" s="65"/>
    </row>
    <row r="180" spans="10:14" ht="12.6" hidden="1">
      <c r="J180" s="65"/>
      <c r="K180" s="65"/>
      <c r="L180" s="65"/>
      <c r="M180" s="65"/>
      <c r="N180" s="65"/>
    </row>
    <row r="181" spans="10:14" ht="12.6" hidden="1">
      <c r="J181" s="65"/>
      <c r="K181" s="65"/>
      <c r="L181" s="65"/>
      <c r="M181" s="65"/>
      <c r="N181" s="65"/>
    </row>
    <row r="182" spans="10:14" ht="12.6" hidden="1">
      <c r="J182" s="65"/>
      <c r="K182" s="65"/>
      <c r="L182" s="65"/>
      <c r="M182" s="65"/>
      <c r="N182" s="65"/>
    </row>
    <row r="183" spans="10:14" ht="12.6" hidden="1">
      <c r="J183" s="65"/>
      <c r="K183" s="65"/>
      <c r="L183" s="65"/>
      <c r="M183" s="65"/>
      <c r="N183" s="65"/>
    </row>
    <row r="184" spans="10:14" ht="12.6" hidden="1">
      <c r="J184" s="65"/>
      <c r="K184" s="65"/>
      <c r="L184" s="65"/>
      <c r="M184" s="65"/>
      <c r="N184" s="65"/>
    </row>
    <row r="185" spans="10:14" ht="12.6" hidden="1">
      <c r="J185" s="65"/>
      <c r="K185" s="65"/>
      <c r="L185" s="65"/>
      <c r="M185" s="65"/>
      <c r="N185" s="65"/>
    </row>
    <row r="186" spans="10:14" ht="12.6" hidden="1">
      <c r="J186" s="65"/>
      <c r="K186" s="65"/>
      <c r="L186" s="65"/>
      <c r="M186" s="65"/>
      <c r="N186" s="65"/>
    </row>
    <row r="187" spans="10:14" ht="12.6" hidden="1">
      <c r="J187" s="65"/>
      <c r="K187" s="65"/>
      <c r="L187" s="65"/>
      <c r="M187" s="65"/>
      <c r="N187" s="65"/>
    </row>
    <row r="188" spans="10:14" ht="12.6" hidden="1">
      <c r="J188" s="65"/>
      <c r="K188" s="65"/>
      <c r="L188" s="65"/>
      <c r="M188" s="65"/>
      <c r="N188" s="65"/>
    </row>
    <row r="189" spans="10:14" ht="12.6" hidden="1">
      <c r="J189" s="65"/>
      <c r="K189" s="65"/>
      <c r="L189" s="65"/>
      <c r="M189" s="65"/>
      <c r="N189" s="65"/>
    </row>
    <row r="190" spans="10:14" ht="12.6" hidden="1">
      <c r="J190" s="65"/>
      <c r="K190" s="65"/>
      <c r="L190" s="65"/>
      <c r="M190" s="65"/>
      <c r="N190" s="65"/>
    </row>
    <row r="191" spans="10:14" ht="12.6" hidden="1">
      <c r="J191" s="65"/>
      <c r="K191" s="65"/>
      <c r="L191" s="65"/>
      <c r="M191" s="65"/>
      <c r="N191" s="65"/>
    </row>
    <row r="192" spans="10:14" ht="12.6" hidden="1">
      <c r="J192" s="65"/>
      <c r="K192" s="65"/>
      <c r="L192" s="65"/>
      <c r="M192" s="65"/>
      <c r="N192" s="65"/>
    </row>
    <row r="193" spans="10:14" ht="12.6" hidden="1">
      <c r="J193" s="65"/>
      <c r="K193" s="65"/>
      <c r="L193" s="65"/>
      <c r="M193" s="65"/>
      <c r="N193" s="65"/>
    </row>
    <row r="194" spans="10:14" ht="12.6" hidden="1">
      <c r="J194" s="65"/>
      <c r="K194" s="65"/>
      <c r="L194" s="65"/>
      <c r="M194" s="65"/>
      <c r="N194" s="65"/>
    </row>
    <row r="195" spans="10:14" ht="12.6" hidden="1">
      <c r="J195" s="65"/>
      <c r="K195" s="65"/>
      <c r="L195" s="65"/>
      <c r="M195" s="65"/>
      <c r="N195" s="65"/>
    </row>
    <row r="196" spans="10:14" ht="12.6" hidden="1">
      <c r="J196" s="65"/>
      <c r="K196" s="65"/>
      <c r="L196" s="65"/>
      <c r="M196" s="65"/>
      <c r="N196" s="65"/>
    </row>
    <row r="197" spans="10:14" ht="12.6" hidden="1">
      <c r="J197" s="65"/>
      <c r="K197" s="65"/>
      <c r="L197" s="65"/>
      <c r="M197" s="65"/>
      <c r="N197" s="65"/>
    </row>
    <row r="198" spans="10:14" ht="12.6" hidden="1">
      <c r="J198" s="65"/>
      <c r="K198" s="65"/>
      <c r="L198" s="65"/>
      <c r="M198" s="65"/>
      <c r="N198" s="65"/>
    </row>
    <row r="199" spans="10:14" ht="12.6" hidden="1">
      <c r="J199" s="65"/>
      <c r="K199" s="65"/>
      <c r="L199" s="65"/>
      <c r="M199" s="65"/>
      <c r="N199" s="65"/>
    </row>
    <row r="200" spans="10:14" ht="12.6" hidden="1">
      <c r="J200" s="65"/>
      <c r="K200" s="65"/>
      <c r="L200" s="65"/>
      <c r="M200" s="65"/>
      <c r="N200" s="65"/>
    </row>
    <row r="201" spans="10:14" ht="12.6" hidden="1">
      <c r="J201" s="65"/>
      <c r="K201" s="65"/>
      <c r="L201" s="65"/>
      <c r="M201" s="65"/>
      <c r="N201" s="65"/>
    </row>
    <row r="202" spans="10:14" ht="12.6" hidden="1">
      <c r="J202" s="65"/>
      <c r="K202" s="65"/>
      <c r="L202" s="65"/>
      <c r="M202" s="65"/>
      <c r="N202" s="65"/>
    </row>
    <row r="203" spans="10:14" ht="12.6" hidden="1">
      <c r="J203" s="65"/>
      <c r="K203" s="65"/>
      <c r="L203" s="65"/>
      <c r="M203" s="65"/>
      <c r="N203" s="65"/>
    </row>
    <row r="204" spans="10:14" ht="12.6" hidden="1">
      <c r="J204" s="65"/>
      <c r="K204" s="65"/>
      <c r="L204" s="65"/>
      <c r="M204" s="65"/>
      <c r="N204" s="65"/>
    </row>
    <row r="205" spans="10:14" ht="12.6" hidden="1">
      <c r="J205" s="65"/>
      <c r="K205" s="65"/>
      <c r="L205" s="65"/>
      <c r="M205" s="65"/>
      <c r="N205" s="65"/>
    </row>
    <row r="206" spans="10:14" ht="12.6" hidden="1">
      <c r="J206" s="65"/>
      <c r="K206" s="65"/>
      <c r="L206" s="65"/>
      <c r="M206" s="65"/>
      <c r="N206" s="65"/>
    </row>
    <row r="207" spans="10:14" ht="12.6" hidden="1">
      <c r="J207" s="65"/>
      <c r="K207" s="65"/>
      <c r="L207" s="65"/>
      <c r="M207" s="65"/>
      <c r="N207" s="65"/>
    </row>
    <row r="208" spans="10:14" ht="12.6" hidden="1">
      <c r="J208" s="65"/>
      <c r="K208" s="65"/>
      <c r="L208" s="65"/>
      <c r="M208" s="65"/>
      <c r="N208" s="65"/>
    </row>
    <row r="209" spans="10:14" ht="12.6" hidden="1">
      <c r="J209" s="65"/>
      <c r="K209" s="65"/>
      <c r="L209" s="65"/>
      <c r="M209" s="65"/>
      <c r="N209" s="65"/>
    </row>
    <row r="210" spans="10:14" ht="12.6" hidden="1">
      <c r="J210" s="65"/>
      <c r="K210" s="65"/>
      <c r="L210" s="65"/>
      <c r="M210" s="65"/>
      <c r="N210" s="65"/>
    </row>
    <row r="211" spans="10:14" ht="12.6" hidden="1">
      <c r="J211" s="65"/>
      <c r="K211" s="65"/>
      <c r="L211" s="65"/>
      <c r="M211" s="65"/>
      <c r="N211" s="65"/>
    </row>
    <row r="212" spans="10:14" ht="12.6" hidden="1">
      <c r="J212" s="65"/>
      <c r="K212" s="65"/>
      <c r="L212" s="65"/>
      <c r="M212" s="65"/>
      <c r="N212" s="65"/>
    </row>
    <row r="213" spans="10:14" ht="12.6" hidden="1">
      <c r="J213" s="65"/>
      <c r="K213" s="65"/>
      <c r="L213" s="65"/>
      <c r="M213" s="65"/>
      <c r="N213" s="65"/>
    </row>
    <row r="214" spans="10:14" ht="12.6" hidden="1">
      <c r="J214" s="65"/>
      <c r="K214" s="65"/>
      <c r="L214" s="65"/>
      <c r="M214" s="65"/>
      <c r="N214" s="65"/>
    </row>
    <row r="215" spans="10:14" ht="12.6" hidden="1">
      <c r="J215" s="65"/>
      <c r="K215" s="65"/>
      <c r="L215" s="65"/>
      <c r="M215" s="65"/>
      <c r="N215" s="65"/>
    </row>
    <row r="216" spans="10:14" ht="12.6" hidden="1">
      <c r="J216" s="65"/>
      <c r="K216" s="65"/>
      <c r="L216" s="65"/>
      <c r="M216" s="65"/>
      <c r="N216" s="65"/>
    </row>
    <row r="217" spans="10:14" ht="12.6" hidden="1">
      <c r="J217" s="65"/>
      <c r="K217" s="65"/>
      <c r="L217" s="65"/>
      <c r="M217" s="65"/>
      <c r="N217" s="65"/>
    </row>
    <row r="218" spans="10:14" ht="12.6" hidden="1">
      <c r="J218" s="65"/>
      <c r="K218" s="65"/>
      <c r="L218" s="65"/>
      <c r="M218" s="65"/>
      <c r="N218" s="65"/>
    </row>
    <row r="219" spans="10:14" ht="12.6" hidden="1">
      <c r="J219" s="65"/>
      <c r="K219" s="65"/>
      <c r="L219" s="65"/>
      <c r="M219" s="65"/>
      <c r="N219" s="65"/>
    </row>
    <row r="220" spans="10:14" ht="12.6" hidden="1">
      <c r="J220" s="65"/>
      <c r="K220" s="65"/>
      <c r="L220" s="65"/>
      <c r="M220" s="65"/>
      <c r="N220" s="65"/>
    </row>
    <row r="221" spans="10:14" ht="12.6" hidden="1">
      <c r="J221" s="65"/>
      <c r="K221" s="65"/>
      <c r="L221" s="65"/>
      <c r="M221" s="65"/>
      <c r="N221" s="65"/>
    </row>
    <row r="222" spans="10:14" ht="12.6" hidden="1">
      <c r="J222" s="65"/>
      <c r="K222" s="65"/>
      <c r="L222" s="65"/>
      <c r="M222" s="65"/>
      <c r="N222" s="65"/>
    </row>
    <row r="223" spans="10:14" ht="12.6" hidden="1">
      <c r="J223" s="65"/>
      <c r="K223" s="65"/>
      <c r="L223" s="65"/>
      <c r="M223" s="65"/>
      <c r="N223" s="65"/>
    </row>
    <row r="224" spans="10:14" ht="12.6" hidden="1">
      <c r="J224" s="65"/>
      <c r="K224" s="65"/>
      <c r="L224" s="65"/>
      <c r="M224" s="65"/>
      <c r="N224" s="65"/>
    </row>
    <row r="225" spans="10:14" ht="12.6" hidden="1">
      <c r="J225" s="65"/>
      <c r="K225" s="65"/>
      <c r="L225" s="65"/>
      <c r="M225" s="65"/>
      <c r="N225" s="65"/>
    </row>
    <row r="226" spans="10:14" ht="12.6" hidden="1">
      <c r="J226" s="65"/>
      <c r="K226" s="65"/>
      <c r="L226" s="65"/>
      <c r="M226" s="65"/>
      <c r="N226" s="65"/>
    </row>
    <row r="227" spans="10:14" ht="12.6" hidden="1">
      <c r="J227" s="65"/>
      <c r="K227" s="65"/>
      <c r="L227" s="65"/>
      <c r="M227" s="65"/>
      <c r="N227" s="65"/>
    </row>
    <row r="228" spans="10:14" ht="12.6" hidden="1">
      <c r="J228" s="65"/>
      <c r="K228" s="65"/>
      <c r="L228" s="65"/>
      <c r="M228" s="65"/>
      <c r="N228" s="65"/>
    </row>
    <row r="229" spans="10:14" ht="12.6" hidden="1">
      <c r="J229" s="65"/>
      <c r="K229" s="65"/>
      <c r="L229" s="65"/>
      <c r="M229" s="65"/>
      <c r="N229" s="65"/>
    </row>
    <row r="230" spans="10:14" ht="12.6" hidden="1">
      <c r="J230" s="65"/>
      <c r="K230" s="65"/>
      <c r="L230" s="65"/>
      <c r="M230" s="65"/>
      <c r="N230" s="65"/>
    </row>
    <row r="231" spans="10:14" ht="12.6" hidden="1">
      <c r="J231" s="65"/>
      <c r="K231" s="65"/>
      <c r="L231" s="65"/>
      <c r="M231" s="65"/>
      <c r="N231" s="65"/>
    </row>
    <row r="232" spans="10:14" ht="12.6" hidden="1">
      <c r="J232" s="65"/>
      <c r="K232" s="65"/>
      <c r="L232" s="65"/>
      <c r="M232" s="65"/>
      <c r="N232" s="65"/>
    </row>
    <row r="233" spans="10:14" ht="12.6" hidden="1">
      <c r="J233" s="65"/>
      <c r="K233" s="65"/>
      <c r="L233" s="65"/>
      <c r="M233" s="65"/>
      <c r="N233" s="65"/>
    </row>
    <row r="234" spans="10:14" ht="12.6" hidden="1">
      <c r="J234" s="65"/>
      <c r="K234" s="65"/>
      <c r="L234" s="65"/>
      <c r="M234" s="65"/>
      <c r="N234" s="65"/>
    </row>
    <row r="235" spans="10:14" ht="12.6" hidden="1">
      <c r="J235" s="65"/>
      <c r="K235" s="65"/>
      <c r="L235" s="65"/>
      <c r="M235" s="65"/>
      <c r="N235" s="65"/>
    </row>
    <row r="236" spans="10:14" ht="12.6" hidden="1">
      <c r="J236" s="65"/>
      <c r="K236" s="65"/>
      <c r="L236" s="65"/>
      <c r="M236" s="65"/>
      <c r="N236" s="65"/>
    </row>
    <row r="237" spans="10:14" ht="12.6" hidden="1">
      <c r="J237" s="65"/>
      <c r="K237" s="65"/>
      <c r="L237" s="65"/>
      <c r="M237" s="65"/>
      <c r="N237" s="65"/>
    </row>
    <row r="238" spans="10:14" ht="12.6" hidden="1">
      <c r="J238" s="65"/>
      <c r="K238" s="65"/>
      <c r="L238" s="65"/>
      <c r="M238" s="65"/>
      <c r="N238" s="65"/>
    </row>
    <row r="239" spans="10:14" ht="12.6" hidden="1">
      <c r="J239" s="65"/>
      <c r="K239" s="65"/>
      <c r="L239" s="65"/>
      <c r="M239" s="65"/>
      <c r="N239" s="65"/>
    </row>
    <row r="240" spans="10:14" ht="12.6" hidden="1">
      <c r="J240" s="65"/>
      <c r="K240" s="65"/>
      <c r="L240" s="65"/>
      <c r="M240" s="65"/>
      <c r="N240" s="65"/>
    </row>
    <row r="241" spans="10:14" ht="12.6" hidden="1">
      <c r="J241" s="65"/>
      <c r="K241" s="65"/>
      <c r="L241" s="65"/>
      <c r="M241" s="65"/>
      <c r="N241" s="65"/>
    </row>
    <row r="242" spans="10:14" ht="12.6" hidden="1">
      <c r="J242" s="65"/>
      <c r="K242" s="65"/>
      <c r="L242" s="65"/>
      <c r="M242" s="65"/>
      <c r="N242" s="65"/>
    </row>
    <row r="243" spans="10:14" ht="12.6" hidden="1">
      <c r="J243" s="65"/>
      <c r="K243" s="65"/>
      <c r="L243" s="65"/>
      <c r="M243" s="65"/>
      <c r="N243" s="65"/>
    </row>
    <row r="244" spans="10:14" ht="12.6" hidden="1">
      <c r="J244" s="65"/>
      <c r="K244" s="65"/>
      <c r="L244" s="65"/>
      <c r="M244" s="65"/>
      <c r="N244" s="65"/>
    </row>
    <row r="245" spans="10:14" ht="12.6" hidden="1">
      <c r="J245" s="65"/>
      <c r="K245" s="65"/>
      <c r="L245" s="65"/>
      <c r="M245" s="65"/>
      <c r="N245" s="65"/>
    </row>
    <row r="246" spans="10:14" ht="12.6" hidden="1">
      <c r="J246" s="65"/>
      <c r="K246" s="65"/>
      <c r="L246" s="65"/>
      <c r="M246" s="65"/>
      <c r="N246" s="65"/>
    </row>
    <row r="247" spans="10:14" ht="12.6" hidden="1">
      <c r="J247" s="65"/>
      <c r="K247" s="65"/>
      <c r="L247" s="65"/>
      <c r="M247" s="65"/>
      <c r="N247" s="65"/>
    </row>
    <row r="248" spans="10:14" ht="12.6" hidden="1">
      <c r="J248" s="65"/>
      <c r="K248" s="65"/>
      <c r="L248" s="65"/>
      <c r="M248" s="65"/>
      <c r="N248" s="65"/>
    </row>
    <row r="249" spans="10:14" ht="12.6" hidden="1">
      <c r="J249" s="65"/>
      <c r="K249" s="65"/>
      <c r="L249" s="65"/>
      <c r="M249" s="65"/>
      <c r="N249" s="65"/>
    </row>
    <row r="250" spans="10:14" ht="12.6" hidden="1">
      <c r="J250" s="65"/>
      <c r="K250" s="65"/>
      <c r="L250" s="65"/>
      <c r="M250" s="65"/>
      <c r="N250" s="65"/>
    </row>
    <row r="251" spans="10:14" ht="12.6" hidden="1">
      <c r="J251" s="65"/>
      <c r="K251" s="65"/>
      <c r="L251" s="65"/>
      <c r="M251" s="65"/>
      <c r="N251" s="65"/>
    </row>
    <row r="252" spans="10:14" ht="12.6" hidden="1">
      <c r="J252" s="65"/>
      <c r="K252" s="65"/>
      <c r="L252" s="65"/>
      <c r="M252" s="65"/>
      <c r="N252" s="65"/>
    </row>
    <row r="253" spans="10:14" ht="12.6" hidden="1">
      <c r="J253" s="65"/>
      <c r="K253" s="65"/>
      <c r="L253" s="65"/>
      <c r="M253" s="65"/>
      <c r="N253" s="65"/>
    </row>
    <row r="254" spans="10:14" ht="12.6" hidden="1">
      <c r="J254" s="65"/>
      <c r="K254" s="65"/>
      <c r="L254" s="65"/>
      <c r="M254" s="65"/>
      <c r="N254" s="65"/>
    </row>
    <row r="255" spans="10:14" ht="12.6" hidden="1">
      <c r="J255" s="65"/>
      <c r="K255" s="65"/>
      <c r="L255" s="65"/>
      <c r="M255" s="65"/>
      <c r="N255" s="65"/>
    </row>
    <row r="256" spans="10:14" ht="12.6" hidden="1">
      <c r="J256" s="65"/>
      <c r="K256" s="65"/>
      <c r="L256" s="65"/>
      <c r="M256" s="65"/>
      <c r="N256" s="65"/>
    </row>
    <row r="257" spans="10:14" ht="12.6" hidden="1">
      <c r="J257" s="65"/>
      <c r="K257" s="65"/>
      <c r="L257" s="65"/>
      <c r="M257" s="65"/>
      <c r="N257" s="65"/>
    </row>
    <row r="258" spans="10:14" ht="12.6" hidden="1">
      <c r="J258" s="65"/>
      <c r="K258" s="65"/>
      <c r="L258" s="65"/>
      <c r="M258" s="65"/>
      <c r="N258" s="65"/>
    </row>
    <row r="259" spans="10:14" ht="12.6" hidden="1">
      <c r="J259" s="65"/>
      <c r="K259" s="65"/>
      <c r="L259" s="65"/>
      <c r="M259" s="65"/>
      <c r="N259" s="65"/>
    </row>
    <row r="260" spans="10:14" ht="12.6" hidden="1">
      <c r="J260" s="65"/>
      <c r="K260" s="65"/>
      <c r="L260" s="65"/>
      <c r="M260" s="65"/>
      <c r="N260" s="65"/>
    </row>
    <row r="261" spans="10:14" ht="12.6" hidden="1">
      <c r="J261" s="65"/>
      <c r="K261" s="65"/>
      <c r="L261" s="65"/>
      <c r="M261" s="65"/>
      <c r="N261" s="65"/>
    </row>
    <row r="262" spans="10:14" ht="12.6" hidden="1">
      <c r="J262" s="65"/>
      <c r="K262" s="65"/>
      <c r="L262" s="65"/>
      <c r="M262" s="65"/>
      <c r="N262" s="65"/>
    </row>
    <row r="263" spans="10:14" ht="12.6" hidden="1">
      <c r="J263" s="65"/>
      <c r="K263" s="65"/>
      <c r="L263" s="65"/>
      <c r="M263" s="65"/>
      <c r="N263" s="65"/>
    </row>
    <row r="264" spans="10:14" ht="12.6" hidden="1">
      <c r="J264" s="65"/>
      <c r="K264" s="65"/>
      <c r="L264" s="65"/>
      <c r="M264" s="65"/>
      <c r="N264" s="65"/>
    </row>
    <row r="265" spans="10:14" ht="12.6" hidden="1">
      <c r="J265" s="65"/>
      <c r="K265" s="65"/>
      <c r="L265" s="65"/>
      <c r="M265" s="65"/>
      <c r="N265" s="65"/>
    </row>
    <row r="266" spans="10:14" ht="12.6" hidden="1">
      <c r="J266" s="65"/>
      <c r="K266" s="65"/>
      <c r="L266" s="65"/>
      <c r="M266" s="65"/>
      <c r="N266" s="65"/>
    </row>
    <row r="267" spans="10:14" ht="12.6" hidden="1">
      <c r="J267" s="65"/>
      <c r="K267" s="65"/>
      <c r="L267" s="65"/>
      <c r="M267" s="65"/>
      <c r="N267" s="65"/>
    </row>
    <row r="268" spans="10:14" ht="12.6" hidden="1">
      <c r="J268" s="65"/>
      <c r="K268" s="65"/>
      <c r="L268" s="65"/>
      <c r="M268" s="65"/>
      <c r="N268" s="65"/>
    </row>
    <row r="269" spans="10:14" ht="12.6" hidden="1">
      <c r="J269" s="65"/>
      <c r="K269" s="65"/>
      <c r="L269" s="65"/>
      <c r="M269" s="65"/>
      <c r="N269" s="65"/>
    </row>
    <row r="270" spans="10:14" ht="12.6" hidden="1">
      <c r="J270" s="65"/>
      <c r="K270" s="65"/>
      <c r="L270" s="65"/>
      <c r="M270" s="65"/>
      <c r="N270" s="65"/>
    </row>
    <row r="271" spans="10:14" ht="12.6" hidden="1">
      <c r="J271" s="65"/>
      <c r="K271" s="65"/>
      <c r="L271" s="65"/>
      <c r="M271" s="65"/>
      <c r="N271" s="65"/>
    </row>
    <row r="272" spans="10:14" ht="12.6" hidden="1">
      <c r="J272" s="65"/>
      <c r="K272" s="65"/>
      <c r="L272" s="65"/>
      <c r="M272" s="65"/>
      <c r="N272" s="65"/>
    </row>
    <row r="273" spans="10:14" ht="12.6" hidden="1">
      <c r="J273" s="65"/>
      <c r="K273" s="65"/>
      <c r="L273" s="65"/>
      <c r="M273" s="65"/>
      <c r="N273" s="65"/>
    </row>
    <row r="274" spans="10:14" ht="12.6" hidden="1">
      <c r="J274" s="65"/>
      <c r="K274" s="65"/>
      <c r="L274" s="65"/>
      <c r="M274" s="65"/>
      <c r="N274" s="65"/>
    </row>
    <row r="275" spans="10:14" ht="12.6" hidden="1">
      <c r="J275" s="65"/>
      <c r="K275" s="65"/>
      <c r="L275" s="65"/>
      <c r="M275" s="65"/>
      <c r="N275" s="65"/>
    </row>
    <row r="276" spans="10:14" ht="12.6" hidden="1">
      <c r="J276" s="65"/>
      <c r="K276" s="65"/>
      <c r="L276" s="65"/>
      <c r="M276" s="65"/>
      <c r="N276" s="65"/>
    </row>
    <row r="277" spans="10:14" ht="12.6" hidden="1">
      <c r="J277" s="65"/>
      <c r="K277" s="65"/>
      <c r="L277" s="65"/>
      <c r="M277" s="65"/>
      <c r="N277" s="65"/>
    </row>
    <row r="278" spans="10:14" ht="12.6" hidden="1">
      <c r="J278" s="65"/>
      <c r="K278" s="65"/>
      <c r="L278" s="65"/>
      <c r="M278" s="65"/>
      <c r="N278" s="65"/>
    </row>
    <row r="279" spans="10:14" ht="12.6" hidden="1">
      <c r="J279" s="65"/>
      <c r="K279" s="65"/>
      <c r="L279" s="65"/>
      <c r="M279" s="65"/>
      <c r="N279" s="65"/>
    </row>
    <row r="280" spans="10:14" ht="12.6" hidden="1">
      <c r="J280" s="65"/>
      <c r="K280" s="65"/>
      <c r="L280" s="65"/>
      <c r="M280" s="65"/>
      <c r="N280" s="65"/>
    </row>
    <row r="281" spans="10:14" ht="12.6" hidden="1">
      <c r="J281" s="65"/>
      <c r="K281" s="65"/>
      <c r="L281" s="65"/>
      <c r="M281" s="65"/>
      <c r="N281" s="65"/>
    </row>
    <row r="282" spans="10:14" ht="12.6" hidden="1">
      <c r="J282" s="65"/>
      <c r="K282" s="65"/>
      <c r="L282" s="65"/>
      <c r="M282" s="65"/>
      <c r="N282" s="65"/>
    </row>
    <row r="283" spans="10:14" ht="12.6" hidden="1">
      <c r="J283" s="65"/>
      <c r="K283" s="65"/>
      <c r="L283" s="65"/>
      <c r="M283" s="65"/>
      <c r="N283" s="65"/>
    </row>
    <row r="284" spans="10:14" ht="12.6" hidden="1">
      <c r="J284" s="65"/>
      <c r="K284" s="65"/>
      <c r="L284" s="65"/>
      <c r="M284" s="65"/>
      <c r="N284" s="65"/>
    </row>
    <row r="285" spans="10:14" ht="12.6" hidden="1">
      <c r="J285" s="65"/>
      <c r="K285" s="65"/>
      <c r="L285" s="65"/>
      <c r="M285" s="65"/>
      <c r="N285" s="65"/>
    </row>
    <row r="286" spans="10:14" ht="12.6" hidden="1">
      <c r="J286" s="65"/>
      <c r="K286" s="65"/>
      <c r="L286" s="65"/>
      <c r="M286" s="65"/>
      <c r="N286" s="65"/>
    </row>
    <row r="287" spans="10:14" ht="12.6" hidden="1">
      <c r="J287" s="65"/>
      <c r="K287" s="65"/>
      <c r="L287" s="65"/>
      <c r="M287" s="65"/>
      <c r="N287" s="65"/>
    </row>
    <row r="288" spans="10:14" ht="12.6" hidden="1">
      <c r="J288" s="65"/>
      <c r="K288" s="65"/>
      <c r="L288" s="65"/>
      <c r="M288" s="65"/>
      <c r="N288" s="65"/>
    </row>
    <row r="289" spans="10:14" ht="12.6" hidden="1">
      <c r="J289" s="65"/>
      <c r="K289" s="65"/>
      <c r="L289" s="65"/>
      <c r="M289" s="65"/>
      <c r="N289" s="65"/>
    </row>
    <row r="290" spans="10:14" ht="12.6" hidden="1">
      <c r="J290" s="65"/>
      <c r="K290" s="65"/>
      <c r="L290" s="65"/>
      <c r="M290" s="65"/>
      <c r="N290" s="65"/>
    </row>
    <row r="291" spans="10:14" ht="12.6" hidden="1">
      <c r="J291" s="65"/>
      <c r="K291" s="65"/>
      <c r="L291" s="65"/>
      <c r="M291" s="65"/>
      <c r="N291" s="65"/>
    </row>
    <row r="292" spans="10:14" ht="12.6" hidden="1">
      <c r="J292" s="65"/>
      <c r="K292" s="65"/>
      <c r="L292" s="65"/>
      <c r="M292" s="65"/>
      <c r="N292" s="65"/>
    </row>
    <row r="293" spans="10:14" ht="12.6" hidden="1">
      <c r="J293" s="65"/>
      <c r="K293" s="65"/>
      <c r="L293" s="65"/>
      <c r="M293" s="65"/>
      <c r="N293" s="65"/>
    </row>
    <row r="294" spans="10:14" ht="12.6" hidden="1">
      <c r="J294" s="65"/>
      <c r="K294" s="65"/>
      <c r="L294" s="65"/>
      <c r="M294" s="65"/>
      <c r="N294" s="65"/>
    </row>
    <row r="295" spans="10:14" ht="12.6" hidden="1">
      <c r="J295" s="65"/>
      <c r="K295" s="65"/>
      <c r="L295" s="65"/>
      <c r="M295" s="65"/>
      <c r="N295" s="65"/>
    </row>
    <row r="296" spans="10:14" ht="12.6" hidden="1">
      <c r="J296" s="65"/>
      <c r="K296" s="65"/>
      <c r="L296" s="65"/>
      <c r="M296" s="65"/>
      <c r="N296" s="65"/>
    </row>
    <row r="297" spans="10:14" ht="12.6" hidden="1">
      <c r="J297" s="65"/>
      <c r="K297" s="65"/>
      <c r="L297" s="65"/>
      <c r="M297" s="65"/>
      <c r="N297" s="65"/>
    </row>
    <row r="298" spans="10:14" ht="12.6" hidden="1">
      <c r="J298" s="65"/>
      <c r="K298" s="65"/>
      <c r="L298" s="65"/>
      <c r="M298" s="65"/>
      <c r="N298" s="65"/>
    </row>
    <row r="299" spans="10:14" ht="12.6" hidden="1">
      <c r="J299" s="65"/>
      <c r="K299" s="65"/>
      <c r="L299" s="65"/>
      <c r="M299" s="65"/>
      <c r="N299" s="65"/>
    </row>
    <row r="300" spans="10:14" ht="12.6" hidden="1">
      <c r="J300" s="65"/>
      <c r="K300" s="65"/>
      <c r="L300" s="65"/>
      <c r="M300" s="65"/>
      <c r="N300" s="65"/>
    </row>
    <row r="301" spans="10:14" ht="12.6" hidden="1">
      <c r="J301" s="65"/>
      <c r="K301" s="65"/>
      <c r="L301" s="65"/>
      <c r="M301" s="65"/>
      <c r="N301" s="65"/>
    </row>
    <row r="302" spans="10:14" ht="12.6" hidden="1">
      <c r="J302" s="65"/>
      <c r="K302" s="65"/>
      <c r="L302" s="65"/>
      <c r="M302" s="65"/>
      <c r="N302" s="65"/>
    </row>
    <row r="303" spans="10:14" ht="12.6" hidden="1">
      <c r="J303" s="65"/>
      <c r="K303" s="65"/>
      <c r="L303" s="65"/>
      <c r="M303" s="65"/>
      <c r="N303" s="65"/>
    </row>
    <row r="304" spans="10:14" ht="12.6" hidden="1">
      <c r="J304" s="65"/>
      <c r="K304" s="65"/>
      <c r="L304" s="65"/>
      <c r="M304" s="65"/>
      <c r="N304" s="65"/>
    </row>
    <row r="305" spans="10:14" ht="12.6" hidden="1">
      <c r="J305" s="65"/>
      <c r="K305" s="65"/>
      <c r="L305" s="65"/>
      <c r="M305" s="65"/>
      <c r="N305" s="65"/>
    </row>
    <row r="306" spans="10:14" ht="12.6" hidden="1">
      <c r="J306" s="65"/>
      <c r="K306" s="65"/>
      <c r="L306" s="65"/>
      <c r="M306" s="65"/>
      <c r="N306" s="65"/>
    </row>
    <row r="307" spans="10:14" ht="12.6" hidden="1">
      <c r="J307" s="65"/>
      <c r="K307" s="65"/>
      <c r="L307" s="65"/>
      <c r="M307" s="65"/>
      <c r="N307" s="65"/>
    </row>
    <row r="308" spans="10:14" ht="12.6" hidden="1">
      <c r="J308" s="65"/>
      <c r="K308" s="65"/>
      <c r="L308" s="65"/>
      <c r="M308" s="65"/>
      <c r="N308" s="65"/>
    </row>
    <row r="309" spans="10:14" ht="12.6" hidden="1">
      <c r="J309" s="65"/>
      <c r="K309" s="65"/>
      <c r="L309" s="65"/>
      <c r="M309" s="65"/>
      <c r="N309" s="65"/>
    </row>
    <row r="310" spans="10:14" ht="12.6" hidden="1">
      <c r="J310" s="65"/>
      <c r="K310" s="65"/>
      <c r="L310" s="65"/>
      <c r="M310" s="65"/>
      <c r="N310" s="65"/>
    </row>
    <row r="311" spans="10:14" ht="12.6" hidden="1">
      <c r="J311" s="65"/>
      <c r="K311" s="65"/>
      <c r="L311" s="65"/>
      <c r="M311" s="65"/>
      <c r="N311" s="65"/>
    </row>
    <row r="312" spans="10:14" ht="12.6" hidden="1">
      <c r="J312" s="65"/>
      <c r="K312" s="65"/>
      <c r="L312" s="65"/>
      <c r="M312" s="65"/>
      <c r="N312" s="65"/>
    </row>
    <row r="313" spans="10:14" ht="12.6" hidden="1">
      <c r="J313" s="65"/>
      <c r="K313" s="65"/>
      <c r="L313" s="65"/>
      <c r="M313" s="65"/>
      <c r="N313" s="65"/>
    </row>
    <row r="314" spans="10:14" ht="12.6" hidden="1">
      <c r="J314" s="65"/>
      <c r="K314" s="65"/>
      <c r="L314" s="65"/>
      <c r="M314" s="65"/>
      <c r="N314" s="65"/>
    </row>
    <row r="315" spans="10:14" ht="12.6" hidden="1">
      <c r="J315" s="65"/>
      <c r="K315" s="65"/>
      <c r="L315" s="65"/>
      <c r="M315" s="65"/>
      <c r="N315" s="65"/>
    </row>
    <row r="316" spans="10:14" ht="12.6" hidden="1">
      <c r="J316" s="65"/>
      <c r="K316" s="65"/>
      <c r="L316" s="65"/>
      <c r="M316" s="65"/>
      <c r="N316" s="65"/>
    </row>
    <row r="317" spans="10:14" ht="12.6" hidden="1">
      <c r="J317" s="65"/>
      <c r="K317" s="65"/>
      <c r="L317" s="65"/>
      <c r="M317" s="65"/>
      <c r="N317" s="65"/>
    </row>
    <row r="318" spans="10:14" ht="12.6" hidden="1">
      <c r="J318" s="65"/>
      <c r="K318" s="65"/>
      <c r="L318" s="65"/>
      <c r="M318" s="65"/>
      <c r="N318" s="65"/>
    </row>
    <row r="319" spans="10:14" ht="12.6" hidden="1">
      <c r="J319" s="65"/>
      <c r="K319" s="65"/>
      <c r="L319" s="65"/>
      <c r="M319" s="65"/>
      <c r="N319" s="65"/>
    </row>
    <row r="320" spans="10:14" ht="12.6" hidden="1">
      <c r="J320" s="65"/>
      <c r="K320" s="65"/>
      <c r="L320" s="65"/>
      <c r="M320" s="65"/>
      <c r="N320" s="65"/>
    </row>
    <row r="321" spans="10:14" ht="12.6" hidden="1">
      <c r="J321" s="65"/>
      <c r="K321" s="65"/>
      <c r="L321" s="65"/>
      <c r="M321" s="65"/>
      <c r="N321" s="65"/>
    </row>
    <row r="322" spans="10:14" ht="12.6" hidden="1">
      <c r="J322" s="65"/>
      <c r="K322" s="65"/>
      <c r="L322" s="65"/>
      <c r="M322" s="65"/>
      <c r="N322" s="65"/>
    </row>
    <row r="323" spans="10:14" ht="12.6" hidden="1">
      <c r="J323" s="65"/>
      <c r="K323" s="65"/>
      <c r="L323" s="65"/>
      <c r="M323" s="65"/>
      <c r="N323" s="65"/>
    </row>
    <row r="324" spans="10:14" ht="12.6" hidden="1">
      <c r="J324" s="65"/>
      <c r="K324" s="65"/>
      <c r="L324" s="65"/>
      <c r="M324" s="65"/>
      <c r="N324" s="65"/>
    </row>
    <row r="325" spans="10:14" ht="12.6" hidden="1">
      <c r="J325" s="65"/>
      <c r="K325" s="65"/>
      <c r="L325" s="65"/>
      <c r="M325" s="65"/>
      <c r="N325" s="65"/>
    </row>
    <row r="326" spans="10:14" ht="12.6" hidden="1">
      <c r="J326" s="65"/>
      <c r="K326" s="65"/>
      <c r="L326" s="65"/>
      <c r="M326" s="65"/>
      <c r="N326" s="65"/>
    </row>
    <row r="327" spans="10:14" ht="12.6" hidden="1">
      <c r="J327" s="65"/>
      <c r="K327" s="65"/>
      <c r="L327" s="65"/>
      <c r="M327" s="65"/>
      <c r="N327" s="65"/>
    </row>
    <row r="328" spans="10:14" ht="12.6" hidden="1">
      <c r="J328" s="65"/>
      <c r="K328" s="65"/>
      <c r="L328" s="65"/>
      <c r="M328" s="65"/>
      <c r="N328" s="65"/>
    </row>
    <row r="329" spans="10:14" ht="12.6" hidden="1">
      <c r="J329" s="65"/>
      <c r="K329" s="65"/>
      <c r="L329" s="65"/>
      <c r="M329" s="65"/>
      <c r="N329" s="65"/>
    </row>
    <row r="330" spans="10:14" ht="12.6" hidden="1">
      <c r="J330" s="65"/>
      <c r="K330" s="65"/>
      <c r="L330" s="65"/>
      <c r="M330" s="65"/>
      <c r="N330" s="65"/>
    </row>
    <row r="331" spans="10:14" ht="12.6" hidden="1">
      <c r="J331" s="65"/>
      <c r="K331" s="65"/>
      <c r="L331" s="65"/>
      <c r="M331" s="65"/>
      <c r="N331" s="65"/>
    </row>
    <row r="332" spans="10:14" ht="12.6" hidden="1">
      <c r="J332" s="65"/>
      <c r="K332" s="65"/>
      <c r="L332" s="65"/>
      <c r="M332" s="65"/>
      <c r="N332" s="65"/>
    </row>
    <row r="333" spans="10:14" ht="12.6" hidden="1">
      <c r="J333" s="65"/>
      <c r="K333" s="65"/>
      <c r="L333" s="65"/>
      <c r="M333" s="65"/>
      <c r="N333" s="65"/>
    </row>
    <row r="334" spans="10:14" ht="12.6" hidden="1">
      <c r="J334" s="65"/>
      <c r="K334" s="65"/>
      <c r="L334" s="65"/>
      <c r="M334" s="65"/>
      <c r="N334" s="65"/>
    </row>
    <row r="335" spans="10:14" ht="12.6" hidden="1">
      <c r="J335" s="65"/>
      <c r="K335" s="65"/>
      <c r="L335" s="65"/>
      <c r="M335" s="65"/>
      <c r="N335" s="65"/>
    </row>
    <row r="336" spans="10:14" ht="12.6" hidden="1">
      <c r="J336" s="65"/>
      <c r="K336" s="65"/>
      <c r="L336" s="65"/>
      <c r="M336" s="65"/>
      <c r="N336" s="65"/>
    </row>
    <row r="337" spans="10:14" ht="12.6" hidden="1">
      <c r="J337" s="65"/>
      <c r="K337" s="65"/>
      <c r="L337" s="65"/>
      <c r="M337" s="65"/>
      <c r="N337" s="65"/>
    </row>
    <row r="338" spans="10:14" ht="12.6" hidden="1">
      <c r="J338" s="65"/>
      <c r="K338" s="65"/>
      <c r="L338" s="65"/>
      <c r="M338" s="65"/>
      <c r="N338" s="65"/>
    </row>
    <row r="339" spans="10:14" ht="12.6" hidden="1">
      <c r="J339" s="65"/>
      <c r="K339" s="65"/>
      <c r="L339" s="65"/>
      <c r="M339" s="65"/>
      <c r="N339" s="65"/>
    </row>
    <row r="340" spans="10:14" ht="12.6" hidden="1">
      <c r="J340" s="65"/>
      <c r="K340" s="65"/>
      <c r="L340" s="65"/>
      <c r="M340" s="65"/>
      <c r="N340" s="65"/>
    </row>
    <row r="341" spans="10:14" ht="12.6" hidden="1">
      <c r="J341" s="65"/>
      <c r="K341" s="65"/>
      <c r="L341" s="65"/>
      <c r="M341" s="65"/>
      <c r="N341" s="65"/>
    </row>
    <row r="342" spans="10:14" ht="12.6" hidden="1">
      <c r="J342" s="65"/>
      <c r="K342" s="65"/>
      <c r="L342" s="65"/>
      <c r="M342" s="65"/>
      <c r="N342" s="65"/>
    </row>
    <row r="343" spans="10:14" ht="12.6" hidden="1">
      <c r="J343" s="65"/>
      <c r="K343" s="65"/>
      <c r="L343" s="65"/>
      <c r="M343" s="65"/>
      <c r="N343" s="65"/>
    </row>
    <row r="344" spans="10:14" ht="12.6" hidden="1">
      <c r="J344" s="65"/>
      <c r="K344" s="65"/>
      <c r="L344" s="65"/>
      <c r="M344" s="65"/>
      <c r="N344" s="65"/>
    </row>
    <row r="345" spans="10:14" ht="12.6" hidden="1">
      <c r="J345" s="65"/>
      <c r="K345" s="65"/>
      <c r="L345" s="65"/>
      <c r="M345" s="65"/>
      <c r="N345" s="65"/>
    </row>
    <row r="346" spans="10:14" ht="12.6" hidden="1">
      <c r="J346" s="65"/>
      <c r="K346" s="65"/>
      <c r="L346" s="65"/>
      <c r="M346" s="65"/>
      <c r="N346" s="65"/>
    </row>
    <row r="347" spans="10:14" ht="12.6" hidden="1">
      <c r="J347" s="65"/>
      <c r="K347" s="65"/>
      <c r="L347" s="65"/>
      <c r="M347" s="65"/>
      <c r="N347" s="65"/>
    </row>
    <row r="348" spans="10:14" ht="12.6" hidden="1">
      <c r="J348" s="65"/>
      <c r="K348" s="65"/>
      <c r="L348" s="65"/>
      <c r="M348" s="65"/>
      <c r="N348" s="65"/>
    </row>
    <row r="349" spans="10:14" ht="12.6" hidden="1">
      <c r="J349" s="65"/>
      <c r="K349" s="65"/>
      <c r="L349" s="65"/>
      <c r="M349" s="65"/>
      <c r="N349" s="65"/>
    </row>
    <row r="350" spans="10:14" ht="12.6" hidden="1">
      <c r="J350" s="65"/>
      <c r="K350" s="65"/>
      <c r="L350" s="65"/>
      <c r="M350" s="65"/>
      <c r="N350" s="65"/>
    </row>
    <row r="351" spans="10:14" ht="12.6" hidden="1">
      <c r="J351" s="65"/>
      <c r="K351" s="65"/>
      <c r="L351" s="65"/>
      <c r="M351" s="65"/>
      <c r="N351" s="65"/>
    </row>
    <row r="352" spans="10:14" ht="12.6" hidden="1">
      <c r="J352" s="65"/>
      <c r="K352" s="65"/>
      <c r="L352" s="65"/>
      <c r="M352" s="65"/>
      <c r="N352" s="65"/>
    </row>
    <row r="353" spans="10:14" ht="12.6" hidden="1">
      <c r="J353" s="65"/>
      <c r="K353" s="65"/>
      <c r="L353" s="65"/>
      <c r="M353" s="65"/>
      <c r="N353" s="65"/>
    </row>
    <row r="354" spans="10:14" ht="12.6" hidden="1">
      <c r="J354" s="65"/>
      <c r="K354" s="65"/>
      <c r="L354" s="65"/>
      <c r="M354" s="65"/>
      <c r="N354" s="65"/>
    </row>
    <row r="355" spans="10:14" ht="12.6" hidden="1">
      <c r="J355" s="65"/>
      <c r="K355" s="65"/>
      <c r="L355" s="65"/>
      <c r="M355" s="65"/>
      <c r="N355" s="65"/>
    </row>
    <row r="356" spans="10:14" ht="12.6" hidden="1">
      <c r="J356" s="65"/>
      <c r="K356" s="65"/>
      <c r="L356" s="65"/>
      <c r="M356" s="65"/>
      <c r="N356" s="65"/>
    </row>
    <row r="357" spans="10:14" ht="12.6" hidden="1">
      <c r="J357" s="65"/>
      <c r="K357" s="65"/>
      <c r="L357" s="65"/>
      <c r="M357" s="65"/>
      <c r="N357" s="65"/>
    </row>
    <row r="358" spans="10:14" ht="12.6" hidden="1">
      <c r="J358" s="65"/>
      <c r="K358" s="65"/>
      <c r="L358" s="65"/>
      <c r="M358" s="65"/>
      <c r="N358" s="65"/>
    </row>
    <row r="359" spans="10:14" ht="12.6" hidden="1">
      <c r="J359" s="65"/>
      <c r="K359" s="65"/>
      <c r="L359" s="65"/>
      <c r="M359" s="65"/>
      <c r="N359" s="65"/>
    </row>
    <row r="360" spans="10:14" ht="12.6" hidden="1">
      <c r="J360" s="65"/>
      <c r="K360" s="65"/>
      <c r="L360" s="65"/>
      <c r="M360" s="65"/>
      <c r="N360" s="65"/>
    </row>
    <row r="361" spans="10:14" ht="12.6" hidden="1">
      <c r="J361" s="65"/>
      <c r="K361" s="65"/>
      <c r="L361" s="65"/>
      <c r="M361" s="65"/>
      <c r="N361" s="65"/>
    </row>
    <row r="362" spans="10:14" ht="12.6" hidden="1">
      <c r="J362" s="65"/>
      <c r="K362" s="65"/>
      <c r="L362" s="65"/>
      <c r="M362" s="65"/>
      <c r="N362" s="65"/>
    </row>
    <row r="363" spans="10:14" ht="12.6" hidden="1">
      <c r="J363" s="65"/>
      <c r="K363" s="65"/>
      <c r="L363" s="65"/>
      <c r="M363" s="65"/>
      <c r="N363" s="65"/>
    </row>
    <row r="364" spans="10:14" ht="12.6" hidden="1">
      <c r="J364" s="65"/>
      <c r="K364" s="65"/>
      <c r="L364" s="65"/>
      <c r="M364" s="65"/>
      <c r="N364" s="65"/>
    </row>
    <row r="365" spans="10:14" ht="12.6" hidden="1">
      <c r="J365" s="65"/>
      <c r="K365" s="65"/>
      <c r="L365" s="65"/>
      <c r="M365" s="65"/>
      <c r="N365" s="65"/>
    </row>
    <row r="366" spans="10:14" ht="12.6" hidden="1">
      <c r="J366" s="65"/>
      <c r="K366" s="65"/>
      <c r="L366" s="65"/>
      <c r="M366" s="65"/>
      <c r="N366" s="65"/>
    </row>
    <row r="367" spans="10:14" ht="12.6" hidden="1">
      <c r="J367" s="65"/>
      <c r="K367" s="65"/>
      <c r="L367" s="65"/>
      <c r="M367" s="65"/>
      <c r="N367" s="65"/>
    </row>
    <row r="368" spans="10:14" ht="12.6" hidden="1">
      <c r="J368" s="65"/>
      <c r="K368" s="65"/>
      <c r="L368" s="65"/>
      <c r="M368" s="65"/>
      <c r="N368" s="65"/>
    </row>
    <row r="369" spans="10:14" ht="12.6" hidden="1">
      <c r="J369" s="65"/>
      <c r="K369" s="65"/>
      <c r="L369" s="65"/>
      <c r="M369" s="65"/>
      <c r="N369" s="65"/>
    </row>
    <row r="370" spans="10:14" ht="12.6" hidden="1">
      <c r="J370" s="65"/>
      <c r="K370" s="65"/>
      <c r="L370" s="65"/>
      <c r="M370" s="65"/>
      <c r="N370" s="65"/>
    </row>
    <row r="371" spans="10:14" ht="12.6" hidden="1">
      <c r="J371" s="65"/>
      <c r="K371" s="65"/>
      <c r="L371" s="65"/>
      <c r="M371" s="65"/>
      <c r="N371" s="65"/>
    </row>
    <row r="372" spans="10:14" ht="12.6" hidden="1">
      <c r="J372" s="65"/>
      <c r="K372" s="65"/>
      <c r="L372" s="65"/>
      <c r="M372" s="65"/>
      <c r="N372" s="65"/>
    </row>
    <row r="373" spans="10:14" ht="12.6" hidden="1">
      <c r="J373" s="65"/>
      <c r="K373" s="65"/>
      <c r="L373" s="65"/>
      <c r="M373" s="65"/>
      <c r="N373" s="65"/>
    </row>
    <row r="374" spans="10:14" ht="12.6" hidden="1">
      <c r="J374" s="65"/>
      <c r="K374" s="65"/>
      <c r="L374" s="65"/>
      <c r="M374" s="65"/>
      <c r="N374" s="65"/>
    </row>
    <row r="375" spans="10:14" ht="12.6" hidden="1">
      <c r="J375" s="65"/>
      <c r="K375" s="65"/>
      <c r="L375" s="65"/>
      <c r="M375" s="65"/>
      <c r="N375" s="65"/>
    </row>
    <row r="376" spans="10:14" ht="12.6" hidden="1">
      <c r="J376" s="65"/>
      <c r="K376" s="65"/>
      <c r="L376" s="65"/>
      <c r="M376" s="65"/>
      <c r="N376" s="65"/>
    </row>
    <row r="377" spans="10:14" ht="12.6" hidden="1">
      <c r="J377" s="65"/>
      <c r="K377" s="65"/>
      <c r="L377" s="65"/>
      <c r="M377" s="65"/>
      <c r="N377" s="65"/>
    </row>
    <row r="378" spans="10:14" ht="12.6" hidden="1">
      <c r="J378" s="65"/>
      <c r="K378" s="65"/>
      <c r="L378" s="65"/>
      <c r="M378" s="65"/>
      <c r="N378" s="65"/>
    </row>
    <row r="379" spans="10:14" ht="12.6" hidden="1">
      <c r="J379" s="65"/>
      <c r="K379" s="65"/>
      <c r="L379" s="65"/>
      <c r="M379" s="65"/>
      <c r="N379" s="65"/>
    </row>
    <row r="380" spans="10:14" ht="12.6" hidden="1">
      <c r="J380" s="65"/>
      <c r="K380" s="65"/>
      <c r="L380" s="65"/>
      <c r="M380" s="65"/>
      <c r="N380" s="65"/>
    </row>
    <row r="381" spans="10:14" ht="12.6" hidden="1">
      <c r="J381" s="65"/>
      <c r="K381" s="65"/>
      <c r="L381" s="65"/>
      <c r="M381" s="65"/>
      <c r="N381" s="65"/>
    </row>
    <row r="382" spans="10:14" ht="12.6" hidden="1">
      <c r="J382" s="65"/>
      <c r="K382" s="65"/>
      <c r="L382" s="65"/>
      <c r="M382" s="65"/>
      <c r="N382" s="65"/>
    </row>
    <row r="383" spans="10:14" ht="12.6" hidden="1">
      <c r="J383" s="65"/>
      <c r="K383" s="65"/>
      <c r="L383" s="65"/>
      <c r="M383" s="65"/>
      <c r="N383" s="65"/>
    </row>
    <row r="384" spans="10:14" ht="12.6" hidden="1">
      <c r="J384" s="65"/>
      <c r="K384" s="65"/>
      <c r="L384" s="65"/>
      <c r="M384" s="65"/>
      <c r="N384" s="65"/>
    </row>
    <row r="385" spans="10:14" ht="12.6" hidden="1">
      <c r="J385" s="65"/>
      <c r="K385" s="65"/>
      <c r="L385" s="65"/>
      <c r="M385" s="65"/>
      <c r="N385" s="65"/>
    </row>
    <row r="386" spans="10:14" ht="12.6" hidden="1">
      <c r="J386" s="65"/>
      <c r="K386" s="65"/>
      <c r="L386" s="65"/>
      <c r="M386" s="65"/>
      <c r="N386" s="65"/>
    </row>
    <row r="387" spans="10:14" ht="12.6" hidden="1">
      <c r="J387" s="65"/>
      <c r="K387" s="65"/>
      <c r="L387" s="65"/>
      <c r="M387" s="65"/>
      <c r="N387" s="65"/>
    </row>
    <row r="388" spans="10:14" ht="12.6" hidden="1">
      <c r="J388" s="65"/>
      <c r="K388" s="65"/>
      <c r="L388" s="65"/>
      <c r="M388" s="65"/>
      <c r="N388" s="65"/>
    </row>
    <row r="389" spans="10:14" ht="12.6" hidden="1">
      <c r="J389" s="65"/>
      <c r="K389" s="65"/>
      <c r="L389" s="65"/>
      <c r="M389" s="65"/>
      <c r="N389" s="65"/>
    </row>
    <row r="390" spans="10:14" ht="12.6" hidden="1">
      <c r="J390" s="65"/>
      <c r="K390" s="65"/>
      <c r="L390" s="65"/>
      <c r="M390" s="65"/>
      <c r="N390" s="65"/>
    </row>
    <row r="391" spans="10:14" ht="12.6" hidden="1">
      <c r="J391" s="65"/>
      <c r="K391" s="65"/>
      <c r="L391" s="65"/>
      <c r="M391" s="65"/>
      <c r="N391" s="65"/>
    </row>
    <row r="392" spans="10:14" ht="12.6" hidden="1">
      <c r="J392" s="65"/>
      <c r="K392" s="65"/>
      <c r="L392" s="65"/>
      <c r="M392" s="65"/>
      <c r="N392" s="65"/>
    </row>
    <row r="393" spans="10:14" ht="12.6" hidden="1">
      <c r="J393" s="65"/>
      <c r="K393" s="65"/>
      <c r="L393" s="65"/>
      <c r="M393" s="65"/>
      <c r="N393" s="65"/>
    </row>
    <row r="394" spans="10:14" ht="12.6" hidden="1">
      <c r="J394" s="65"/>
      <c r="K394" s="65"/>
      <c r="L394" s="65"/>
      <c r="M394" s="65"/>
      <c r="N394" s="65"/>
    </row>
    <row r="395" spans="10:14" ht="12.6" hidden="1">
      <c r="J395" s="65"/>
      <c r="K395" s="65"/>
      <c r="L395" s="65"/>
      <c r="M395" s="65"/>
      <c r="N395" s="65"/>
    </row>
    <row r="396" spans="10:14" ht="12.6" hidden="1">
      <c r="J396" s="65"/>
      <c r="K396" s="65"/>
      <c r="L396" s="65"/>
      <c r="M396" s="65"/>
      <c r="N396" s="65"/>
    </row>
    <row r="397" spans="10:14" ht="12.6" hidden="1">
      <c r="J397" s="65"/>
      <c r="K397" s="65"/>
      <c r="L397" s="65"/>
      <c r="M397" s="65"/>
      <c r="N397" s="65"/>
    </row>
    <row r="398" spans="10:14" ht="12.6" hidden="1">
      <c r="J398" s="65"/>
      <c r="K398" s="65"/>
      <c r="L398" s="65"/>
      <c r="M398" s="65"/>
      <c r="N398" s="65"/>
    </row>
    <row r="399" spans="10:14" ht="12.6" hidden="1">
      <c r="J399" s="65"/>
      <c r="K399" s="65"/>
      <c r="L399" s="65"/>
      <c r="M399" s="65"/>
      <c r="N399" s="65"/>
    </row>
    <row r="400" spans="10:14" ht="12.6" hidden="1">
      <c r="J400" s="65"/>
      <c r="K400" s="65"/>
      <c r="L400" s="65"/>
      <c r="M400" s="65"/>
      <c r="N400" s="65"/>
    </row>
    <row r="401" spans="10:14" ht="12.6" hidden="1">
      <c r="J401" s="65"/>
      <c r="K401" s="65"/>
      <c r="L401" s="65"/>
      <c r="M401" s="65"/>
      <c r="N401" s="65"/>
    </row>
    <row r="402" spans="10:14" ht="12.6" hidden="1">
      <c r="J402" s="65"/>
      <c r="K402" s="65"/>
      <c r="L402" s="65"/>
      <c r="M402" s="65"/>
      <c r="N402" s="65"/>
    </row>
    <row r="403" spans="10:14" ht="12.6" hidden="1">
      <c r="J403" s="65"/>
      <c r="K403" s="65"/>
      <c r="L403" s="65"/>
      <c r="M403" s="65"/>
      <c r="N403" s="65"/>
    </row>
    <row r="404" spans="10:14" ht="12.6" hidden="1">
      <c r="J404" s="65"/>
      <c r="K404" s="65"/>
      <c r="L404" s="65"/>
      <c r="M404" s="65"/>
      <c r="N404" s="65"/>
    </row>
    <row r="405" spans="10:14" ht="12.6" hidden="1">
      <c r="J405" s="65"/>
      <c r="K405" s="65"/>
      <c r="L405" s="65"/>
      <c r="M405" s="65"/>
      <c r="N405" s="65"/>
    </row>
    <row r="406" spans="10:14" ht="12.6" hidden="1">
      <c r="J406" s="65"/>
      <c r="K406" s="65"/>
      <c r="L406" s="65"/>
      <c r="M406" s="65"/>
      <c r="N406" s="65"/>
    </row>
    <row r="407" spans="10:14" ht="12.6" hidden="1">
      <c r="J407" s="65"/>
      <c r="K407" s="65"/>
      <c r="L407" s="65"/>
      <c r="M407" s="65"/>
      <c r="N407" s="65"/>
    </row>
    <row r="408" spans="10:14" ht="12.6" hidden="1">
      <c r="J408" s="65"/>
      <c r="K408" s="65"/>
      <c r="L408" s="65"/>
      <c r="M408" s="65"/>
      <c r="N408" s="65"/>
    </row>
    <row r="409" spans="10:14" ht="12.6" hidden="1">
      <c r="J409" s="65"/>
      <c r="K409" s="65"/>
      <c r="L409" s="65"/>
      <c r="M409" s="65"/>
      <c r="N409" s="65"/>
    </row>
    <row r="410" spans="10:14" ht="12.6" hidden="1">
      <c r="J410" s="65"/>
      <c r="K410" s="65"/>
      <c r="L410" s="65"/>
      <c r="M410" s="65"/>
      <c r="N410" s="65"/>
    </row>
    <row r="411" spans="10:14" ht="12.6" hidden="1">
      <c r="J411" s="65"/>
      <c r="K411" s="65"/>
      <c r="L411" s="65"/>
      <c r="M411" s="65"/>
      <c r="N411" s="65"/>
    </row>
    <row r="412" spans="10:14" ht="12.6" hidden="1">
      <c r="J412" s="65"/>
      <c r="K412" s="65"/>
      <c r="L412" s="65"/>
      <c r="M412" s="65"/>
      <c r="N412" s="65"/>
    </row>
    <row r="413" spans="10:14" ht="12.6" hidden="1">
      <c r="J413" s="65"/>
      <c r="K413" s="65"/>
      <c r="L413" s="65"/>
      <c r="M413" s="65"/>
      <c r="N413" s="65"/>
    </row>
    <row r="414" spans="10:14" ht="12.6" hidden="1">
      <c r="J414" s="65"/>
      <c r="K414" s="65"/>
      <c r="L414" s="65"/>
      <c r="M414" s="65"/>
      <c r="N414" s="65"/>
    </row>
    <row r="415" spans="10:14" ht="12.6" hidden="1">
      <c r="J415" s="65"/>
      <c r="K415" s="65"/>
      <c r="L415" s="65"/>
      <c r="M415" s="65"/>
      <c r="N415" s="65"/>
    </row>
    <row r="416" spans="10:14" ht="12.6" hidden="1">
      <c r="J416" s="65"/>
      <c r="K416" s="65"/>
      <c r="L416" s="65"/>
      <c r="M416" s="65"/>
      <c r="N416" s="65"/>
    </row>
    <row r="417" spans="10:14" ht="12.6" hidden="1">
      <c r="J417" s="65"/>
      <c r="K417" s="65"/>
      <c r="L417" s="65"/>
      <c r="M417" s="65"/>
      <c r="N417" s="65"/>
    </row>
    <row r="418" spans="10:14" ht="12.6" hidden="1">
      <c r="J418" s="65"/>
      <c r="K418" s="65"/>
      <c r="L418" s="65"/>
      <c r="M418" s="65"/>
      <c r="N418" s="65"/>
    </row>
    <row r="419" spans="10:14" ht="12.6" hidden="1">
      <c r="J419" s="65"/>
      <c r="K419" s="65"/>
      <c r="L419" s="65"/>
      <c r="M419" s="65"/>
      <c r="N419" s="65"/>
    </row>
    <row r="420" spans="10:14" ht="12.6" hidden="1">
      <c r="J420" s="65"/>
      <c r="K420" s="65"/>
      <c r="L420" s="65"/>
      <c r="M420" s="65"/>
      <c r="N420" s="65"/>
    </row>
    <row r="421" spans="10:14" ht="12.6" hidden="1">
      <c r="J421" s="65"/>
      <c r="K421" s="65"/>
      <c r="L421" s="65"/>
      <c r="M421" s="65"/>
      <c r="N421" s="65"/>
    </row>
    <row r="422" spans="10:14" ht="12.6" hidden="1">
      <c r="J422" s="65"/>
      <c r="K422" s="65"/>
      <c r="L422" s="65"/>
      <c r="M422" s="65"/>
      <c r="N422" s="65"/>
    </row>
    <row r="423" spans="10:14" ht="12.6" hidden="1">
      <c r="J423" s="65"/>
      <c r="K423" s="65"/>
      <c r="L423" s="65"/>
      <c r="M423" s="65"/>
      <c r="N423" s="65"/>
    </row>
    <row r="424" spans="10:14" ht="12.6" hidden="1">
      <c r="J424" s="65"/>
      <c r="K424" s="65"/>
      <c r="L424" s="65"/>
      <c r="M424" s="65"/>
      <c r="N424" s="65"/>
    </row>
    <row r="425" spans="10:14" ht="12.6" hidden="1">
      <c r="J425" s="65"/>
      <c r="K425" s="65"/>
      <c r="L425" s="65"/>
      <c r="M425" s="65"/>
      <c r="N425" s="65"/>
    </row>
    <row r="426" spans="10:14" ht="12.6" hidden="1">
      <c r="J426" s="65"/>
      <c r="K426" s="65"/>
      <c r="L426" s="65"/>
      <c r="M426" s="65"/>
      <c r="N426" s="65"/>
    </row>
    <row r="427" spans="10:14" ht="12.6" hidden="1">
      <c r="J427" s="65"/>
      <c r="K427" s="65"/>
      <c r="L427" s="65"/>
      <c r="M427" s="65"/>
      <c r="N427" s="65"/>
    </row>
    <row r="428" spans="10:14" ht="12.6" hidden="1">
      <c r="J428" s="65"/>
      <c r="K428" s="65"/>
      <c r="L428" s="65"/>
      <c r="M428" s="65"/>
      <c r="N428" s="65"/>
    </row>
    <row r="429" spans="10:14" ht="12.6" hidden="1">
      <c r="J429" s="65"/>
      <c r="K429" s="65"/>
      <c r="L429" s="65"/>
      <c r="M429" s="65"/>
      <c r="N429" s="65"/>
    </row>
    <row r="430" spans="10:14" ht="12.6" hidden="1">
      <c r="J430" s="65"/>
      <c r="K430" s="65"/>
      <c r="L430" s="65"/>
      <c r="M430" s="65"/>
      <c r="N430" s="65"/>
    </row>
    <row r="431" spans="10:14" ht="12.6" hidden="1">
      <c r="J431" s="65"/>
      <c r="K431" s="65"/>
      <c r="L431" s="65"/>
      <c r="M431" s="65"/>
      <c r="N431" s="65"/>
    </row>
    <row r="432" spans="10:14" ht="12.6" hidden="1">
      <c r="J432" s="65"/>
      <c r="K432" s="65"/>
      <c r="L432" s="65"/>
      <c r="M432" s="65"/>
      <c r="N432" s="65"/>
    </row>
    <row r="433" spans="10:14" ht="12.6" hidden="1">
      <c r="J433" s="65"/>
      <c r="K433" s="65"/>
      <c r="L433" s="65"/>
      <c r="M433" s="65"/>
      <c r="N433" s="65"/>
    </row>
    <row r="434" spans="10:14" ht="12.6" hidden="1">
      <c r="J434" s="65"/>
      <c r="K434" s="65"/>
      <c r="L434" s="65"/>
      <c r="M434" s="65"/>
      <c r="N434" s="65"/>
    </row>
    <row r="435" spans="10:14" ht="12.6" hidden="1">
      <c r="J435" s="65"/>
      <c r="K435" s="65"/>
      <c r="L435" s="65"/>
      <c r="M435" s="65"/>
      <c r="N435" s="65"/>
    </row>
    <row r="436" spans="10:14" ht="12.6" hidden="1">
      <c r="J436" s="65"/>
      <c r="K436" s="65"/>
      <c r="L436" s="65"/>
      <c r="M436" s="65"/>
      <c r="N436" s="65"/>
    </row>
    <row r="437" spans="10:14" ht="12.6" hidden="1">
      <c r="J437" s="65"/>
      <c r="K437" s="65"/>
      <c r="L437" s="65"/>
      <c r="M437" s="65"/>
      <c r="N437" s="65"/>
    </row>
    <row r="438" spans="10:14" ht="12.6" hidden="1">
      <c r="J438" s="65"/>
      <c r="K438" s="65"/>
      <c r="L438" s="65"/>
      <c r="M438" s="65"/>
      <c r="N438" s="65"/>
    </row>
    <row r="439" spans="10:14" ht="12.6" hidden="1">
      <c r="J439" s="65"/>
      <c r="K439" s="65"/>
      <c r="L439" s="65"/>
      <c r="M439" s="65"/>
      <c r="N439" s="65"/>
    </row>
    <row r="440" spans="10:14" ht="12.6" hidden="1">
      <c r="J440" s="65"/>
      <c r="K440" s="65"/>
      <c r="L440" s="65"/>
      <c r="M440" s="65"/>
      <c r="N440" s="65"/>
    </row>
    <row r="441" spans="10:14" ht="12.6" hidden="1">
      <c r="J441" s="65"/>
      <c r="K441" s="65"/>
      <c r="L441" s="65"/>
      <c r="M441" s="65"/>
      <c r="N441" s="65"/>
    </row>
    <row r="442" spans="10:14" ht="12.6" hidden="1">
      <c r="J442" s="65"/>
      <c r="K442" s="65"/>
      <c r="L442" s="65"/>
      <c r="M442" s="65"/>
      <c r="N442" s="65"/>
    </row>
    <row r="443" spans="10:14" ht="12.6" hidden="1">
      <c r="J443" s="65"/>
      <c r="K443" s="65"/>
      <c r="L443" s="65"/>
      <c r="M443" s="65"/>
      <c r="N443" s="65"/>
    </row>
    <row r="444" spans="10:14" ht="12.6" hidden="1">
      <c r="J444" s="65"/>
      <c r="K444" s="65"/>
      <c r="L444" s="65"/>
      <c r="M444" s="65"/>
      <c r="N444" s="65"/>
    </row>
    <row r="445" spans="10:14" ht="12.6" hidden="1">
      <c r="J445" s="65"/>
      <c r="K445" s="65"/>
      <c r="L445" s="65"/>
      <c r="M445" s="65"/>
      <c r="N445" s="65"/>
    </row>
    <row r="446" spans="10:14" ht="12.6" hidden="1">
      <c r="J446" s="65"/>
      <c r="K446" s="65"/>
      <c r="L446" s="65"/>
      <c r="M446" s="65"/>
      <c r="N446" s="65"/>
    </row>
    <row r="447" spans="10:14" ht="12.6" hidden="1">
      <c r="J447" s="65"/>
      <c r="K447" s="65"/>
      <c r="L447" s="65"/>
      <c r="M447" s="65"/>
      <c r="N447" s="65"/>
    </row>
    <row r="448" spans="10:14" ht="12.6" hidden="1">
      <c r="J448" s="65"/>
      <c r="K448" s="65"/>
      <c r="L448" s="65"/>
      <c r="M448" s="65"/>
      <c r="N448" s="65"/>
    </row>
    <row r="449" spans="10:14" ht="12.6" hidden="1">
      <c r="J449" s="65"/>
      <c r="K449" s="65"/>
      <c r="L449" s="65"/>
      <c r="M449" s="65"/>
      <c r="N449" s="65"/>
    </row>
    <row r="450" spans="10:14" ht="12.6" hidden="1">
      <c r="J450" s="65"/>
      <c r="K450" s="65"/>
      <c r="L450" s="65"/>
      <c r="M450" s="65"/>
      <c r="N450" s="65"/>
    </row>
    <row r="451" spans="10:14" ht="12.6" hidden="1">
      <c r="J451" s="65"/>
      <c r="K451" s="65"/>
      <c r="L451" s="65"/>
      <c r="M451" s="65"/>
      <c r="N451" s="65"/>
    </row>
    <row r="452" spans="10:14" ht="12.6" hidden="1">
      <c r="J452" s="65"/>
      <c r="K452" s="65"/>
      <c r="L452" s="65"/>
      <c r="M452" s="65"/>
      <c r="N452" s="65"/>
    </row>
    <row r="453" spans="10:14" ht="12.6" hidden="1">
      <c r="J453" s="65"/>
      <c r="K453" s="65"/>
      <c r="L453" s="65"/>
      <c r="M453" s="65"/>
      <c r="N453" s="65"/>
    </row>
    <row r="454" spans="10:14" ht="12.6" hidden="1">
      <c r="J454" s="65"/>
      <c r="K454" s="65"/>
      <c r="L454" s="65"/>
      <c r="M454" s="65"/>
      <c r="N454" s="65"/>
    </row>
    <row r="455" spans="10:14" ht="12.6" hidden="1">
      <c r="J455" s="65"/>
      <c r="K455" s="65"/>
      <c r="L455" s="65"/>
      <c r="M455" s="65"/>
      <c r="N455" s="65"/>
    </row>
    <row r="456" spans="10:14" ht="12.6" hidden="1">
      <c r="J456" s="65"/>
      <c r="K456" s="65"/>
      <c r="L456" s="65"/>
      <c r="M456" s="65"/>
      <c r="N456" s="65"/>
    </row>
    <row r="457" spans="10:14" ht="12.6" hidden="1">
      <c r="J457" s="65"/>
      <c r="K457" s="65"/>
      <c r="L457" s="65"/>
      <c r="M457" s="65"/>
      <c r="N457" s="65"/>
    </row>
    <row r="458" spans="10:14" ht="12.6" hidden="1">
      <c r="J458" s="65"/>
      <c r="K458" s="65"/>
      <c r="L458" s="65"/>
      <c r="M458" s="65"/>
      <c r="N458" s="65"/>
    </row>
    <row r="459" spans="10:14" ht="12.6" hidden="1">
      <c r="J459" s="65"/>
      <c r="K459" s="65"/>
      <c r="L459" s="65"/>
      <c r="M459" s="65"/>
      <c r="N459" s="65"/>
    </row>
    <row r="460" spans="10:14" ht="12.6" hidden="1">
      <c r="J460" s="65"/>
      <c r="K460" s="65"/>
      <c r="L460" s="65"/>
      <c r="M460" s="65"/>
      <c r="N460" s="65"/>
    </row>
    <row r="461" spans="10:14" ht="12.6" hidden="1">
      <c r="J461" s="65"/>
      <c r="K461" s="65"/>
      <c r="L461" s="65"/>
      <c r="M461" s="65"/>
      <c r="N461" s="65"/>
    </row>
    <row r="462" spans="10:14" ht="12.6" hidden="1">
      <c r="J462" s="65"/>
      <c r="K462" s="65"/>
      <c r="L462" s="65"/>
      <c r="M462" s="65"/>
      <c r="N462" s="65"/>
    </row>
    <row r="463" spans="10:14" ht="12.6" hidden="1">
      <c r="J463" s="65"/>
      <c r="K463" s="65"/>
      <c r="L463" s="65"/>
      <c r="M463" s="65"/>
      <c r="N463" s="65"/>
    </row>
    <row r="464" spans="10:14" ht="12.6" hidden="1">
      <c r="J464" s="65"/>
      <c r="K464" s="65"/>
      <c r="L464" s="65"/>
      <c r="M464" s="65"/>
      <c r="N464" s="65"/>
    </row>
    <row r="465" spans="10:14" ht="12.6" hidden="1">
      <c r="J465" s="65"/>
      <c r="K465" s="65"/>
      <c r="L465" s="65"/>
      <c r="M465" s="65"/>
      <c r="N465" s="65"/>
    </row>
    <row r="466" spans="10:14" ht="12.6" hidden="1">
      <c r="J466" s="65"/>
      <c r="K466" s="65"/>
      <c r="L466" s="65"/>
      <c r="M466" s="65"/>
      <c r="N466" s="65"/>
    </row>
    <row r="467" spans="10:14" ht="12.6" hidden="1">
      <c r="J467" s="65"/>
      <c r="K467" s="65"/>
      <c r="L467" s="65"/>
      <c r="M467" s="65"/>
      <c r="N467" s="65"/>
    </row>
    <row r="468" spans="10:14" ht="12.6" hidden="1">
      <c r="J468" s="65"/>
      <c r="K468" s="65"/>
      <c r="L468" s="65"/>
      <c r="M468" s="65"/>
      <c r="N468" s="65"/>
    </row>
    <row r="469" spans="10:14" ht="12.6" hidden="1">
      <c r="J469" s="65"/>
      <c r="K469" s="65"/>
      <c r="L469" s="65"/>
      <c r="M469" s="65"/>
      <c r="N469" s="65"/>
    </row>
    <row r="470" spans="10:14" ht="12.6" hidden="1">
      <c r="J470" s="65"/>
      <c r="K470" s="65"/>
      <c r="L470" s="65"/>
      <c r="M470" s="65"/>
      <c r="N470" s="65"/>
    </row>
    <row r="471" spans="10:14" ht="12.6" hidden="1">
      <c r="J471" s="65"/>
      <c r="K471" s="65"/>
      <c r="L471" s="65"/>
      <c r="M471" s="65"/>
      <c r="N471" s="65"/>
    </row>
    <row r="472" spans="10:14" ht="12.6" hidden="1">
      <c r="J472" s="65"/>
      <c r="K472" s="65"/>
      <c r="L472" s="65"/>
      <c r="M472" s="65"/>
      <c r="N472" s="65"/>
    </row>
    <row r="473" spans="10:14" ht="12.6" hidden="1">
      <c r="J473" s="65"/>
      <c r="K473" s="65"/>
      <c r="L473" s="65"/>
      <c r="M473" s="65"/>
      <c r="N473" s="65"/>
    </row>
    <row r="474" spans="10:14" ht="12.6" hidden="1">
      <c r="J474" s="65"/>
      <c r="K474" s="65"/>
      <c r="L474" s="65"/>
      <c r="M474" s="65"/>
      <c r="N474" s="65"/>
    </row>
    <row r="475" spans="10:14" ht="12.6" hidden="1">
      <c r="J475" s="65"/>
      <c r="K475" s="65"/>
      <c r="L475" s="65"/>
      <c r="M475" s="65"/>
      <c r="N475" s="65"/>
    </row>
    <row r="476" spans="10:14" ht="12.6" hidden="1">
      <c r="J476" s="65"/>
      <c r="K476" s="65"/>
      <c r="L476" s="65"/>
      <c r="M476" s="65"/>
      <c r="N476" s="65"/>
    </row>
    <row r="477" spans="10:14" ht="12.6" hidden="1">
      <c r="J477" s="65"/>
      <c r="K477" s="65"/>
      <c r="L477" s="65"/>
      <c r="M477" s="65"/>
      <c r="N477" s="65"/>
    </row>
    <row r="478" spans="10:14" ht="12.6" hidden="1">
      <c r="J478" s="65"/>
      <c r="K478" s="65"/>
      <c r="L478" s="65"/>
      <c r="M478" s="65"/>
      <c r="N478" s="65"/>
    </row>
    <row r="479" spans="10:14" ht="12.6" hidden="1">
      <c r="J479" s="65"/>
      <c r="K479" s="65"/>
      <c r="L479" s="65"/>
      <c r="M479" s="65"/>
      <c r="N479" s="65"/>
    </row>
    <row r="480" spans="10:14" ht="12.6" hidden="1">
      <c r="J480" s="65"/>
      <c r="K480" s="65"/>
      <c r="L480" s="65"/>
      <c r="M480" s="65"/>
      <c r="N480" s="65"/>
    </row>
    <row r="481" spans="10:14" ht="12.6" hidden="1">
      <c r="J481" s="65"/>
      <c r="K481" s="65"/>
      <c r="L481" s="65"/>
      <c r="M481" s="65"/>
      <c r="N481" s="65"/>
    </row>
    <row r="482" spans="10:14" ht="12.6" hidden="1">
      <c r="J482" s="65"/>
      <c r="K482" s="65"/>
      <c r="L482" s="65"/>
      <c r="M482" s="65"/>
      <c r="N482" s="65"/>
    </row>
    <row r="483" spans="10:14" ht="12.6" hidden="1">
      <c r="J483" s="65"/>
      <c r="K483" s="65"/>
      <c r="L483" s="65"/>
      <c r="M483" s="65"/>
      <c r="N483" s="65"/>
    </row>
    <row r="484" spans="10:14" ht="12.6" hidden="1">
      <c r="J484" s="65"/>
      <c r="K484" s="65"/>
      <c r="L484" s="65"/>
      <c r="M484" s="65"/>
      <c r="N484" s="65"/>
    </row>
    <row r="485" spans="10:14" ht="12.6" hidden="1">
      <c r="J485" s="65"/>
      <c r="K485" s="65"/>
      <c r="L485" s="65"/>
      <c r="M485" s="65"/>
      <c r="N485" s="65"/>
    </row>
    <row r="486" spans="10:14" ht="12.6" hidden="1">
      <c r="J486" s="65"/>
      <c r="K486" s="65"/>
      <c r="L486" s="65"/>
      <c r="M486" s="65"/>
      <c r="N486" s="65"/>
    </row>
    <row r="487" spans="10:14" ht="12.6" hidden="1">
      <c r="J487" s="65"/>
      <c r="K487" s="65"/>
      <c r="L487" s="65"/>
      <c r="M487" s="65"/>
      <c r="N487" s="65"/>
    </row>
    <row r="488" spans="10:14" ht="12.6" hidden="1">
      <c r="J488" s="65"/>
      <c r="K488" s="65"/>
      <c r="L488" s="65"/>
      <c r="M488" s="65"/>
      <c r="N488" s="65"/>
    </row>
    <row r="489" spans="10:14" ht="12.6" hidden="1">
      <c r="J489" s="65"/>
      <c r="K489" s="65"/>
      <c r="L489" s="65"/>
      <c r="M489" s="65"/>
      <c r="N489" s="65"/>
    </row>
    <row r="490" spans="10:14" ht="12.6" hidden="1">
      <c r="J490" s="65"/>
      <c r="K490" s="65"/>
      <c r="L490" s="65"/>
      <c r="M490" s="65"/>
      <c r="N490" s="65"/>
    </row>
    <row r="491" spans="10:14" ht="12.6" hidden="1">
      <c r="J491" s="65"/>
      <c r="K491" s="65"/>
      <c r="L491" s="65"/>
      <c r="M491" s="65"/>
      <c r="N491" s="65"/>
    </row>
    <row r="492" spans="10:14" ht="12.6" hidden="1">
      <c r="J492" s="65"/>
      <c r="K492" s="65"/>
      <c r="L492" s="65"/>
      <c r="M492" s="65"/>
      <c r="N492" s="65"/>
    </row>
    <row r="493" spans="10:14" ht="12.6" hidden="1">
      <c r="J493" s="65"/>
      <c r="K493" s="65"/>
      <c r="L493" s="65"/>
      <c r="M493" s="65"/>
      <c r="N493" s="65"/>
    </row>
    <row r="494" spans="10:14" ht="12.6" hidden="1">
      <c r="J494" s="65"/>
      <c r="K494" s="65"/>
      <c r="L494" s="65"/>
      <c r="M494" s="65"/>
      <c r="N494" s="65"/>
    </row>
    <row r="495" spans="10:14" ht="12.6" hidden="1">
      <c r="J495" s="65"/>
      <c r="K495" s="65"/>
      <c r="L495" s="65"/>
      <c r="M495" s="65"/>
      <c r="N495" s="65"/>
    </row>
    <row r="496" spans="10:14" ht="12.6" hidden="1">
      <c r="J496" s="65"/>
      <c r="K496" s="65"/>
      <c r="L496" s="65"/>
      <c r="M496" s="65"/>
      <c r="N496" s="65"/>
    </row>
    <row r="497" spans="10:14" ht="12.6" hidden="1">
      <c r="J497" s="65"/>
      <c r="K497" s="65"/>
      <c r="L497" s="65"/>
      <c r="M497" s="65"/>
      <c r="N497" s="65"/>
    </row>
    <row r="498" spans="10:14" ht="12.6" hidden="1">
      <c r="J498" s="65"/>
      <c r="K498" s="65"/>
      <c r="L498" s="65"/>
      <c r="M498" s="65"/>
      <c r="N498" s="65"/>
    </row>
    <row r="499" spans="10:14" ht="12.6" hidden="1">
      <c r="J499" s="65"/>
      <c r="K499" s="65"/>
      <c r="L499" s="65"/>
      <c r="M499" s="65"/>
      <c r="N499" s="65"/>
    </row>
    <row r="500" spans="10:14" ht="12.6" hidden="1">
      <c r="J500" s="65"/>
      <c r="K500" s="65"/>
      <c r="L500" s="65"/>
      <c r="M500" s="65"/>
      <c r="N500" s="65"/>
    </row>
    <row r="501" spans="10:14" ht="12.6" hidden="1">
      <c r="J501" s="65"/>
      <c r="K501" s="65"/>
      <c r="L501" s="65"/>
      <c r="M501" s="65"/>
      <c r="N501" s="65"/>
    </row>
    <row r="502" spans="10:14" ht="12.6" hidden="1">
      <c r="J502" s="65"/>
      <c r="K502" s="65"/>
      <c r="L502" s="65"/>
      <c r="M502" s="65"/>
      <c r="N502" s="65"/>
    </row>
    <row r="503" spans="10:14" ht="12.6" hidden="1">
      <c r="J503" s="65"/>
      <c r="K503" s="65"/>
      <c r="L503" s="65"/>
      <c r="M503" s="65"/>
      <c r="N503" s="65"/>
    </row>
    <row r="504" spans="10:14" ht="12.6" hidden="1">
      <c r="J504" s="65"/>
      <c r="K504" s="65"/>
      <c r="L504" s="65"/>
      <c r="M504" s="65"/>
      <c r="N504" s="65"/>
    </row>
    <row r="505" spans="10:14" ht="12.6" hidden="1">
      <c r="J505" s="65"/>
      <c r="K505" s="65"/>
      <c r="L505" s="65"/>
      <c r="M505" s="65"/>
      <c r="N505" s="65"/>
    </row>
    <row r="506" spans="10:14" ht="12.6" hidden="1">
      <c r="J506" s="65"/>
      <c r="K506" s="65"/>
      <c r="L506" s="65"/>
      <c r="M506" s="65"/>
      <c r="N506" s="65"/>
    </row>
    <row r="507" spans="10:14" ht="12.6" hidden="1">
      <c r="J507" s="65"/>
      <c r="K507" s="65"/>
      <c r="L507" s="65"/>
      <c r="M507" s="65"/>
      <c r="N507" s="65"/>
    </row>
    <row r="508" spans="10:14" ht="12.6" hidden="1">
      <c r="J508" s="65"/>
      <c r="K508" s="65"/>
      <c r="L508" s="65"/>
      <c r="M508" s="65"/>
      <c r="N508" s="65"/>
    </row>
    <row r="509" spans="10:14" ht="12.6" hidden="1">
      <c r="J509" s="65"/>
      <c r="K509" s="65"/>
      <c r="L509" s="65"/>
      <c r="M509" s="65"/>
      <c r="N509" s="65"/>
    </row>
    <row r="510" spans="10:14" ht="12.6" hidden="1">
      <c r="J510" s="65"/>
      <c r="K510" s="65"/>
      <c r="L510" s="65"/>
      <c r="M510" s="65"/>
      <c r="N510" s="65"/>
    </row>
    <row r="511" spans="10:14" ht="12.6" hidden="1">
      <c r="J511" s="65"/>
      <c r="K511" s="65"/>
      <c r="L511" s="65"/>
      <c r="M511" s="65"/>
      <c r="N511" s="65"/>
    </row>
    <row r="512" spans="10:14" ht="12.6" hidden="1">
      <c r="J512" s="65"/>
      <c r="K512" s="65"/>
      <c r="L512" s="65"/>
      <c r="M512" s="65"/>
      <c r="N512" s="65"/>
    </row>
    <row r="513" spans="10:14" ht="12.6" hidden="1">
      <c r="J513" s="65"/>
      <c r="K513" s="65"/>
      <c r="L513" s="65"/>
      <c r="M513" s="65"/>
      <c r="N513" s="65"/>
    </row>
    <row r="514" spans="10:14" ht="12.6" hidden="1">
      <c r="J514" s="65"/>
      <c r="K514" s="65"/>
      <c r="L514" s="65"/>
      <c r="M514" s="65"/>
      <c r="N514" s="65"/>
    </row>
    <row r="515" spans="10:14" ht="12.6" hidden="1">
      <c r="J515" s="65"/>
      <c r="K515" s="65"/>
      <c r="L515" s="65"/>
      <c r="M515" s="65"/>
      <c r="N515" s="65"/>
    </row>
    <row r="516" spans="10:14" ht="12.6" hidden="1">
      <c r="J516" s="65"/>
      <c r="K516" s="65"/>
      <c r="L516" s="65"/>
      <c r="M516" s="65"/>
      <c r="N516" s="65"/>
    </row>
    <row r="517" spans="10:14" ht="12.6" hidden="1">
      <c r="J517" s="65"/>
      <c r="K517" s="65"/>
      <c r="L517" s="65"/>
      <c r="M517" s="65"/>
      <c r="N517" s="65"/>
    </row>
    <row r="518" spans="10:14" ht="12.6" hidden="1">
      <c r="J518" s="65"/>
      <c r="K518" s="65"/>
      <c r="L518" s="65"/>
      <c r="M518" s="65"/>
      <c r="N518" s="65"/>
    </row>
    <row r="519" spans="10:14" ht="12.6" hidden="1">
      <c r="J519" s="65"/>
      <c r="K519" s="65"/>
      <c r="L519" s="65"/>
      <c r="M519" s="65"/>
      <c r="N519" s="65"/>
    </row>
    <row r="520" spans="10:14" ht="12.6" hidden="1">
      <c r="J520" s="65"/>
      <c r="K520" s="65"/>
      <c r="L520" s="65"/>
      <c r="M520" s="65"/>
      <c r="N520" s="65"/>
    </row>
    <row r="521" spans="10:14" ht="12.6" hidden="1">
      <c r="J521" s="65"/>
      <c r="K521" s="65"/>
      <c r="L521" s="65"/>
      <c r="M521" s="65"/>
      <c r="N521" s="65"/>
    </row>
    <row r="522" spans="10:14" ht="12.6" hidden="1">
      <c r="J522" s="65"/>
      <c r="K522" s="65"/>
      <c r="L522" s="65"/>
      <c r="M522" s="65"/>
      <c r="N522" s="65"/>
    </row>
    <row r="523" spans="10:14" ht="12.6" hidden="1">
      <c r="J523" s="65"/>
      <c r="K523" s="65"/>
      <c r="L523" s="65"/>
      <c r="M523" s="65"/>
      <c r="N523" s="65"/>
    </row>
    <row r="524" spans="10:14" ht="12.6" hidden="1">
      <c r="J524" s="65"/>
      <c r="K524" s="65"/>
      <c r="L524" s="65"/>
      <c r="M524" s="65"/>
      <c r="N524" s="65"/>
    </row>
    <row r="525" spans="10:14" ht="12.6" hidden="1">
      <c r="J525" s="65"/>
      <c r="K525" s="65"/>
      <c r="L525" s="65"/>
      <c r="M525" s="65"/>
      <c r="N525" s="65"/>
    </row>
    <row r="526" spans="10:14" ht="12.6" hidden="1">
      <c r="J526" s="65"/>
      <c r="K526" s="65"/>
      <c r="L526" s="65"/>
      <c r="M526" s="65"/>
      <c r="N526" s="65"/>
    </row>
    <row r="527" spans="10:14" ht="12.6" hidden="1">
      <c r="J527" s="65"/>
      <c r="K527" s="65"/>
      <c r="L527" s="65"/>
      <c r="M527" s="65"/>
      <c r="N527" s="65"/>
    </row>
    <row r="528" spans="10:14" ht="12.6" hidden="1">
      <c r="J528" s="65"/>
      <c r="K528" s="65"/>
      <c r="L528" s="65"/>
      <c r="M528" s="65"/>
      <c r="N528" s="65"/>
    </row>
    <row r="529" spans="10:14" ht="12.6" hidden="1">
      <c r="J529" s="65"/>
      <c r="K529" s="65"/>
      <c r="L529" s="65"/>
      <c r="M529" s="65"/>
      <c r="N529" s="65"/>
    </row>
    <row r="530" spans="10:14" ht="12.6" hidden="1">
      <c r="J530" s="65"/>
      <c r="K530" s="65"/>
      <c r="L530" s="65"/>
      <c r="M530" s="65"/>
      <c r="N530" s="65"/>
    </row>
    <row r="531" spans="10:14" ht="12.6" hidden="1">
      <c r="J531" s="65"/>
      <c r="K531" s="65"/>
      <c r="L531" s="65"/>
      <c r="M531" s="65"/>
      <c r="N531" s="65"/>
    </row>
    <row r="532" spans="10:14" ht="12.6" hidden="1">
      <c r="J532" s="65"/>
      <c r="K532" s="65"/>
      <c r="L532" s="65"/>
      <c r="M532" s="65"/>
      <c r="N532" s="65"/>
    </row>
    <row r="533" spans="10:14" ht="12.6" hidden="1">
      <c r="J533" s="65"/>
      <c r="K533" s="65"/>
      <c r="L533" s="65"/>
      <c r="M533" s="65"/>
      <c r="N533" s="65"/>
    </row>
    <row r="534" spans="10:14" ht="12.6" hidden="1">
      <c r="J534" s="65"/>
      <c r="K534" s="65"/>
      <c r="L534" s="65"/>
      <c r="M534" s="65"/>
      <c r="N534" s="65"/>
    </row>
    <row r="535" spans="10:14" ht="12.6" hidden="1">
      <c r="J535" s="65"/>
      <c r="K535" s="65"/>
      <c r="L535" s="65"/>
      <c r="M535" s="65"/>
      <c r="N535" s="65"/>
    </row>
    <row r="536" spans="10:14" ht="12.6" hidden="1">
      <c r="J536" s="65"/>
      <c r="K536" s="65"/>
      <c r="L536" s="65"/>
      <c r="M536" s="65"/>
      <c r="N536" s="65"/>
    </row>
    <row r="537" spans="10:14" ht="12.6" hidden="1">
      <c r="J537" s="65"/>
      <c r="K537" s="65"/>
      <c r="L537" s="65"/>
      <c r="M537" s="65"/>
      <c r="N537" s="65"/>
    </row>
    <row r="538" spans="10:14" ht="12.6" hidden="1">
      <c r="J538" s="65"/>
      <c r="K538" s="65"/>
      <c r="L538" s="65"/>
      <c r="M538" s="65"/>
      <c r="N538" s="65"/>
    </row>
    <row r="539" spans="10:14" ht="12.6" hidden="1">
      <c r="J539" s="65"/>
      <c r="K539" s="65"/>
      <c r="L539" s="65"/>
      <c r="M539" s="65"/>
      <c r="N539" s="65"/>
    </row>
    <row r="540" spans="10:14" ht="12.6" hidden="1">
      <c r="J540" s="65"/>
      <c r="K540" s="65"/>
      <c r="L540" s="65"/>
      <c r="M540" s="65"/>
      <c r="N540" s="65"/>
    </row>
    <row r="541" spans="10:14" ht="12.6" hidden="1">
      <c r="J541" s="65"/>
      <c r="K541" s="65"/>
      <c r="L541" s="65"/>
      <c r="M541" s="65"/>
      <c r="N541" s="65"/>
    </row>
    <row r="542" spans="10:14" ht="12.6" hidden="1">
      <c r="J542" s="65"/>
      <c r="K542" s="65"/>
      <c r="L542" s="65"/>
      <c r="M542" s="65"/>
      <c r="N542" s="65"/>
    </row>
    <row r="543" spans="10:14" ht="12.6" hidden="1">
      <c r="J543" s="65"/>
      <c r="K543" s="65"/>
      <c r="L543" s="65"/>
      <c r="M543" s="65"/>
      <c r="N543" s="65"/>
    </row>
    <row r="544" spans="10:14" ht="12.6" hidden="1">
      <c r="J544" s="65"/>
      <c r="K544" s="65"/>
      <c r="L544" s="65"/>
      <c r="M544" s="65"/>
      <c r="N544" s="65"/>
    </row>
    <row r="545" spans="10:14" ht="12.6" hidden="1">
      <c r="J545" s="65"/>
      <c r="K545" s="65"/>
      <c r="L545" s="65"/>
      <c r="M545" s="65"/>
      <c r="N545" s="65"/>
    </row>
    <row r="546" spans="10:14" ht="12.6" hidden="1">
      <c r="J546" s="65"/>
      <c r="K546" s="65"/>
      <c r="L546" s="65"/>
      <c r="M546" s="65"/>
      <c r="N546" s="65"/>
    </row>
    <row r="547" spans="10:14" ht="12.6" hidden="1">
      <c r="J547" s="65"/>
      <c r="K547" s="65"/>
      <c r="L547" s="65"/>
      <c r="M547" s="65"/>
      <c r="N547" s="65"/>
    </row>
    <row r="548" spans="10:14" ht="12.6" hidden="1">
      <c r="J548" s="65"/>
      <c r="K548" s="65"/>
      <c r="L548" s="65"/>
      <c r="M548" s="65"/>
      <c r="N548" s="65"/>
    </row>
    <row r="549" spans="10:14" ht="12.6" hidden="1">
      <c r="J549" s="65"/>
      <c r="K549" s="65"/>
      <c r="L549" s="65"/>
      <c r="M549" s="65"/>
      <c r="N549" s="65"/>
    </row>
    <row r="550" spans="10:14" ht="12.6" hidden="1">
      <c r="J550" s="65"/>
      <c r="K550" s="65"/>
      <c r="L550" s="65"/>
      <c r="M550" s="65"/>
      <c r="N550" s="65"/>
    </row>
    <row r="551" spans="10:14" ht="12.6" hidden="1">
      <c r="J551" s="65"/>
      <c r="K551" s="65"/>
      <c r="L551" s="65"/>
      <c r="M551" s="65"/>
      <c r="N551" s="65"/>
    </row>
    <row r="552" spans="10:14" ht="12.6" hidden="1">
      <c r="J552" s="65"/>
      <c r="K552" s="65"/>
      <c r="L552" s="65"/>
      <c r="M552" s="65"/>
      <c r="N552" s="65"/>
    </row>
    <row r="553" spans="10:14" ht="12.6" hidden="1">
      <c r="J553" s="65"/>
      <c r="K553" s="65"/>
      <c r="L553" s="65"/>
      <c r="M553" s="65"/>
      <c r="N553" s="65"/>
    </row>
    <row r="554" spans="10:14" ht="12.6" hidden="1">
      <c r="J554" s="65"/>
      <c r="K554" s="65"/>
      <c r="L554" s="65"/>
      <c r="M554" s="65"/>
      <c r="N554" s="65"/>
    </row>
    <row r="555" spans="10:14" ht="12.6" hidden="1">
      <c r="J555" s="65"/>
      <c r="K555" s="65"/>
      <c r="L555" s="65"/>
      <c r="M555" s="65"/>
      <c r="N555" s="65"/>
    </row>
    <row r="556" spans="10:14" ht="12.6" hidden="1">
      <c r="J556" s="65"/>
      <c r="K556" s="65"/>
      <c r="L556" s="65"/>
      <c r="M556" s="65"/>
      <c r="N556" s="65"/>
    </row>
    <row r="557" spans="10:14" ht="12.6" hidden="1">
      <c r="J557" s="65"/>
      <c r="K557" s="65"/>
      <c r="L557" s="65"/>
      <c r="M557" s="65"/>
      <c r="N557" s="65"/>
    </row>
    <row r="558" spans="10:14" ht="12.6" hidden="1">
      <c r="J558" s="65"/>
      <c r="K558" s="65"/>
      <c r="L558" s="65"/>
      <c r="M558" s="65"/>
      <c r="N558" s="65"/>
    </row>
    <row r="559" spans="10:14" ht="12.6" hidden="1">
      <c r="J559" s="65"/>
      <c r="K559" s="65"/>
      <c r="L559" s="65"/>
      <c r="M559" s="65"/>
      <c r="N559" s="65"/>
    </row>
    <row r="560" spans="10:14" ht="12.6" hidden="1">
      <c r="J560" s="65"/>
      <c r="K560" s="65"/>
      <c r="L560" s="65"/>
      <c r="M560" s="65"/>
      <c r="N560" s="65"/>
    </row>
    <row r="561" spans="10:14" ht="12.6" hidden="1">
      <c r="J561" s="65"/>
      <c r="K561" s="65"/>
      <c r="L561" s="65"/>
      <c r="M561" s="65"/>
      <c r="N561" s="65"/>
    </row>
    <row r="562" spans="10:14" ht="12.6" hidden="1">
      <c r="J562" s="65"/>
      <c r="K562" s="65"/>
      <c r="L562" s="65"/>
      <c r="M562" s="65"/>
      <c r="N562" s="65"/>
    </row>
    <row r="563" spans="10:14" ht="12.6" hidden="1">
      <c r="J563" s="65"/>
      <c r="K563" s="65"/>
      <c r="L563" s="65"/>
      <c r="M563" s="65"/>
      <c r="N563" s="65"/>
    </row>
    <row r="564" spans="10:14" ht="12.6" hidden="1">
      <c r="J564" s="65"/>
      <c r="K564" s="65"/>
      <c r="L564" s="65"/>
      <c r="M564" s="65"/>
      <c r="N564" s="65"/>
    </row>
    <row r="565" spans="10:14" ht="12.6" hidden="1">
      <c r="J565" s="65"/>
      <c r="K565" s="65"/>
      <c r="L565" s="65"/>
      <c r="M565" s="65"/>
      <c r="N565" s="65"/>
    </row>
    <row r="566" spans="10:14" ht="12.6" hidden="1">
      <c r="J566" s="65"/>
      <c r="K566" s="65"/>
      <c r="L566" s="65"/>
      <c r="M566" s="65"/>
      <c r="N566" s="65"/>
    </row>
    <row r="567" spans="10:14" ht="12.6" hidden="1">
      <c r="J567" s="65"/>
      <c r="K567" s="65"/>
      <c r="L567" s="65"/>
      <c r="M567" s="65"/>
      <c r="N567" s="65"/>
    </row>
    <row r="568" spans="10:14" ht="12.6" hidden="1">
      <c r="J568" s="65"/>
      <c r="K568" s="65"/>
      <c r="L568" s="65"/>
      <c r="M568" s="65"/>
      <c r="N568" s="65"/>
    </row>
    <row r="569" spans="10:14" ht="12.6" hidden="1">
      <c r="J569" s="65"/>
      <c r="K569" s="65"/>
      <c r="L569" s="65"/>
      <c r="M569" s="65"/>
      <c r="N569" s="65"/>
    </row>
    <row r="570" spans="10:14" ht="12.6" hidden="1">
      <c r="J570" s="65"/>
      <c r="K570" s="65"/>
      <c r="L570" s="65"/>
      <c r="M570" s="65"/>
      <c r="N570" s="65"/>
    </row>
    <row r="571" spans="10:14" ht="12.6" hidden="1">
      <c r="J571" s="65"/>
      <c r="K571" s="65"/>
      <c r="L571" s="65"/>
      <c r="M571" s="65"/>
      <c r="N571" s="65"/>
    </row>
    <row r="572" spans="10:14" ht="12.6" hidden="1">
      <c r="J572" s="65"/>
      <c r="K572" s="65"/>
      <c r="L572" s="65"/>
      <c r="M572" s="65"/>
      <c r="N572" s="65"/>
    </row>
    <row r="573" spans="10:14" ht="12.6" hidden="1">
      <c r="J573" s="65"/>
      <c r="K573" s="65"/>
      <c r="L573" s="65"/>
      <c r="M573" s="65"/>
      <c r="N573" s="65"/>
    </row>
    <row r="574" spans="10:14" ht="12.6" hidden="1">
      <c r="J574" s="65"/>
      <c r="K574" s="65"/>
      <c r="L574" s="65"/>
      <c r="M574" s="65"/>
      <c r="N574" s="65"/>
    </row>
    <row r="575" spans="10:14" ht="12.6" hidden="1">
      <c r="J575" s="65"/>
      <c r="K575" s="65"/>
      <c r="L575" s="65"/>
      <c r="M575" s="65"/>
      <c r="N575" s="65"/>
    </row>
    <row r="576" spans="10:14" ht="12.6" hidden="1">
      <c r="J576" s="65"/>
      <c r="K576" s="65"/>
      <c r="L576" s="65"/>
      <c r="M576" s="65"/>
      <c r="N576" s="65"/>
    </row>
    <row r="577" spans="10:14" ht="12.6" hidden="1">
      <c r="J577" s="65"/>
      <c r="K577" s="65"/>
      <c r="L577" s="65"/>
      <c r="M577" s="65"/>
      <c r="N577" s="65"/>
    </row>
    <row r="578" spans="10:14" ht="12.6" hidden="1">
      <c r="J578" s="65"/>
      <c r="K578" s="65"/>
      <c r="L578" s="65"/>
      <c r="M578" s="65"/>
      <c r="N578" s="65"/>
    </row>
    <row r="579" spans="10:14" ht="12.6" hidden="1">
      <c r="J579" s="65"/>
      <c r="K579" s="65"/>
      <c r="L579" s="65"/>
      <c r="M579" s="65"/>
      <c r="N579" s="65"/>
    </row>
    <row r="580" spans="10:14" ht="12.6" hidden="1">
      <c r="J580" s="65"/>
      <c r="K580" s="65"/>
      <c r="L580" s="65"/>
      <c r="M580" s="65"/>
      <c r="N580" s="65"/>
    </row>
    <row r="581" spans="10:14" ht="12.6" hidden="1">
      <c r="J581" s="65"/>
      <c r="K581" s="65"/>
      <c r="L581" s="65"/>
      <c r="M581" s="65"/>
      <c r="N581" s="65"/>
    </row>
    <row r="582" spans="10:14" ht="12.6" hidden="1">
      <c r="J582" s="65"/>
      <c r="K582" s="65"/>
      <c r="L582" s="65"/>
      <c r="M582" s="65"/>
      <c r="N582" s="65"/>
    </row>
    <row r="583" spans="10:14" ht="12.6" hidden="1">
      <c r="J583" s="65"/>
      <c r="K583" s="65"/>
      <c r="L583" s="65"/>
      <c r="M583" s="65"/>
      <c r="N583" s="65"/>
    </row>
    <row r="584" spans="10:14" ht="12.6" hidden="1">
      <c r="J584" s="65"/>
      <c r="K584" s="65"/>
      <c r="L584" s="65"/>
      <c r="M584" s="65"/>
      <c r="N584" s="65"/>
    </row>
    <row r="585" spans="10:14" ht="12.6" hidden="1">
      <c r="J585" s="65"/>
      <c r="K585" s="65"/>
      <c r="L585" s="65"/>
      <c r="M585" s="65"/>
      <c r="N585" s="65"/>
    </row>
    <row r="586" spans="10:14" ht="12.6" hidden="1">
      <c r="J586" s="65"/>
      <c r="K586" s="65"/>
      <c r="L586" s="65"/>
      <c r="M586" s="65"/>
      <c r="N586" s="65"/>
    </row>
    <row r="587" spans="10:14" ht="12.6" hidden="1"/>
    <row r="588" spans="10:14" ht="12.6" hidden="1"/>
  </sheetData>
  <mergeCells count="8">
    <mergeCell ref="C55:H55"/>
    <mergeCell ref="J55:O55"/>
    <mergeCell ref="B3:O3"/>
    <mergeCell ref="B4:O4"/>
    <mergeCell ref="B5:O5"/>
    <mergeCell ref="C9:H9"/>
    <mergeCell ref="J9:O9"/>
    <mergeCell ref="C44:O45"/>
  </mergeCells>
  <printOptions horizontalCentered="1" verticalCentered="1"/>
  <pageMargins left="0.19685039370078741" right="0.19685039370078741" top="0.82677165354330717" bottom="0.19685039370078741" header="0" footer="0"/>
  <pageSetup paperSize="9" scale="70" orientation="portrait" r:id="rId1"/>
  <headerFooter>
    <oddHeader xml:space="preserve">&amp;L
             &amp;G&amp;C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7</xdr:col>
                    <xdr:colOff>289560</xdr:colOff>
                    <xdr:row>6</xdr:row>
                    <xdr:rowOff>22860</xdr:rowOff>
                  </from>
                  <to>
                    <xdr:col>9</xdr:col>
                    <xdr:colOff>312420</xdr:colOff>
                    <xdr:row>6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588"/>
  <sheetViews>
    <sheetView showGridLines="0" showRowColHeaders="0" showRuler="0" zoomScaleNormal="100" workbookViewId="0"/>
  </sheetViews>
  <sheetFormatPr baseColWidth="10" defaultColWidth="0" defaultRowHeight="12.75" customHeight="1" zeroHeight="1"/>
  <cols>
    <col min="1" max="1" width="1.90625" style="2" customWidth="1"/>
    <col min="2" max="2" width="8.7265625" style="2" customWidth="1"/>
    <col min="3" max="7" width="8.08984375" style="2" customWidth="1"/>
    <col min="8" max="8" width="9.08984375" style="2" customWidth="1"/>
    <col min="9" max="9" width="1.36328125" style="2" customWidth="1"/>
    <col min="10" max="14" width="8.08984375" style="2" customWidth="1"/>
    <col min="15" max="15" width="9.08984375" style="2" customWidth="1"/>
    <col min="16" max="16" width="1.90625" style="2" customWidth="1"/>
    <col min="17" max="17" width="20.08984375" style="2" hidden="1" customWidth="1"/>
    <col min="18" max="18" width="5.7265625" style="2" hidden="1" customWidth="1"/>
    <col min="19" max="19" width="11" style="2" hidden="1" customWidth="1"/>
    <col min="20" max="20" width="9.90625" style="2" hidden="1" customWidth="1"/>
    <col min="21" max="28" width="11" style="2" hidden="1" customWidth="1"/>
    <col min="29" max="29" width="2.26953125" style="2" hidden="1" customWidth="1"/>
    <col min="30" max="16384" width="11" style="2" hidden="1"/>
  </cols>
  <sheetData>
    <row r="1" spans="1:19" ht="5.0999999999999996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spans="1:19" ht="5.0999999999999996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2"/>
    </row>
    <row r="3" spans="1:19" ht="19.95" customHeight="1">
      <c r="B3" s="327" t="s">
        <v>145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</row>
    <row r="4" spans="1:19" ht="19.95" customHeight="1">
      <c r="B4" s="327" t="s">
        <v>146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</row>
    <row r="5" spans="1:19" ht="16.2" customHeight="1">
      <c r="B5" s="336" t="s">
        <v>77</v>
      </c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</row>
    <row r="6" spans="1:19" s="65" customFormat="1" ht="6" customHeight="1" thickBot="1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9" s="65" customFormat="1" ht="18.899999999999999" customHeight="1" thickTop="1" thickBot="1">
      <c r="B7" s="112"/>
      <c r="C7" s="112"/>
      <c r="D7" s="112"/>
      <c r="E7"/>
      <c r="F7"/>
      <c r="G7" s="113" t="s">
        <v>78</v>
      </c>
      <c r="H7" s="114"/>
      <c r="I7" s="114"/>
      <c r="J7" s="115"/>
      <c r="K7" s="112"/>
      <c r="L7" s="112"/>
      <c r="M7" s="112"/>
      <c r="N7" s="112"/>
      <c r="O7" s="112"/>
      <c r="Q7" s="6" t="s">
        <v>147</v>
      </c>
      <c r="R7" s="7">
        <v>29</v>
      </c>
      <c r="S7" s="7">
        <f>INDEX(Años,R7)</f>
        <v>2024</v>
      </c>
    </row>
    <row r="8" spans="1:19" s="65" customFormat="1" ht="11.4" customHeight="1" thickTop="1">
      <c r="B8" s="112"/>
      <c r="C8" s="112"/>
      <c r="D8" s="112"/>
      <c r="G8"/>
      <c r="H8"/>
      <c r="I8" s="112"/>
      <c r="J8" s="112"/>
      <c r="K8" s="112"/>
      <c r="L8" s="112"/>
      <c r="M8" s="112"/>
      <c r="N8" s="112"/>
      <c r="O8" s="112"/>
      <c r="Q8" s="6" t="s">
        <v>80</v>
      </c>
      <c r="S8" s="7" t="str">
        <f>INDEX(V117:V128,MATCH(1,S117:S128,0))</f>
        <v>FEBRUARY</v>
      </c>
    </row>
    <row r="9" spans="1:19" ht="14.4" customHeight="1" thickBot="1">
      <c r="B9" s="116"/>
      <c r="C9" s="350" t="s">
        <v>116</v>
      </c>
      <c r="D9" s="351"/>
      <c r="E9" s="351"/>
      <c r="F9" s="351"/>
      <c r="G9" s="351"/>
      <c r="H9" s="351"/>
      <c r="I9" s="17"/>
      <c r="J9" s="350" t="s">
        <v>73</v>
      </c>
      <c r="K9" s="350"/>
      <c r="L9" s="350"/>
      <c r="M9" s="350"/>
      <c r="N9" s="350"/>
      <c r="O9" s="350"/>
      <c r="Q9" s="6" t="s">
        <v>148</v>
      </c>
      <c r="R9" s="10"/>
      <c r="S9" s="11">
        <f>S7-1</f>
        <v>2023</v>
      </c>
    </row>
    <row r="10" spans="1:19" ht="18" customHeight="1" thickTop="1">
      <c r="B10" s="116"/>
      <c r="C10" s="347" t="s">
        <v>149</v>
      </c>
      <c r="D10" s="348"/>
      <c r="E10" s="348"/>
      <c r="F10" s="348"/>
      <c r="G10" s="349" t="s">
        <v>150</v>
      </c>
      <c r="H10" s="349"/>
      <c r="I10" s="117"/>
      <c r="J10" s="347" t="s">
        <v>149</v>
      </c>
      <c r="K10" s="348"/>
      <c r="L10" s="348"/>
      <c r="M10" s="348"/>
      <c r="N10" s="349" t="s">
        <v>150</v>
      </c>
      <c r="O10" s="349"/>
      <c r="Q10" s="6"/>
      <c r="R10" s="10"/>
      <c r="S10" s="11"/>
    </row>
    <row r="11" spans="1:19" ht="6" customHeight="1">
      <c r="B11" s="116"/>
      <c r="C11" s="117"/>
      <c r="D11" s="118"/>
      <c r="E11" s="118"/>
      <c r="F11" s="118"/>
      <c r="G11" s="118"/>
      <c r="H11" s="118"/>
      <c r="I11" s="118"/>
      <c r="J11" s="117"/>
      <c r="K11" s="117"/>
      <c r="L11" s="117"/>
      <c r="M11" s="117"/>
      <c r="N11" s="117"/>
      <c r="O11" s="117"/>
    </row>
    <row r="12" spans="1:19" ht="12" customHeight="1">
      <c r="B12" s="119"/>
      <c r="C12" s="120" t="s">
        <v>83</v>
      </c>
      <c r="D12" s="120" t="s">
        <v>85</v>
      </c>
      <c r="E12" s="120" t="s">
        <v>86</v>
      </c>
      <c r="F12" s="120" t="s">
        <v>87</v>
      </c>
      <c r="G12" s="120" t="s">
        <v>83</v>
      </c>
      <c r="H12" s="121" t="s">
        <v>87</v>
      </c>
      <c r="I12" s="20"/>
      <c r="J12" s="120" t="s">
        <v>83</v>
      </c>
      <c r="K12" s="120" t="s">
        <v>85</v>
      </c>
      <c r="L12" s="120" t="s">
        <v>86</v>
      </c>
      <c r="M12" s="120" t="s">
        <v>87</v>
      </c>
      <c r="N12" s="120" t="s">
        <v>83</v>
      </c>
      <c r="O12" s="121" t="s">
        <v>87</v>
      </c>
    </row>
    <row r="13" spans="1:19" ht="6" customHeight="1">
      <c r="B13" s="122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</row>
    <row r="14" spans="1:19" ht="13.5" customHeight="1" thickBot="1">
      <c r="B14" s="124">
        <f>Año_anterior_seleccionado_C.2.3</f>
        <v>2023</v>
      </c>
      <c r="C14" s="125"/>
      <c r="D14" s="125"/>
      <c r="E14" s="125"/>
      <c r="F14" s="125"/>
      <c r="G14" s="125"/>
      <c r="H14" s="126"/>
      <c r="I14" s="127"/>
      <c r="J14" s="125"/>
      <c r="K14" s="125"/>
      <c r="L14" s="125"/>
      <c r="M14" s="125"/>
      <c r="N14" s="125"/>
      <c r="O14" s="126"/>
    </row>
    <row r="15" spans="1:19" ht="6" customHeight="1">
      <c r="B15" s="128"/>
      <c r="C15" s="125"/>
      <c r="D15" s="125"/>
      <c r="E15" s="125"/>
      <c r="F15" s="125"/>
      <c r="G15" s="125"/>
      <c r="H15" s="126"/>
      <c r="I15" s="127"/>
      <c r="J15" s="125"/>
      <c r="K15" s="125"/>
      <c r="L15" s="125"/>
      <c r="M15" s="125"/>
      <c r="N15" s="125"/>
      <c r="O15" s="126"/>
    </row>
    <row r="16" spans="1:19" ht="12" customHeight="1">
      <c r="B16" s="128" t="s">
        <v>88</v>
      </c>
      <c r="C16" s="258">
        <f>W105</f>
        <v>4728.2020000000002</v>
      </c>
      <c r="D16" s="258">
        <f t="shared" ref="D16:H16" si="0">X105</f>
        <v>3590.8690000000001</v>
      </c>
      <c r="E16" s="258">
        <f t="shared" si="0"/>
        <v>1189.002</v>
      </c>
      <c r="F16" s="260">
        <f t="shared" si="0"/>
        <v>9508.0730000000003</v>
      </c>
      <c r="G16" s="258">
        <f t="shared" si="0"/>
        <v>17.571000000000002</v>
      </c>
      <c r="H16" s="259">
        <f t="shared" si="0"/>
        <v>9525.6440000000002</v>
      </c>
      <c r="I16" s="127"/>
      <c r="J16" s="258">
        <f t="shared" ref="J16:O27" si="1">AD105</f>
        <v>4728.2020000000002</v>
      </c>
      <c r="K16" s="258">
        <f t="shared" si="1"/>
        <v>3590.8690000000001</v>
      </c>
      <c r="L16" s="258">
        <f t="shared" si="1"/>
        <v>1189.002</v>
      </c>
      <c r="M16" s="258">
        <f t="shared" si="1"/>
        <v>9508.0730000000003</v>
      </c>
      <c r="N16" s="258">
        <f t="shared" si="1"/>
        <v>17.571000000000002</v>
      </c>
      <c r="O16" s="259">
        <f t="shared" si="1"/>
        <v>9525.6440000000002</v>
      </c>
      <c r="Q16"/>
      <c r="R16"/>
    </row>
    <row r="17" spans="2:25" ht="12" customHeight="1">
      <c r="B17" s="128" t="s">
        <v>89</v>
      </c>
      <c r="C17" s="258">
        <f t="shared" ref="C17:H27" si="2">W106</f>
        <v>4728.2</v>
      </c>
      <c r="D17" s="258">
        <f t="shared" si="2"/>
        <v>3590.87</v>
      </c>
      <c r="E17" s="258">
        <f t="shared" si="2"/>
        <v>1188.999</v>
      </c>
      <c r="F17" s="260">
        <f t="shared" si="2"/>
        <v>9508.0689999999995</v>
      </c>
      <c r="G17" s="258">
        <f t="shared" si="2"/>
        <v>17.364000000000001</v>
      </c>
      <c r="H17" s="259">
        <f t="shared" si="2"/>
        <v>9525.4329999999991</v>
      </c>
      <c r="I17" s="127"/>
      <c r="J17" s="258">
        <f t="shared" si="1"/>
        <v>9456.402</v>
      </c>
      <c r="K17" s="258">
        <f t="shared" si="1"/>
        <v>7181.7389999999996</v>
      </c>
      <c r="L17" s="258">
        <f t="shared" si="1"/>
        <v>2378.0010000000002</v>
      </c>
      <c r="M17" s="258">
        <f t="shared" si="1"/>
        <v>19016.142</v>
      </c>
      <c r="N17" s="258">
        <f t="shared" si="1"/>
        <v>34.935000000000002</v>
      </c>
      <c r="O17" s="259">
        <f t="shared" si="1"/>
        <v>19051.076999999997</v>
      </c>
    </row>
    <row r="18" spans="2:25" ht="12" customHeight="1">
      <c r="B18" s="128" t="s">
        <v>90</v>
      </c>
      <c r="C18" s="258">
        <f t="shared" si="2"/>
        <v>4728.2030000000004</v>
      </c>
      <c r="D18" s="258">
        <f t="shared" si="2"/>
        <v>3590.87</v>
      </c>
      <c r="E18" s="258">
        <f t="shared" si="2"/>
        <v>1188.999</v>
      </c>
      <c r="F18" s="260">
        <f>Z107</f>
        <v>9508.0720000000001</v>
      </c>
      <c r="G18" s="258">
        <f t="shared" si="2"/>
        <v>17.364999999999998</v>
      </c>
      <c r="H18" s="259">
        <f t="shared" si="2"/>
        <v>9525.4369999999999</v>
      </c>
      <c r="I18" s="127"/>
      <c r="J18" s="258">
        <f t="shared" si="1"/>
        <v>14184.605</v>
      </c>
      <c r="K18" s="258">
        <f t="shared" si="1"/>
        <v>10772.609</v>
      </c>
      <c r="L18" s="258">
        <f t="shared" si="1"/>
        <v>3567</v>
      </c>
      <c r="M18" s="258">
        <f t="shared" si="1"/>
        <v>28524.214</v>
      </c>
      <c r="N18" s="258">
        <f t="shared" si="1"/>
        <v>52.3</v>
      </c>
      <c r="O18" s="259">
        <f t="shared" si="1"/>
        <v>28576.513999999996</v>
      </c>
      <c r="S18" s="10"/>
    </row>
    <row r="19" spans="2:25" ht="12" customHeight="1">
      <c r="B19" s="128" t="s">
        <v>91</v>
      </c>
      <c r="C19" s="258">
        <f t="shared" si="2"/>
        <v>4728.2</v>
      </c>
      <c r="D19" s="258">
        <f t="shared" si="2"/>
        <v>3590.87</v>
      </c>
      <c r="E19" s="258">
        <f t="shared" si="2"/>
        <v>1189.002</v>
      </c>
      <c r="F19" s="260">
        <f t="shared" si="2"/>
        <v>9508.0720000000001</v>
      </c>
      <c r="G19" s="258">
        <f t="shared" si="2"/>
        <v>17.364999999999998</v>
      </c>
      <c r="H19" s="259">
        <f t="shared" si="2"/>
        <v>9525.4369999999999</v>
      </c>
      <c r="I19" s="127"/>
      <c r="J19" s="258">
        <f t="shared" si="1"/>
        <v>18912.805</v>
      </c>
      <c r="K19" s="258">
        <f t="shared" si="1"/>
        <v>14363.478999999999</v>
      </c>
      <c r="L19" s="258">
        <f t="shared" si="1"/>
        <v>4756.0020000000004</v>
      </c>
      <c r="M19" s="258">
        <f t="shared" si="1"/>
        <v>38032.286</v>
      </c>
      <c r="N19" s="258">
        <f t="shared" si="1"/>
        <v>69.664999999999992</v>
      </c>
      <c r="O19" s="259">
        <f t="shared" si="1"/>
        <v>38101.950999999994</v>
      </c>
      <c r="Q19"/>
      <c r="R19"/>
      <c r="S19"/>
    </row>
    <row r="20" spans="2:25" ht="12" customHeight="1">
      <c r="B20" s="128" t="s">
        <v>92</v>
      </c>
      <c r="C20" s="258">
        <f t="shared" si="2"/>
        <v>4728.2020000000002</v>
      </c>
      <c r="D20" s="258">
        <f t="shared" si="2"/>
        <v>3590.8690000000001</v>
      </c>
      <c r="E20" s="258">
        <f t="shared" si="2"/>
        <v>1189.001</v>
      </c>
      <c r="F20" s="260">
        <f t="shared" si="2"/>
        <v>9508.0720000000001</v>
      </c>
      <c r="G20" s="258">
        <f t="shared" si="2"/>
        <v>17.364000000000001</v>
      </c>
      <c r="H20" s="259">
        <f t="shared" si="2"/>
        <v>9525.4359999999997</v>
      </c>
      <c r="I20" s="127"/>
      <c r="J20" s="258">
        <f t="shared" si="1"/>
        <v>23641.007000000001</v>
      </c>
      <c r="K20" s="258">
        <f t="shared" si="1"/>
        <v>17954.347999999998</v>
      </c>
      <c r="L20" s="258">
        <f t="shared" si="1"/>
        <v>5945.0030000000006</v>
      </c>
      <c r="M20" s="258">
        <f t="shared" si="1"/>
        <v>47540.358</v>
      </c>
      <c r="N20" s="258">
        <f t="shared" si="1"/>
        <v>87.028999999999996</v>
      </c>
      <c r="O20" s="259">
        <f t="shared" si="1"/>
        <v>47627.386999999995</v>
      </c>
      <c r="Q20"/>
      <c r="R20"/>
      <c r="S20"/>
    </row>
    <row r="21" spans="2:25" ht="12" customHeight="1">
      <c r="B21" s="128" t="s">
        <v>93</v>
      </c>
      <c r="C21" s="258">
        <f t="shared" si="2"/>
        <v>4728.2</v>
      </c>
      <c r="D21" s="258">
        <f t="shared" si="2"/>
        <v>3590.87</v>
      </c>
      <c r="E21" s="258">
        <f t="shared" si="2"/>
        <v>1189.002</v>
      </c>
      <c r="F21" s="260">
        <f t="shared" si="2"/>
        <v>9508.0720000000001</v>
      </c>
      <c r="G21" s="258">
        <f t="shared" si="2"/>
        <v>17.658000000000001</v>
      </c>
      <c r="H21" s="259">
        <f t="shared" si="2"/>
        <v>9525.73</v>
      </c>
      <c r="I21" s="127"/>
      <c r="J21" s="258">
        <f t="shared" si="1"/>
        <v>28369.207000000002</v>
      </c>
      <c r="K21" s="258">
        <f t="shared" si="1"/>
        <v>21545.217999999997</v>
      </c>
      <c r="L21" s="258">
        <f t="shared" si="1"/>
        <v>7134.005000000001</v>
      </c>
      <c r="M21" s="258">
        <f t="shared" si="1"/>
        <v>57048.43</v>
      </c>
      <c r="N21" s="258">
        <f t="shared" si="1"/>
        <v>104.687</v>
      </c>
      <c r="O21" s="259">
        <f t="shared" si="1"/>
        <v>57153.116999999998</v>
      </c>
      <c r="Q21"/>
      <c r="R21"/>
      <c r="S21"/>
    </row>
    <row r="22" spans="2:25" ht="12" customHeight="1">
      <c r="B22" s="128" t="s">
        <v>94</v>
      </c>
      <c r="C22" s="258">
        <f t="shared" si="2"/>
        <v>9787.107</v>
      </c>
      <c r="D22" s="258">
        <f t="shared" si="2"/>
        <v>4105.53</v>
      </c>
      <c r="E22" s="258">
        <f t="shared" si="2"/>
        <v>229.00899999999999</v>
      </c>
      <c r="F22" s="260">
        <f t="shared" si="2"/>
        <v>14121.646000000001</v>
      </c>
      <c r="G22" s="258">
        <f t="shared" si="2"/>
        <v>17.364999999999998</v>
      </c>
      <c r="H22" s="259">
        <f t="shared" si="2"/>
        <v>14139.011</v>
      </c>
      <c r="I22" s="127"/>
      <c r="J22" s="258">
        <f t="shared" si="1"/>
        <v>38156.313999999998</v>
      </c>
      <c r="K22" s="258">
        <f t="shared" si="1"/>
        <v>25650.747999999996</v>
      </c>
      <c r="L22" s="258">
        <f t="shared" si="1"/>
        <v>7363.014000000001</v>
      </c>
      <c r="M22" s="258">
        <f t="shared" si="1"/>
        <v>71170.076000000001</v>
      </c>
      <c r="N22" s="258">
        <f t="shared" si="1"/>
        <v>122.05199999999999</v>
      </c>
      <c r="O22" s="259">
        <f t="shared" si="1"/>
        <v>71292.127999999997</v>
      </c>
      <c r="Q22"/>
      <c r="R22"/>
      <c r="S22"/>
    </row>
    <row r="23" spans="2:25" ht="12" customHeight="1">
      <c r="B23" s="128" t="s">
        <v>95</v>
      </c>
      <c r="C23" s="258">
        <f t="shared" si="2"/>
        <v>4728.201</v>
      </c>
      <c r="D23" s="258">
        <f t="shared" si="2"/>
        <v>3590.87</v>
      </c>
      <c r="E23" s="258">
        <f t="shared" si="2"/>
        <v>1189.001</v>
      </c>
      <c r="F23" s="260">
        <f t="shared" si="2"/>
        <v>9508.0720000000001</v>
      </c>
      <c r="G23" s="258">
        <f t="shared" si="2"/>
        <v>17.364000000000001</v>
      </c>
      <c r="H23" s="259">
        <f t="shared" si="2"/>
        <v>9525.4359999999997</v>
      </c>
      <c r="I23" s="127"/>
      <c r="J23" s="258">
        <f t="shared" si="1"/>
        <v>42884.514999999999</v>
      </c>
      <c r="K23" s="258">
        <f t="shared" si="1"/>
        <v>29241.617999999995</v>
      </c>
      <c r="L23" s="258">
        <f t="shared" si="1"/>
        <v>8552.0150000000012</v>
      </c>
      <c r="M23" s="258">
        <f t="shared" si="1"/>
        <v>80678.148000000001</v>
      </c>
      <c r="N23" s="258">
        <f t="shared" si="1"/>
        <v>139.416</v>
      </c>
      <c r="O23" s="259">
        <f t="shared" si="1"/>
        <v>80817.563999999998</v>
      </c>
    </row>
    <row r="24" spans="2:25" ht="12" customHeight="1">
      <c r="B24" s="128" t="s">
        <v>96</v>
      </c>
      <c r="C24" s="258">
        <f t="shared" si="2"/>
        <v>4728.2020000000002</v>
      </c>
      <c r="D24" s="258">
        <f t="shared" si="2"/>
        <v>3590.8690000000001</v>
      </c>
      <c r="E24" s="258">
        <f t="shared" si="2"/>
        <v>1189.002</v>
      </c>
      <c r="F24" s="260">
        <f t="shared" si="2"/>
        <v>9508.0730000000003</v>
      </c>
      <c r="G24" s="258">
        <f t="shared" si="2"/>
        <v>17.364999999999998</v>
      </c>
      <c r="H24" s="259">
        <f t="shared" si="2"/>
        <v>9525.4380000000001</v>
      </c>
      <c r="I24" s="127"/>
      <c r="J24" s="258">
        <f t="shared" si="1"/>
        <v>47612.716999999997</v>
      </c>
      <c r="K24" s="258">
        <f t="shared" si="1"/>
        <v>32832.486999999994</v>
      </c>
      <c r="L24" s="258">
        <f t="shared" si="1"/>
        <v>9741.0170000000016</v>
      </c>
      <c r="M24" s="258">
        <f t="shared" si="1"/>
        <v>90186.221000000005</v>
      </c>
      <c r="N24" s="258">
        <f t="shared" si="1"/>
        <v>156.78100000000001</v>
      </c>
      <c r="O24" s="259">
        <f t="shared" si="1"/>
        <v>90343.001999999993</v>
      </c>
    </row>
    <row r="25" spans="2:25" ht="12" customHeight="1">
      <c r="B25" s="128" t="s">
        <v>97</v>
      </c>
      <c r="C25" s="258">
        <f t="shared" si="2"/>
        <v>4728.2</v>
      </c>
      <c r="D25" s="258">
        <f t="shared" si="2"/>
        <v>3590.8710000000001</v>
      </c>
      <c r="E25" s="258">
        <f t="shared" si="2"/>
        <v>1188.8399999999999</v>
      </c>
      <c r="F25" s="260">
        <f t="shared" si="2"/>
        <v>9507.9110000000001</v>
      </c>
      <c r="G25" s="258">
        <f t="shared" si="2"/>
        <v>17.364999999999998</v>
      </c>
      <c r="H25" s="259">
        <f t="shared" si="2"/>
        <v>9525.2759999999998</v>
      </c>
      <c r="I25" s="127"/>
      <c r="J25" s="258">
        <f t="shared" si="1"/>
        <v>52340.916999999994</v>
      </c>
      <c r="K25" s="258">
        <f t="shared" si="1"/>
        <v>36423.357999999993</v>
      </c>
      <c r="L25" s="258">
        <f t="shared" si="1"/>
        <v>10929.857000000002</v>
      </c>
      <c r="M25" s="258">
        <f t="shared" si="1"/>
        <v>99694.132000000012</v>
      </c>
      <c r="N25" s="258">
        <f t="shared" si="1"/>
        <v>174.14600000000002</v>
      </c>
      <c r="O25" s="259">
        <f t="shared" si="1"/>
        <v>99868.277999999991</v>
      </c>
    </row>
    <row r="26" spans="2:25" ht="12" customHeight="1">
      <c r="B26" s="128" t="s">
        <v>98</v>
      </c>
      <c r="C26" s="258">
        <f t="shared" si="2"/>
        <v>4728.2020000000002</v>
      </c>
      <c r="D26" s="258">
        <f t="shared" si="2"/>
        <v>3590.8690000000001</v>
      </c>
      <c r="E26" s="258">
        <f t="shared" si="2"/>
        <v>1189.0029999999999</v>
      </c>
      <c r="F26" s="260">
        <f t="shared" si="2"/>
        <v>9508.0740000000005</v>
      </c>
      <c r="G26" s="258">
        <f t="shared" si="2"/>
        <v>17.364000000000001</v>
      </c>
      <c r="H26" s="259">
        <f t="shared" si="2"/>
        <v>9525.4380000000001</v>
      </c>
      <c r="I26" s="127"/>
      <c r="J26" s="258">
        <f t="shared" si="1"/>
        <v>57069.118999999992</v>
      </c>
      <c r="K26" s="258">
        <f t="shared" si="1"/>
        <v>40014.226999999992</v>
      </c>
      <c r="L26" s="258">
        <f t="shared" si="1"/>
        <v>12118.860000000002</v>
      </c>
      <c r="M26" s="258">
        <f t="shared" si="1"/>
        <v>109202.20600000001</v>
      </c>
      <c r="N26" s="258">
        <f t="shared" si="1"/>
        <v>191.51000000000002</v>
      </c>
      <c r="O26" s="259">
        <f t="shared" si="1"/>
        <v>109393.71599999999</v>
      </c>
    </row>
    <row r="27" spans="2:25" ht="12" customHeight="1">
      <c r="B27" s="128" t="s">
        <v>99</v>
      </c>
      <c r="C27" s="258">
        <f t="shared" si="2"/>
        <v>4728.2020000000002</v>
      </c>
      <c r="D27" s="258">
        <f t="shared" si="2"/>
        <v>3590.8690000000001</v>
      </c>
      <c r="E27" s="258">
        <f t="shared" si="2"/>
        <v>1189</v>
      </c>
      <c r="F27" s="260">
        <f t="shared" si="2"/>
        <v>9508.0709999999999</v>
      </c>
      <c r="G27" s="258">
        <f t="shared" si="2"/>
        <v>17.364999999999998</v>
      </c>
      <c r="H27" s="259">
        <f t="shared" si="2"/>
        <v>9525.4359999999997</v>
      </c>
      <c r="I27" s="127"/>
      <c r="J27" s="258">
        <f t="shared" si="1"/>
        <v>61797.320999999989</v>
      </c>
      <c r="K27" s="258">
        <f t="shared" si="1"/>
        <v>43605.09599999999</v>
      </c>
      <c r="L27" s="258">
        <f t="shared" si="1"/>
        <v>13307.860000000002</v>
      </c>
      <c r="M27" s="258">
        <f t="shared" si="1"/>
        <v>118710.277</v>
      </c>
      <c r="N27" s="258">
        <f t="shared" si="1"/>
        <v>208.87500000000003</v>
      </c>
      <c r="O27" s="259">
        <f t="shared" si="1"/>
        <v>118919.15199999999</v>
      </c>
    </row>
    <row r="28" spans="2:25" ht="12" customHeight="1">
      <c r="B28" s="128"/>
      <c r="Y28" s="129"/>
    </row>
    <row r="29" spans="2:25" ht="13.5" customHeight="1" thickBot="1">
      <c r="B29" s="124">
        <f>Año_seleccionado_C.2.3</f>
        <v>2024</v>
      </c>
      <c r="C29" s="125"/>
      <c r="D29" s="125"/>
      <c r="E29" s="125"/>
      <c r="F29" s="125"/>
      <c r="G29" s="125"/>
      <c r="H29" s="130"/>
      <c r="I29" s="127"/>
      <c r="J29" s="125"/>
      <c r="K29" s="125"/>
      <c r="L29" s="125"/>
      <c r="M29" s="125"/>
      <c r="N29" s="125"/>
      <c r="O29" s="130"/>
    </row>
    <row r="30" spans="2:25" ht="6" customHeight="1">
      <c r="B30" s="128"/>
      <c r="C30" s="125"/>
      <c r="D30" s="125"/>
      <c r="E30" s="125"/>
      <c r="F30" s="125"/>
      <c r="G30" s="125"/>
      <c r="H30" s="130"/>
      <c r="I30" s="127"/>
      <c r="J30" s="125"/>
      <c r="K30" s="125"/>
      <c r="L30" s="125"/>
      <c r="M30" s="125"/>
      <c r="N30" s="125"/>
      <c r="O30" s="130"/>
    </row>
    <row r="31" spans="2:25" ht="12" customHeight="1">
      <c r="B31" s="128" t="s">
        <v>88</v>
      </c>
      <c r="C31" s="258">
        <f>IF($T117="SI"," ",W117)</f>
        <v>4874.1540000000005</v>
      </c>
      <c r="D31" s="258">
        <f t="shared" ref="D31:H40" si="3">IF($T117="SI"," ",X117)</f>
        <v>3591.33</v>
      </c>
      <c r="E31" s="258">
        <f t="shared" si="3"/>
        <v>1189.1469999999999</v>
      </c>
      <c r="F31" s="260">
        <f t="shared" si="3"/>
        <v>9654.6309999999994</v>
      </c>
      <c r="G31" s="258">
        <f t="shared" si="3"/>
        <v>165.31200000000001</v>
      </c>
      <c r="H31" s="259">
        <f t="shared" si="3"/>
        <v>9819.9429999999993</v>
      </c>
      <c r="I31" s="127"/>
      <c r="J31" s="258">
        <f t="shared" ref="J31:O42" si="4">IF($T117="SI"," ",AD117)</f>
        <v>4874.1540000000005</v>
      </c>
      <c r="K31" s="258">
        <f t="shared" si="4"/>
        <v>3591.33</v>
      </c>
      <c r="L31" s="258">
        <f t="shared" si="4"/>
        <v>1189.1469999999999</v>
      </c>
      <c r="M31" s="258">
        <f t="shared" si="4"/>
        <v>9654.6309999999994</v>
      </c>
      <c r="N31" s="258">
        <f t="shared" si="4"/>
        <v>165.31200000000001</v>
      </c>
      <c r="O31" s="259">
        <f t="shared" si="4"/>
        <v>9819.9429999999993</v>
      </c>
    </row>
    <row r="32" spans="2:25" ht="12" customHeight="1">
      <c r="B32" s="128" t="s">
        <v>89</v>
      </c>
      <c r="C32" s="258">
        <f t="shared" ref="C32:H42" si="5">IF($T118="SI"," ",W118)</f>
        <v>4874.1530000000002</v>
      </c>
      <c r="D32" s="258">
        <f t="shared" si="3"/>
        <v>3591.33</v>
      </c>
      <c r="E32" s="258">
        <f t="shared" si="3"/>
        <v>1189.1469999999999</v>
      </c>
      <c r="F32" s="260">
        <f t="shared" si="3"/>
        <v>9654.6299999999992</v>
      </c>
      <c r="G32" s="258">
        <f t="shared" si="3"/>
        <v>18.725999999999999</v>
      </c>
      <c r="H32" s="259">
        <f t="shared" si="3"/>
        <v>9673.3559999999998</v>
      </c>
      <c r="I32" s="127"/>
      <c r="J32" s="258">
        <f t="shared" si="4"/>
        <v>9748.3070000000007</v>
      </c>
      <c r="K32" s="258">
        <f t="shared" si="4"/>
        <v>7182.66</v>
      </c>
      <c r="L32" s="258">
        <f t="shared" si="4"/>
        <v>2378.2939999999999</v>
      </c>
      <c r="M32" s="258">
        <f t="shared" si="4"/>
        <v>19309.260999999999</v>
      </c>
      <c r="N32" s="258">
        <f t="shared" si="4"/>
        <v>184.03800000000001</v>
      </c>
      <c r="O32" s="259">
        <f t="shared" si="4"/>
        <v>19493.298999999999</v>
      </c>
    </row>
    <row r="33" spans="2:26" ht="12" customHeight="1">
      <c r="B33" s="128" t="s">
        <v>90</v>
      </c>
      <c r="C33" s="258" t="str">
        <f t="shared" si="5"/>
        <v xml:space="preserve"> </v>
      </c>
      <c r="D33" s="258" t="str">
        <f t="shared" si="3"/>
        <v xml:space="preserve"> </v>
      </c>
      <c r="E33" s="258" t="str">
        <f t="shared" si="3"/>
        <v xml:space="preserve"> </v>
      </c>
      <c r="F33" s="260" t="str">
        <f t="shared" si="3"/>
        <v xml:space="preserve"> </v>
      </c>
      <c r="G33" s="258" t="str">
        <f t="shared" si="3"/>
        <v xml:space="preserve"> </v>
      </c>
      <c r="H33" s="259" t="str">
        <f t="shared" si="3"/>
        <v xml:space="preserve"> </v>
      </c>
      <c r="I33" s="127"/>
      <c r="J33" s="258" t="str">
        <f t="shared" si="4"/>
        <v xml:space="preserve"> </v>
      </c>
      <c r="K33" s="258" t="str">
        <f t="shared" si="4"/>
        <v xml:space="preserve"> </v>
      </c>
      <c r="L33" s="258" t="str">
        <f t="shared" si="4"/>
        <v xml:space="preserve"> </v>
      </c>
      <c r="M33" s="258" t="str">
        <f t="shared" si="4"/>
        <v xml:space="preserve"> </v>
      </c>
      <c r="N33" s="258" t="str">
        <f t="shared" si="4"/>
        <v xml:space="preserve"> </v>
      </c>
      <c r="O33" s="259" t="str">
        <f t="shared" si="4"/>
        <v xml:space="preserve"> </v>
      </c>
      <c r="S33" s="129"/>
      <c r="Z33" s="129"/>
    </row>
    <row r="34" spans="2:26" ht="12" customHeight="1">
      <c r="B34" s="128" t="s">
        <v>91</v>
      </c>
      <c r="C34" s="258" t="str">
        <f t="shared" si="5"/>
        <v xml:space="preserve"> </v>
      </c>
      <c r="D34" s="258" t="str">
        <f t="shared" si="3"/>
        <v xml:space="preserve"> </v>
      </c>
      <c r="E34" s="258" t="str">
        <f t="shared" si="3"/>
        <v xml:space="preserve"> </v>
      </c>
      <c r="F34" s="260" t="str">
        <f t="shared" si="3"/>
        <v xml:space="preserve"> </v>
      </c>
      <c r="G34" s="258" t="str">
        <f t="shared" si="3"/>
        <v xml:space="preserve"> </v>
      </c>
      <c r="H34" s="259" t="str">
        <f t="shared" si="3"/>
        <v xml:space="preserve"> </v>
      </c>
      <c r="I34" s="127"/>
      <c r="J34" s="258" t="str">
        <f t="shared" si="4"/>
        <v xml:space="preserve"> </v>
      </c>
      <c r="K34" s="258" t="str">
        <f t="shared" si="4"/>
        <v xml:space="preserve"> </v>
      </c>
      <c r="L34" s="258" t="str">
        <f t="shared" si="4"/>
        <v xml:space="preserve"> </v>
      </c>
      <c r="M34" s="258" t="str">
        <f t="shared" si="4"/>
        <v xml:space="preserve"> </v>
      </c>
      <c r="N34" s="258" t="str">
        <f t="shared" si="4"/>
        <v xml:space="preserve"> </v>
      </c>
      <c r="O34" s="259" t="str">
        <f t="shared" si="4"/>
        <v xml:space="preserve"> </v>
      </c>
      <c r="S34" s="129"/>
      <c r="Z34" s="129"/>
    </row>
    <row r="35" spans="2:26" ht="12" customHeight="1">
      <c r="B35" s="128" t="s">
        <v>92</v>
      </c>
      <c r="C35" s="258" t="str">
        <f t="shared" si="5"/>
        <v xml:space="preserve"> </v>
      </c>
      <c r="D35" s="258" t="str">
        <f t="shared" si="3"/>
        <v xml:space="preserve"> </v>
      </c>
      <c r="E35" s="258" t="str">
        <f t="shared" si="3"/>
        <v xml:space="preserve"> </v>
      </c>
      <c r="F35" s="260" t="str">
        <f t="shared" si="3"/>
        <v xml:space="preserve"> </v>
      </c>
      <c r="G35" s="258" t="str">
        <f t="shared" si="3"/>
        <v xml:space="preserve"> </v>
      </c>
      <c r="H35" s="259" t="str">
        <f t="shared" si="3"/>
        <v xml:space="preserve"> </v>
      </c>
      <c r="I35" s="127"/>
      <c r="J35" s="258" t="str">
        <f t="shared" si="4"/>
        <v xml:space="preserve"> </v>
      </c>
      <c r="K35" s="258" t="str">
        <f t="shared" si="4"/>
        <v xml:space="preserve"> </v>
      </c>
      <c r="L35" s="258" t="str">
        <f t="shared" si="4"/>
        <v xml:space="preserve"> </v>
      </c>
      <c r="M35" s="258" t="str">
        <f t="shared" si="4"/>
        <v xml:space="preserve"> </v>
      </c>
      <c r="N35" s="258" t="str">
        <f t="shared" si="4"/>
        <v xml:space="preserve"> </v>
      </c>
      <c r="O35" s="259" t="str">
        <f t="shared" si="4"/>
        <v xml:space="preserve"> </v>
      </c>
      <c r="S35" s="129"/>
      <c r="Z35" s="129"/>
    </row>
    <row r="36" spans="2:26" ht="12" customHeight="1">
      <c r="B36" s="128" t="s">
        <v>93</v>
      </c>
      <c r="C36" s="258" t="str">
        <f t="shared" si="5"/>
        <v xml:space="preserve"> </v>
      </c>
      <c r="D36" s="258" t="str">
        <f t="shared" si="3"/>
        <v xml:space="preserve"> </v>
      </c>
      <c r="E36" s="258" t="str">
        <f t="shared" si="3"/>
        <v xml:space="preserve"> </v>
      </c>
      <c r="F36" s="260" t="str">
        <f t="shared" si="3"/>
        <v xml:space="preserve"> </v>
      </c>
      <c r="G36" s="258" t="str">
        <f t="shared" si="3"/>
        <v xml:space="preserve"> </v>
      </c>
      <c r="H36" s="259" t="str">
        <f t="shared" si="3"/>
        <v xml:space="preserve"> </v>
      </c>
      <c r="I36" s="127"/>
      <c r="J36" s="258" t="str">
        <f t="shared" si="4"/>
        <v xml:space="preserve"> </v>
      </c>
      <c r="K36" s="258" t="str">
        <f t="shared" si="4"/>
        <v xml:space="preserve"> </v>
      </c>
      <c r="L36" s="258" t="str">
        <f t="shared" si="4"/>
        <v xml:space="preserve"> </v>
      </c>
      <c r="M36" s="258" t="str">
        <f t="shared" si="4"/>
        <v xml:space="preserve"> </v>
      </c>
      <c r="N36" s="258" t="str">
        <f t="shared" si="4"/>
        <v xml:space="preserve"> </v>
      </c>
      <c r="O36" s="259" t="str">
        <f t="shared" si="4"/>
        <v xml:space="preserve"> </v>
      </c>
      <c r="S36" s="129"/>
      <c r="Z36" s="129"/>
    </row>
    <row r="37" spans="2:26" ht="12" customHeight="1">
      <c r="B37" s="128" t="s">
        <v>94</v>
      </c>
      <c r="C37" s="258" t="str">
        <f t="shared" si="5"/>
        <v xml:space="preserve"> </v>
      </c>
      <c r="D37" s="258" t="str">
        <f t="shared" si="3"/>
        <v xml:space="preserve"> </v>
      </c>
      <c r="E37" s="258" t="str">
        <f t="shared" si="3"/>
        <v xml:space="preserve"> </v>
      </c>
      <c r="F37" s="260" t="str">
        <f t="shared" si="3"/>
        <v xml:space="preserve"> </v>
      </c>
      <c r="G37" s="258" t="str">
        <f t="shared" si="3"/>
        <v xml:space="preserve"> </v>
      </c>
      <c r="H37" s="259" t="str">
        <f t="shared" si="3"/>
        <v xml:space="preserve"> </v>
      </c>
      <c r="I37" s="127"/>
      <c r="J37" s="258" t="str">
        <f t="shared" si="4"/>
        <v xml:space="preserve"> </v>
      </c>
      <c r="K37" s="258" t="str">
        <f t="shared" si="4"/>
        <v xml:space="preserve"> </v>
      </c>
      <c r="L37" s="258" t="str">
        <f t="shared" si="4"/>
        <v xml:space="preserve"> </v>
      </c>
      <c r="M37" s="258" t="str">
        <f t="shared" si="4"/>
        <v xml:space="preserve"> </v>
      </c>
      <c r="N37" s="258" t="str">
        <f t="shared" si="4"/>
        <v xml:space="preserve"> </v>
      </c>
      <c r="O37" s="259" t="str">
        <f t="shared" si="4"/>
        <v xml:space="preserve"> </v>
      </c>
      <c r="S37" s="129"/>
      <c r="Z37" s="129"/>
    </row>
    <row r="38" spans="2:26" ht="12" customHeight="1">
      <c r="B38" s="128" t="s">
        <v>95</v>
      </c>
      <c r="C38" s="258" t="str">
        <f t="shared" si="5"/>
        <v xml:space="preserve"> </v>
      </c>
      <c r="D38" s="258" t="str">
        <f t="shared" si="3"/>
        <v xml:space="preserve"> </v>
      </c>
      <c r="E38" s="258" t="str">
        <f t="shared" si="3"/>
        <v xml:space="preserve"> </v>
      </c>
      <c r="F38" s="260" t="str">
        <f t="shared" si="3"/>
        <v xml:space="preserve"> </v>
      </c>
      <c r="G38" s="258" t="str">
        <f t="shared" si="3"/>
        <v xml:space="preserve"> </v>
      </c>
      <c r="H38" s="259" t="str">
        <f t="shared" si="3"/>
        <v xml:space="preserve"> </v>
      </c>
      <c r="I38" s="127"/>
      <c r="J38" s="258" t="str">
        <f t="shared" si="4"/>
        <v xml:space="preserve"> </v>
      </c>
      <c r="K38" s="258" t="str">
        <f t="shared" si="4"/>
        <v xml:space="preserve"> </v>
      </c>
      <c r="L38" s="258" t="str">
        <f t="shared" si="4"/>
        <v xml:space="preserve"> </v>
      </c>
      <c r="M38" s="258" t="str">
        <f t="shared" si="4"/>
        <v xml:space="preserve"> </v>
      </c>
      <c r="N38" s="258" t="str">
        <f t="shared" si="4"/>
        <v xml:space="preserve"> </v>
      </c>
      <c r="O38" s="259" t="str">
        <f t="shared" si="4"/>
        <v xml:space="preserve"> </v>
      </c>
      <c r="Z38" s="129"/>
    </row>
    <row r="39" spans="2:26" ht="12" customHeight="1">
      <c r="B39" s="128" t="s">
        <v>96</v>
      </c>
      <c r="C39" s="258" t="str">
        <f t="shared" si="5"/>
        <v xml:space="preserve"> </v>
      </c>
      <c r="D39" s="258" t="str">
        <f t="shared" si="3"/>
        <v xml:space="preserve"> </v>
      </c>
      <c r="E39" s="258" t="str">
        <f t="shared" si="3"/>
        <v xml:space="preserve"> </v>
      </c>
      <c r="F39" s="260" t="str">
        <f t="shared" si="3"/>
        <v xml:space="preserve"> </v>
      </c>
      <c r="G39" s="258" t="str">
        <f t="shared" si="3"/>
        <v xml:space="preserve"> </v>
      </c>
      <c r="H39" s="259" t="str">
        <f t="shared" si="3"/>
        <v xml:space="preserve"> </v>
      </c>
      <c r="I39" s="127"/>
      <c r="J39" s="258" t="str">
        <f t="shared" si="4"/>
        <v xml:space="preserve"> </v>
      </c>
      <c r="K39" s="258" t="str">
        <f t="shared" si="4"/>
        <v xml:space="preserve"> </v>
      </c>
      <c r="L39" s="258" t="str">
        <f t="shared" si="4"/>
        <v xml:space="preserve"> </v>
      </c>
      <c r="M39" s="258" t="str">
        <f t="shared" si="4"/>
        <v xml:space="preserve"> </v>
      </c>
      <c r="N39" s="258" t="str">
        <f t="shared" si="4"/>
        <v xml:space="preserve"> </v>
      </c>
      <c r="O39" s="259" t="str">
        <f t="shared" si="4"/>
        <v xml:space="preserve"> </v>
      </c>
      <c r="S39" s="129"/>
      <c r="Z39" s="129"/>
    </row>
    <row r="40" spans="2:26" ht="12" customHeight="1">
      <c r="B40" s="128" t="s">
        <v>97</v>
      </c>
      <c r="C40" s="258" t="str">
        <f t="shared" si="5"/>
        <v xml:space="preserve"> </v>
      </c>
      <c r="D40" s="258" t="str">
        <f t="shared" si="3"/>
        <v xml:space="preserve"> </v>
      </c>
      <c r="E40" s="258" t="str">
        <f t="shared" si="3"/>
        <v xml:space="preserve"> </v>
      </c>
      <c r="F40" s="260" t="str">
        <f t="shared" si="3"/>
        <v xml:space="preserve"> </v>
      </c>
      <c r="G40" s="258" t="str">
        <f t="shared" si="3"/>
        <v xml:space="preserve"> </v>
      </c>
      <c r="H40" s="259" t="str">
        <f t="shared" si="3"/>
        <v xml:space="preserve"> </v>
      </c>
      <c r="I40" s="127"/>
      <c r="J40" s="258" t="str">
        <f t="shared" si="4"/>
        <v xml:space="preserve"> </v>
      </c>
      <c r="K40" s="258" t="str">
        <f t="shared" si="4"/>
        <v xml:space="preserve"> </v>
      </c>
      <c r="L40" s="258" t="str">
        <f t="shared" si="4"/>
        <v xml:space="preserve"> </v>
      </c>
      <c r="M40" s="258" t="str">
        <f t="shared" si="4"/>
        <v xml:space="preserve"> </v>
      </c>
      <c r="N40" s="258" t="str">
        <f t="shared" si="4"/>
        <v xml:space="preserve"> </v>
      </c>
      <c r="O40" s="259" t="str">
        <f t="shared" si="4"/>
        <v xml:space="preserve"> </v>
      </c>
      <c r="S40" s="129"/>
      <c r="Z40" s="129"/>
    </row>
    <row r="41" spans="2:26" ht="12" customHeight="1">
      <c r="B41" s="128" t="s">
        <v>98</v>
      </c>
      <c r="C41" s="258" t="str">
        <f t="shared" si="5"/>
        <v xml:space="preserve"> </v>
      </c>
      <c r="D41" s="258" t="str">
        <f t="shared" si="5"/>
        <v xml:space="preserve"> </v>
      </c>
      <c r="E41" s="258" t="str">
        <f t="shared" si="5"/>
        <v xml:space="preserve"> </v>
      </c>
      <c r="F41" s="260" t="str">
        <f t="shared" si="5"/>
        <v xml:space="preserve"> </v>
      </c>
      <c r="G41" s="258" t="str">
        <f t="shared" si="5"/>
        <v xml:space="preserve"> </v>
      </c>
      <c r="H41" s="259" t="str">
        <f t="shared" si="5"/>
        <v xml:space="preserve"> </v>
      </c>
      <c r="I41"/>
      <c r="J41" s="258" t="str">
        <f t="shared" si="4"/>
        <v xml:space="preserve"> </v>
      </c>
      <c r="K41" s="258" t="str">
        <f t="shared" si="4"/>
        <v xml:space="preserve"> </v>
      </c>
      <c r="L41" s="258" t="str">
        <f t="shared" si="4"/>
        <v xml:space="preserve"> </v>
      </c>
      <c r="M41" s="258" t="str">
        <f t="shared" si="4"/>
        <v xml:space="preserve"> </v>
      </c>
      <c r="N41" s="258" t="str">
        <f t="shared" si="4"/>
        <v xml:space="preserve"> </v>
      </c>
      <c r="O41" s="259" t="str">
        <f t="shared" si="4"/>
        <v xml:space="preserve"> </v>
      </c>
      <c r="S41" s="129"/>
      <c r="Z41" s="129"/>
    </row>
    <row r="42" spans="2:26" ht="12" customHeight="1">
      <c r="B42" s="128" t="s">
        <v>99</v>
      </c>
      <c r="C42" s="258" t="str">
        <f t="shared" si="5"/>
        <v xml:space="preserve"> </v>
      </c>
      <c r="D42" s="258" t="str">
        <f t="shared" si="5"/>
        <v xml:space="preserve"> </v>
      </c>
      <c r="E42" s="258" t="str">
        <f t="shared" si="5"/>
        <v xml:space="preserve"> </v>
      </c>
      <c r="F42" s="260" t="str">
        <f t="shared" si="5"/>
        <v xml:space="preserve"> </v>
      </c>
      <c r="G42" s="258" t="str">
        <f t="shared" si="5"/>
        <v xml:space="preserve"> </v>
      </c>
      <c r="H42" s="259" t="str">
        <f t="shared" si="5"/>
        <v xml:space="preserve"> </v>
      </c>
      <c r="I42"/>
      <c r="J42" s="258" t="str">
        <f t="shared" si="4"/>
        <v xml:space="preserve"> </v>
      </c>
      <c r="K42" s="258" t="str">
        <f t="shared" si="4"/>
        <v xml:space="preserve"> </v>
      </c>
      <c r="L42" s="258" t="str">
        <f t="shared" si="4"/>
        <v xml:space="preserve"> </v>
      </c>
      <c r="M42" s="258" t="str">
        <f t="shared" si="4"/>
        <v xml:space="preserve"> </v>
      </c>
      <c r="N42" s="258" t="str">
        <f t="shared" si="4"/>
        <v xml:space="preserve"> </v>
      </c>
      <c r="O42" s="259" t="str">
        <f t="shared" si="4"/>
        <v xml:space="preserve"> </v>
      </c>
      <c r="S42" s="129"/>
      <c r="Z42" s="129"/>
    </row>
    <row r="43" spans="2:26" ht="12" customHeight="1">
      <c r="B43" s="128"/>
      <c r="C43" s="125"/>
      <c r="D43" s="125"/>
      <c r="E43" s="125"/>
      <c r="F43" s="125"/>
      <c r="G43" s="125"/>
      <c r="H43" s="131"/>
      <c r="I43" s="127"/>
      <c r="J43" s="125"/>
      <c r="K43" s="125"/>
      <c r="L43" s="125"/>
      <c r="M43" s="125"/>
      <c r="N43" s="125"/>
      <c r="O43" s="131"/>
      <c r="S43" s="129"/>
      <c r="Z43" s="129"/>
    </row>
    <row r="44" spans="2:26" ht="11.1" customHeight="1">
      <c r="B44" s="19"/>
      <c r="C44" s="336" t="s">
        <v>100</v>
      </c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S44" s="129"/>
      <c r="Y44" s="129"/>
      <c r="Z44" s="129"/>
    </row>
    <row r="45" spans="2:26" ht="11.1" customHeight="1" thickBot="1">
      <c r="B45" s="19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S45" s="129"/>
    </row>
    <row r="46" spans="2:26" ht="18" customHeight="1" thickTop="1">
      <c r="B46" s="19"/>
      <c r="C46" s="347" t="s">
        <v>149</v>
      </c>
      <c r="D46" s="348"/>
      <c r="E46" s="348"/>
      <c r="F46" s="348"/>
      <c r="G46" s="349" t="s">
        <v>150</v>
      </c>
      <c r="H46" s="349"/>
      <c r="I46" s="117"/>
      <c r="J46" s="347" t="s">
        <v>149</v>
      </c>
      <c r="K46" s="348"/>
      <c r="L46" s="348"/>
      <c r="M46" s="348"/>
      <c r="N46" s="349" t="s">
        <v>150</v>
      </c>
      <c r="O46" s="349"/>
      <c r="S46" s="129"/>
    </row>
    <row r="47" spans="2:26" ht="6" customHeight="1">
      <c r="B47" s="19"/>
      <c r="C47" s="117"/>
      <c r="D47" s="118"/>
      <c r="E47" s="118"/>
      <c r="F47" s="118"/>
      <c r="G47" s="118"/>
      <c r="H47" s="118"/>
      <c r="I47" s="118"/>
      <c r="J47" s="117"/>
      <c r="K47" s="117"/>
      <c r="L47" s="117"/>
      <c r="M47" s="117"/>
      <c r="N47" s="117"/>
      <c r="O47" s="117"/>
    </row>
    <row r="48" spans="2:26" ht="12" customHeight="1">
      <c r="B48" s="19"/>
      <c r="C48" s="120" t="s">
        <v>83</v>
      </c>
      <c r="D48" s="120" t="s">
        <v>85</v>
      </c>
      <c r="E48" s="120" t="s">
        <v>86</v>
      </c>
      <c r="F48" s="120" t="s">
        <v>87</v>
      </c>
      <c r="G48" s="120" t="s">
        <v>83</v>
      </c>
      <c r="H48" s="121" t="s">
        <v>87</v>
      </c>
      <c r="I48" s="20"/>
      <c r="J48" s="120" t="s">
        <v>83</v>
      </c>
      <c r="K48" s="120" t="s">
        <v>85</v>
      </c>
      <c r="L48" s="120" t="s">
        <v>86</v>
      </c>
      <c r="M48" s="120" t="s">
        <v>87</v>
      </c>
      <c r="N48" s="120" t="s">
        <v>83</v>
      </c>
      <c r="O48" s="121" t="s">
        <v>87</v>
      </c>
      <c r="S48" s="129"/>
    </row>
    <row r="49" spans="2:26" ht="6" customHeight="1">
      <c r="B49" s="19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</row>
    <row r="50" spans="2:26" ht="13.5" customHeight="1">
      <c r="B50" s="132">
        <f t="shared" ref="B50:B52" si="6">B51-1</f>
        <v>2019</v>
      </c>
      <c r="C50" s="133">
        <f t="shared" ref="C50:H54" si="7">U67</f>
        <v>8.2918466261834194</v>
      </c>
      <c r="D50" s="133">
        <f t="shared" si="7"/>
        <v>-2.5805677959300408</v>
      </c>
      <c r="E50" s="133">
        <f t="shared" si="7"/>
        <v>7.3390367303228325</v>
      </c>
      <c r="F50" s="135">
        <f t="shared" si="7"/>
        <v>3.8493365947383213</v>
      </c>
      <c r="G50" s="133">
        <f t="shared" si="7"/>
        <v>6.5207547759015005</v>
      </c>
      <c r="H50" s="134">
        <f t="shared" si="7"/>
        <v>3.8567264064694093</v>
      </c>
      <c r="I50" s="135"/>
      <c r="J50" s="133">
        <f t="shared" ref="J50:O54" si="8">U67</f>
        <v>8.2918466261834194</v>
      </c>
      <c r="K50" s="133">
        <f t="shared" si="8"/>
        <v>-2.5805677959300408</v>
      </c>
      <c r="L50" s="133">
        <f t="shared" si="8"/>
        <v>7.3390367303228325</v>
      </c>
      <c r="M50" s="135">
        <f t="shared" si="8"/>
        <v>3.8493365947383213</v>
      </c>
      <c r="N50" s="133">
        <f t="shared" si="8"/>
        <v>6.5207547759015005</v>
      </c>
      <c r="O50" s="134">
        <f t="shared" si="8"/>
        <v>3.8567264064694093</v>
      </c>
    </row>
    <row r="51" spans="2:26" ht="13.5" customHeight="1">
      <c r="B51" s="132">
        <f t="shared" si="6"/>
        <v>2020</v>
      </c>
      <c r="C51" s="133">
        <f t="shared" si="7"/>
        <v>11.083668333151198</v>
      </c>
      <c r="D51" s="133">
        <f t="shared" si="7"/>
        <v>5.4222926254560875</v>
      </c>
      <c r="E51" s="133">
        <f t="shared" si="7"/>
        <v>-2.1746610626108409</v>
      </c>
      <c r="F51" s="135">
        <f t="shared" si="7"/>
        <v>7.0289754969668623</v>
      </c>
      <c r="G51" s="133">
        <f t="shared" si="7"/>
        <v>53.458757654267153</v>
      </c>
      <c r="H51" s="134">
        <f t="shared" si="7"/>
        <v>7.1607064240931608</v>
      </c>
      <c r="I51" s="135"/>
      <c r="J51" s="133">
        <f t="shared" si="8"/>
        <v>11.083668333151198</v>
      </c>
      <c r="K51" s="133">
        <f t="shared" si="8"/>
        <v>5.4222926254560875</v>
      </c>
      <c r="L51" s="133">
        <f t="shared" si="8"/>
        <v>-2.1746610626108409</v>
      </c>
      <c r="M51" s="135">
        <f t="shared" si="8"/>
        <v>7.0289754969668623</v>
      </c>
      <c r="N51" s="133">
        <f t="shared" si="8"/>
        <v>53.458757654267153</v>
      </c>
      <c r="O51" s="134">
        <f t="shared" si="8"/>
        <v>7.1607064240931608</v>
      </c>
    </row>
    <row r="52" spans="2:26" ht="13.5" customHeight="1">
      <c r="B52" s="132">
        <f t="shared" si="6"/>
        <v>2021</v>
      </c>
      <c r="C52" s="133">
        <f t="shared" si="7"/>
        <v>-1.4019704966345228</v>
      </c>
      <c r="D52" s="133">
        <f t="shared" si="7"/>
        <v>-3.6909428150069012</v>
      </c>
      <c r="E52" s="133">
        <f t="shared" si="7"/>
        <v>-1.3719516832643688</v>
      </c>
      <c r="F52" s="135">
        <f t="shared" si="7"/>
        <v>-2.2357494545083254</v>
      </c>
      <c r="G52" s="133">
        <f t="shared" si="7"/>
        <v>-52.547347105444764</v>
      </c>
      <c r="H52" s="134">
        <f t="shared" si="7"/>
        <v>-2.4401656594076555</v>
      </c>
      <c r="I52" s="135"/>
      <c r="J52" s="133">
        <f t="shared" si="8"/>
        <v>-1.4019704966345228</v>
      </c>
      <c r="K52" s="133">
        <f t="shared" si="8"/>
        <v>-3.6909428150069012</v>
      </c>
      <c r="L52" s="133">
        <f t="shared" si="8"/>
        <v>-1.3719516832643688</v>
      </c>
      <c r="M52" s="135">
        <f t="shared" si="8"/>
        <v>-2.2357494545083254</v>
      </c>
      <c r="N52" s="133">
        <f t="shared" si="8"/>
        <v>-52.547347105444764</v>
      </c>
      <c r="O52" s="134">
        <f t="shared" si="8"/>
        <v>-2.4401656594076555</v>
      </c>
    </row>
    <row r="53" spans="2:26" ht="13.5" customHeight="1">
      <c r="B53" s="132">
        <f>B54-1</f>
        <v>2022</v>
      </c>
      <c r="C53" s="133">
        <f t="shared" si="7"/>
        <v>0.99688190052346459</v>
      </c>
      <c r="D53" s="133">
        <f t="shared" si="7"/>
        <v>-9.7018753285673967</v>
      </c>
      <c r="E53" s="133">
        <f t="shared" si="7"/>
        <v>-10.619083297506233</v>
      </c>
      <c r="F53" s="135">
        <f t="shared" si="7"/>
        <v>-4.436891594548964</v>
      </c>
      <c r="G53" s="133" t="str">
        <f t="shared" si="7"/>
        <v>-</v>
      </c>
      <c r="H53" s="134">
        <f t="shared" si="7"/>
        <v>-4.1870791281703372</v>
      </c>
      <c r="I53" s="135"/>
      <c r="J53" s="133">
        <f t="shared" si="8"/>
        <v>0.99688190052346459</v>
      </c>
      <c r="K53" s="133">
        <f t="shared" si="8"/>
        <v>-9.7018753285673967</v>
      </c>
      <c r="L53" s="133">
        <f t="shared" si="8"/>
        <v>-10.619083297506233</v>
      </c>
      <c r="M53" s="135">
        <f t="shared" si="8"/>
        <v>-4.436891594548964</v>
      </c>
      <c r="N53" s="133" t="str">
        <f t="shared" si="8"/>
        <v>-</v>
      </c>
      <c r="O53" s="134">
        <f t="shared" si="8"/>
        <v>-4.1870791281703372</v>
      </c>
    </row>
    <row r="54" spans="2:26" ht="13.5" customHeight="1">
      <c r="B54" s="132">
        <f>Año_anterior_seleccionado_C.2.3</f>
        <v>2023</v>
      </c>
      <c r="C54" s="133">
        <f t="shared" si="7"/>
        <v>21.035501251479079</v>
      </c>
      <c r="D54" s="133">
        <f t="shared" si="7"/>
        <v>33.451650715702321</v>
      </c>
      <c r="E54" s="133">
        <f t="shared" si="7"/>
        <v>9.3461454051170207</v>
      </c>
      <c r="F54" s="135">
        <f t="shared" si="7"/>
        <v>23.782371058245559</v>
      </c>
      <c r="G54" s="133">
        <f t="shared" si="7"/>
        <v>-52.646362696555848</v>
      </c>
      <c r="H54" s="134">
        <f t="shared" si="7"/>
        <v>23.432452209077788</v>
      </c>
      <c r="I54" s="135"/>
      <c r="J54" s="133">
        <f t="shared" si="8"/>
        <v>21.035501251479079</v>
      </c>
      <c r="K54" s="133">
        <f t="shared" si="8"/>
        <v>33.451650715702321</v>
      </c>
      <c r="L54" s="133">
        <f t="shared" si="8"/>
        <v>9.3461454051170207</v>
      </c>
      <c r="M54" s="135">
        <f t="shared" si="8"/>
        <v>23.782371058245559</v>
      </c>
      <c r="N54" s="133">
        <f t="shared" si="8"/>
        <v>-52.646362696555848</v>
      </c>
      <c r="O54" s="134">
        <f t="shared" si="8"/>
        <v>23.432452209077788</v>
      </c>
    </row>
    <row r="55" spans="2:26" ht="10.199999999999999" customHeight="1">
      <c r="B55" s="19"/>
      <c r="C55" s="133"/>
      <c r="D55" s="133"/>
      <c r="E55" s="133"/>
      <c r="F55" s="133"/>
      <c r="G55" s="133"/>
      <c r="H55" s="136"/>
      <c r="I55" s="135"/>
      <c r="J55" s="133"/>
      <c r="K55" s="133"/>
      <c r="L55" s="133"/>
      <c r="M55" s="133"/>
      <c r="N55" s="133"/>
      <c r="O55" s="136"/>
    </row>
    <row r="56" spans="2:26" ht="14.4" customHeight="1" thickBot="1">
      <c r="B56" s="116"/>
      <c r="C56" s="335" t="s">
        <v>116</v>
      </c>
      <c r="D56" s="335"/>
      <c r="E56" s="335"/>
      <c r="F56" s="335"/>
      <c r="G56" s="335"/>
      <c r="H56" s="335"/>
      <c r="I56" s="17"/>
      <c r="J56" s="335" t="s">
        <v>73</v>
      </c>
      <c r="K56" s="334"/>
      <c r="L56" s="334"/>
      <c r="M56" s="334"/>
      <c r="N56" s="334"/>
      <c r="O56" s="334"/>
      <c r="U56" s="334" t="s">
        <v>151</v>
      </c>
      <c r="V56" s="335"/>
      <c r="W56" s="335"/>
      <c r="X56" s="335"/>
      <c r="Y56" s="209" t="s">
        <v>152</v>
      </c>
      <c r="Z56" s="210" t="s">
        <v>153</v>
      </c>
    </row>
    <row r="57" spans="2:26" ht="6" customHeight="1">
      <c r="B57" s="116"/>
      <c r="C57" s="117"/>
      <c r="D57" s="118"/>
      <c r="E57" s="118"/>
      <c r="F57" s="118"/>
      <c r="G57" s="118"/>
      <c r="H57" s="118"/>
      <c r="I57" s="118"/>
      <c r="J57" s="117"/>
      <c r="K57" s="117"/>
      <c r="L57" s="117"/>
      <c r="M57" s="117"/>
      <c r="N57" s="117"/>
      <c r="O57" s="117"/>
    </row>
    <row r="58" spans="2:26" ht="13.5" customHeight="1" thickBot="1">
      <c r="B58" s="124">
        <f>Año_anterior_seleccionado_C.2.3</f>
        <v>2023</v>
      </c>
      <c r="C58" s="137"/>
      <c r="D58" s="137"/>
      <c r="E58" s="137"/>
      <c r="F58" s="137"/>
      <c r="G58" s="137"/>
      <c r="H58" s="138"/>
      <c r="I58" s="139"/>
      <c r="J58" s="137"/>
      <c r="K58" s="137"/>
      <c r="L58" s="137"/>
      <c r="M58" s="137"/>
      <c r="N58" s="137"/>
      <c r="O58" s="138"/>
      <c r="U58" s="120" t="s">
        <v>101</v>
      </c>
      <c r="V58" s="120" t="s">
        <v>103</v>
      </c>
      <c r="W58" s="120" t="s">
        <v>104</v>
      </c>
      <c r="X58" s="120" t="s">
        <v>87</v>
      </c>
      <c r="Y58" s="120" t="s">
        <v>101</v>
      </c>
      <c r="Z58" s="140" t="s">
        <v>87</v>
      </c>
    </row>
    <row r="59" spans="2:26" ht="6" customHeight="1">
      <c r="B59" s="141"/>
      <c r="C59" s="137"/>
      <c r="D59" s="137"/>
      <c r="E59" s="137"/>
      <c r="F59" s="137"/>
      <c r="G59" s="137"/>
      <c r="H59" s="138"/>
      <c r="I59" s="139"/>
      <c r="J59" s="137"/>
      <c r="K59" s="137"/>
      <c r="L59" s="137"/>
      <c r="M59" s="137"/>
      <c r="N59" s="137"/>
      <c r="O59" s="138"/>
    </row>
    <row r="60" spans="2:26" ht="12" customHeight="1">
      <c r="B60" s="128" t="s">
        <v>88</v>
      </c>
      <c r="C60" s="142">
        <f>W131</f>
        <v>12.880882094891815</v>
      </c>
      <c r="D60" s="142">
        <f t="shared" ref="D60:H60" si="9">X131</f>
        <v>13.452099572303785</v>
      </c>
      <c r="E60" s="142">
        <f t="shared" si="9"/>
        <v>1.5307290047785056</v>
      </c>
      <c r="F60" s="144">
        <f t="shared" si="9"/>
        <v>11.533767562503835</v>
      </c>
      <c r="G60" s="142">
        <f t="shared" si="9"/>
        <v>-85.886406901371117</v>
      </c>
      <c r="H60" s="143">
        <f t="shared" si="9"/>
        <v>10.131518781501713</v>
      </c>
      <c r="I60" s="144"/>
      <c r="J60" s="142">
        <f t="shared" ref="J60:O71" si="10">AD131</f>
        <v>12.880882094891815</v>
      </c>
      <c r="K60" s="142">
        <f t="shared" si="10"/>
        <v>13.452099572303785</v>
      </c>
      <c r="L60" s="142">
        <f t="shared" si="10"/>
        <v>1.5307290047785056</v>
      </c>
      <c r="M60" s="144">
        <f t="shared" si="10"/>
        <v>11.533767562503835</v>
      </c>
      <c r="N60" s="142">
        <f t="shared" si="10"/>
        <v>-85.886406901371117</v>
      </c>
      <c r="O60" s="143">
        <f t="shared" si="10"/>
        <v>10.131518781501713</v>
      </c>
      <c r="T60" s="145">
        <f>T61-1</f>
        <v>2018</v>
      </c>
      <c r="U60" s="125">
        <f t="shared" ref="U60:U65" si="11">SUMIFS(IRPF_AATT,Años_datos,$T60)/1000</f>
        <v>42622.086000000003</v>
      </c>
      <c r="V60" s="125">
        <f t="shared" ref="V60:V65" si="12">SUMIFS(IVA_AATT,Años_datos,$T60)/1000</f>
        <v>36583.847999999998</v>
      </c>
      <c r="W60" s="125">
        <f t="shared" ref="W60:W65" si="13">SUMIFS(IIEE_AATT_total,Años_datos,$T60)/1000</f>
        <v>13147.72</v>
      </c>
      <c r="X60" s="125">
        <f t="shared" ref="X60:X65" si="14">SUMIFS(Ingresos_totales_AATT,Años_datos,$T60)/1000</f>
        <v>92353.653999999995</v>
      </c>
      <c r="Y60" s="125">
        <f t="shared" ref="Y60:Y65" si="15">-SUMIFS(IRPF_Asig_Iglesia,Años_datos,$T60)/1000</f>
        <v>256.18200000000002</v>
      </c>
      <c r="Z60" s="146">
        <f t="shared" ref="Z60:Z65" si="16">X60+Y60</f>
        <v>92609.835999999996</v>
      </c>
    </row>
    <row r="61" spans="2:26" ht="12" customHeight="1">
      <c r="B61" s="128" t="s">
        <v>89</v>
      </c>
      <c r="C61" s="142">
        <f t="shared" ref="C61:H71" si="17">W132</f>
        <v>12.880834346981674</v>
      </c>
      <c r="D61" s="142">
        <f t="shared" si="17"/>
        <v>13.452167011679894</v>
      </c>
      <c r="E61" s="142">
        <f t="shared" si="17"/>
        <v>1.5302994335133995</v>
      </c>
      <c r="F61" s="144">
        <f t="shared" si="17"/>
        <v>11.533707557409583</v>
      </c>
      <c r="G61" s="142">
        <f t="shared" si="17"/>
        <v>-1.1724530449630022</v>
      </c>
      <c r="H61" s="143">
        <f t="shared" si="17"/>
        <v>11.507573566191919</v>
      </c>
      <c r="I61" s="144"/>
      <c r="J61" s="142">
        <f t="shared" si="10"/>
        <v>12.880858220936744</v>
      </c>
      <c r="K61" s="142">
        <f t="shared" si="10"/>
        <v>13.452133291986506</v>
      </c>
      <c r="L61" s="142">
        <f t="shared" si="10"/>
        <v>1.5305142189625536</v>
      </c>
      <c r="M61" s="144">
        <f t="shared" si="10"/>
        <v>11.533737559954949</v>
      </c>
      <c r="N61" s="142">
        <f t="shared" si="10"/>
        <v>-75.409489888573702</v>
      </c>
      <c r="O61" s="143">
        <f t="shared" si="10"/>
        <v>10.815266909511907</v>
      </c>
      <c r="T61" s="145">
        <f>B50</f>
        <v>2019</v>
      </c>
      <c r="U61" s="125">
        <f t="shared" si="11"/>
        <v>46156.243999999999</v>
      </c>
      <c r="V61" s="125">
        <f t="shared" si="12"/>
        <v>35639.777000000002</v>
      </c>
      <c r="W61" s="125">
        <f t="shared" si="13"/>
        <v>14112.636</v>
      </c>
      <c r="X61" s="125">
        <f t="shared" si="14"/>
        <v>95908.657000000007</v>
      </c>
      <c r="Y61" s="125">
        <f t="shared" si="15"/>
        <v>272.887</v>
      </c>
      <c r="Z61" s="146">
        <f t="shared" si="16"/>
        <v>96181.544000000009</v>
      </c>
    </row>
    <row r="62" spans="2:26" ht="12" customHeight="1">
      <c r="B62" s="128" t="s">
        <v>90</v>
      </c>
      <c r="C62" s="142">
        <f t="shared" si="17"/>
        <v>12.880879019716545</v>
      </c>
      <c r="D62" s="142">
        <f t="shared" si="17"/>
        <v>13.452095322166958</v>
      </c>
      <c r="E62" s="142">
        <f t="shared" si="17"/>
        <v>1.5304728301152104</v>
      </c>
      <c r="F62" s="144">
        <f t="shared" si="17"/>
        <v>11.533729665307501</v>
      </c>
      <c r="G62" s="142">
        <f t="shared" si="17"/>
        <v>-1.1723863183655059</v>
      </c>
      <c r="H62" s="143">
        <f t="shared" si="17"/>
        <v>11.507594284564391</v>
      </c>
      <c r="I62" s="144"/>
      <c r="J62" s="142">
        <f t="shared" si="10"/>
        <v>12.880865153864448</v>
      </c>
      <c r="K62" s="142">
        <f t="shared" si="10"/>
        <v>13.452120635375989</v>
      </c>
      <c r="L62" s="142">
        <f t="shared" si="10"/>
        <v>1.5305004226879533</v>
      </c>
      <c r="M62" s="144">
        <f t="shared" si="10"/>
        <v>11.53373492840549</v>
      </c>
      <c r="N62" s="142">
        <f t="shared" si="10"/>
        <v>-67.238376827572381</v>
      </c>
      <c r="O62" s="143">
        <f t="shared" si="10"/>
        <v>11.045083858397515</v>
      </c>
      <c r="T62" s="145">
        <f>B51</f>
        <v>2020</v>
      </c>
      <c r="U62" s="125">
        <f t="shared" si="11"/>
        <v>51272.048999999999</v>
      </c>
      <c r="V62" s="125">
        <f t="shared" si="12"/>
        <v>37572.269999999997</v>
      </c>
      <c r="W62" s="125">
        <f t="shared" si="13"/>
        <v>13805.734</v>
      </c>
      <c r="X62" s="125">
        <f t="shared" si="14"/>
        <v>102650.053</v>
      </c>
      <c r="Y62" s="125">
        <f t="shared" si="15"/>
        <v>418.76900000000001</v>
      </c>
      <c r="Z62" s="146">
        <f t="shared" si="16"/>
        <v>103068.822</v>
      </c>
    </row>
    <row r="63" spans="2:26" ht="12" customHeight="1">
      <c r="B63" s="128" t="s">
        <v>91</v>
      </c>
      <c r="C63" s="142">
        <f t="shared" si="17"/>
        <v>12.880861296107781</v>
      </c>
      <c r="D63" s="142">
        <f t="shared" si="17"/>
        <v>13.452131166912093</v>
      </c>
      <c r="E63" s="142">
        <f t="shared" si="17"/>
        <v>1.5304689094416348</v>
      </c>
      <c r="F63" s="144">
        <f t="shared" si="17"/>
        <v>11.533729665307501</v>
      </c>
      <c r="G63" s="142">
        <f t="shared" si="17"/>
        <v>-1.166761525327273</v>
      </c>
      <c r="H63" s="143">
        <f t="shared" si="17"/>
        <v>11.507607337976051</v>
      </c>
      <c r="I63" s="144"/>
      <c r="J63" s="142">
        <f t="shared" si="10"/>
        <v>12.880864189425512</v>
      </c>
      <c r="K63" s="142">
        <f t="shared" si="10"/>
        <v>13.452123268260014</v>
      </c>
      <c r="L63" s="142">
        <f t="shared" si="10"/>
        <v>1.5304925443646054</v>
      </c>
      <c r="M63" s="144">
        <f t="shared" si="10"/>
        <v>11.533733612630865</v>
      </c>
      <c r="N63" s="142">
        <f t="shared" si="10"/>
        <v>-60.687440747596042</v>
      </c>
      <c r="O63" s="143">
        <f t="shared" si="10"/>
        <v>11.160354020305101</v>
      </c>
      <c r="T63" s="145">
        <f>B52</f>
        <v>2021</v>
      </c>
      <c r="U63" s="125">
        <f t="shared" si="11"/>
        <v>50553.23</v>
      </c>
      <c r="V63" s="125">
        <f t="shared" si="12"/>
        <v>36185.499000000003</v>
      </c>
      <c r="W63" s="125">
        <f t="shared" si="13"/>
        <v>13616.325999999999</v>
      </c>
      <c r="X63" s="125">
        <f t="shared" si="14"/>
        <v>100355.05499999999</v>
      </c>
      <c r="Y63" s="125">
        <f t="shared" si="15"/>
        <v>198.71700000000001</v>
      </c>
      <c r="Z63" s="146">
        <f t="shared" si="16"/>
        <v>100553.772</v>
      </c>
    </row>
    <row r="64" spans="2:26" ht="12" customHeight="1">
      <c r="B64" s="128" t="s">
        <v>92</v>
      </c>
      <c r="C64" s="142">
        <f t="shared" si="17"/>
        <v>12.880882094891815</v>
      </c>
      <c r="D64" s="142">
        <f t="shared" si="17"/>
        <v>13.452099572303785</v>
      </c>
      <c r="E64" s="142">
        <f t="shared" si="17"/>
        <v>1.5306436132240737</v>
      </c>
      <c r="F64" s="144">
        <f t="shared" si="17"/>
        <v>11.53375583207564</v>
      </c>
      <c r="G64" s="142">
        <f t="shared" si="17"/>
        <v>-1.1780775140857136</v>
      </c>
      <c r="H64" s="143">
        <f t="shared" si="17"/>
        <v>11.507608685091057</v>
      </c>
      <c r="I64" s="144"/>
      <c r="J64" s="142">
        <f t="shared" si="10"/>
        <v>12.880867770518773</v>
      </c>
      <c r="K64" s="142">
        <f t="shared" si="10"/>
        <v>13.452118529068761</v>
      </c>
      <c r="L64" s="142">
        <f t="shared" si="10"/>
        <v>1.530522758110703</v>
      </c>
      <c r="M64" s="144">
        <f t="shared" si="10"/>
        <v>11.53373805651929</v>
      </c>
      <c r="N64" s="142">
        <f t="shared" si="10"/>
        <v>-55.319105242351583</v>
      </c>
      <c r="O64" s="143">
        <f t="shared" si="10"/>
        <v>11.229631518027482</v>
      </c>
      <c r="T64" s="145">
        <f>B53</f>
        <v>2022</v>
      </c>
      <c r="U64" s="125">
        <f t="shared" si="11"/>
        <v>51057.186000000002</v>
      </c>
      <c r="V64" s="125">
        <f t="shared" si="12"/>
        <v>32674.827000000001</v>
      </c>
      <c r="W64" s="125">
        <f t="shared" si="13"/>
        <v>12170.397000000001</v>
      </c>
      <c r="X64" s="125">
        <f t="shared" si="14"/>
        <v>95902.41</v>
      </c>
      <c r="Y64" s="125">
        <f t="shared" si="15"/>
        <v>441.096</v>
      </c>
      <c r="Z64" s="146">
        <f t="shared" si="16"/>
        <v>96343.506000000008</v>
      </c>
    </row>
    <row r="65" spans="2:26" ht="12" customHeight="1">
      <c r="B65" s="128" t="s">
        <v>93</v>
      </c>
      <c r="C65" s="142">
        <f t="shared" si="17"/>
        <v>12.880834346981674</v>
      </c>
      <c r="D65" s="142">
        <f t="shared" si="17"/>
        <v>13.452131166912093</v>
      </c>
      <c r="E65" s="142">
        <f t="shared" si="17"/>
        <v>1.5304689094416348</v>
      </c>
      <c r="F65" s="144">
        <f t="shared" si="17"/>
        <v>11.533716581928037</v>
      </c>
      <c r="G65" s="142">
        <f t="shared" si="17"/>
        <v>0.50085372794536687</v>
      </c>
      <c r="H65" s="143">
        <f t="shared" si="17"/>
        <v>11.511024229576398</v>
      </c>
      <c r="I65" s="144"/>
      <c r="J65" s="142">
        <f t="shared" si="10"/>
        <v>12.880862199929254</v>
      </c>
      <c r="K65" s="142">
        <f t="shared" si="10"/>
        <v>13.452120635375969</v>
      </c>
      <c r="L65" s="142">
        <f t="shared" si="10"/>
        <v>1.530513783319762</v>
      </c>
      <c r="M65" s="144">
        <f t="shared" si="10"/>
        <v>11.533734477420047</v>
      </c>
      <c r="N65" s="142">
        <f t="shared" si="10"/>
        <v>-50.700497765470999</v>
      </c>
      <c r="O65" s="143">
        <f t="shared" si="10"/>
        <v>11.276432674079945</v>
      </c>
      <c r="T65" s="145">
        <f>B54</f>
        <v>2023</v>
      </c>
      <c r="U65" s="125">
        <f t="shared" si="11"/>
        <v>61797.321000000004</v>
      </c>
      <c r="V65" s="125">
        <f t="shared" si="12"/>
        <v>43605.095999999998</v>
      </c>
      <c r="W65" s="125">
        <f t="shared" si="13"/>
        <v>13307.86</v>
      </c>
      <c r="X65" s="125">
        <f t="shared" si="14"/>
        <v>118710.277</v>
      </c>
      <c r="Y65" s="125">
        <f t="shared" si="15"/>
        <v>208.875</v>
      </c>
      <c r="Z65" s="146">
        <f t="shared" si="16"/>
        <v>118919.152</v>
      </c>
    </row>
    <row r="66" spans="2:26" ht="12" customHeight="1">
      <c r="B66" s="128" t="s">
        <v>94</v>
      </c>
      <c r="C66" s="142">
        <f t="shared" si="17"/>
        <v>96.426489890779479</v>
      </c>
      <c r="D66" s="142" t="str">
        <f t="shared" si="17"/>
        <v>-</v>
      </c>
      <c r="E66" s="142" t="str">
        <f t="shared" si="17"/>
        <v>-</v>
      </c>
      <c r="F66" s="144" t="str">
        <f t="shared" si="17"/>
        <v>-</v>
      </c>
      <c r="G66" s="142">
        <f t="shared" si="17"/>
        <v>-1.1723863183655059</v>
      </c>
      <c r="H66" s="143" t="str">
        <f t="shared" si="17"/>
        <v>-</v>
      </c>
      <c r="I66" s="144"/>
      <c r="J66" s="142">
        <f t="shared" si="10"/>
        <v>26.703831401212103</v>
      </c>
      <c r="K66" s="142">
        <f t="shared" si="10"/>
        <v>46.839628209468565</v>
      </c>
      <c r="L66" s="142">
        <f t="shared" si="10"/>
        <v>8.7990209732137519</v>
      </c>
      <c r="M66" s="144">
        <f t="shared" si="10"/>
        <v>30.946128650928983</v>
      </c>
      <c r="N66" s="142">
        <f t="shared" si="10"/>
        <v>-46.915448851774535</v>
      </c>
      <c r="O66" s="143">
        <f t="shared" si="10"/>
        <v>30.618137702585113</v>
      </c>
      <c r="T66" s="147"/>
    </row>
    <row r="67" spans="2:26" ht="12" customHeight="1">
      <c r="B67" s="128" t="s">
        <v>95</v>
      </c>
      <c r="C67" s="142">
        <f t="shared" si="17"/>
        <v>12.880858220936744</v>
      </c>
      <c r="D67" s="142">
        <f t="shared" si="17"/>
        <v>29.397783041321933</v>
      </c>
      <c r="E67" s="142">
        <f t="shared" si="17"/>
        <v>50.155206554793352</v>
      </c>
      <c r="F67" s="144">
        <f t="shared" si="17"/>
        <v>22.596593728176991</v>
      </c>
      <c r="G67" s="142">
        <f t="shared" si="17"/>
        <v>-1.1724530449630022</v>
      </c>
      <c r="H67" s="143">
        <f t="shared" si="17"/>
        <v>22.542867456754319</v>
      </c>
      <c r="I67" s="144"/>
      <c r="J67" s="142">
        <f t="shared" si="10"/>
        <v>25.015949661890485</v>
      </c>
      <c r="K67" s="142">
        <f t="shared" si="10"/>
        <v>44.448640556137939</v>
      </c>
      <c r="L67" s="142">
        <f t="shared" si="10"/>
        <v>13.131094659155487</v>
      </c>
      <c r="M67" s="144">
        <f t="shared" si="10"/>
        <v>29.903472323202866</v>
      </c>
      <c r="N67" s="142">
        <f t="shared" si="10"/>
        <v>-43.668026990989532</v>
      </c>
      <c r="O67" s="143">
        <f t="shared" si="10"/>
        <v>29.611457497827825</v>
      </c>
      <c r="T67" s="145">
        <f>T61</f>
        <v>2019</v>
      </c>
      <c r="U67" s="148">
        <f t="shared" ref="U67:Z71" si="18">IF(U60=0,"-",IF(ABS((U61-U60)/ABS(U60))*100&gt;=100,"-",IF((U61/U60)&lt;0,"-",((U61-U60)/ABS(U60))*100)))</f>
        <v>8.2918466261834194</v>
      </c>
      <c r="V67" s="148">
        <f>IF(V60=0,"-",IF(ABS((V61-V60)/ABS(V60))*100&gt;=100,"-",IF((V61/V60)&lt;0,"-",((V61-V60)/ABS(V60))*100)))</f>
        <v>-2.5805677959300408</v>
      </c>
      <c r="W67" s="148">
        <f t="shared" si="18"/>
        <v>7.3390367303228325</v>
      </c>
      <c r="X67" s="148">
        <f t="shared" si="18"/>
        <v>3.8493365947383213</v>
      </c>
      <c r="Y67" s="148">
        <f t="shared" si="18"/>
        <v>6.5207547759015005</v>
      </c>
      <c r="Z67" s="149">
        <f t="shared" si="18"/>
        <v>3.8567264064694093</v>
      </c>
    </row>
    <row r="68" spans="2:26" ht="12" customHeight="1">
      <c r="B68" s="128" t="s">
        <v>96</v>
      </c>
      <c r="C68" s="142">
        <f t="shared" si="17"/>
        <v>12.880882094891815</v>
      </c>
      <c r="D68" s="142">
        <f t="shared" si="17"/>
        <v>13.452171261842071</v>
      </c>
      <c r="E68" s="142">
        <f t="shared" si="17"/>
        <v>1.5307290047785056</v>
      </c>
      <c r="F68" s="144">
        <f t="shared" si="17"/>
        <v>11.533793729287003</v>
      </c>
      <c r="G68" s="142">
        <f t="shared" si="17"/>
        <v>-1.1723863183655059</v>
      </c>
      <c r="H68" s="143">
        <f t="shared" si="17"/>
        <v>11.507658204531825</v>
      </c>
      <c r="I68" s="144"/>
      <c r="J68" s="142">
        <f t="shared" si="10"/>
        <v>23.695419036212801</v>
      </c>
      <c r="K68" s="142">
        <f t="shared" si="10"/>
        <v>40.257602471285836</v>
      </c>
      <c r="L68" s="142">
        <f t="shared" si="10"/>
        <v>11.575058865734608</v>
      </c>
      <c r="M68" s="144">
        <f t="shared" si="10"/>
        <v>27.686338865200465</v>
      </c>
      <c r="N68" s="142">
        <f t="shared" si="10"/>
        <v>-40.850973926756474</v>
      </c>
      <c r="O68" s="143">
        <f t="shared" si="10"/>
        <v>27.430096815163058</v>
      </c>
      <c r="T68" s="145">
        <f>T62</f>
        <v>2020</v>
      </c>
      <c r="U68" s="148">
        <f t="shared" si="18"/>
        <v>11.083668333151198</v>
      </c>
      <c r="V68" s="148">
        <f t="shared" si="18"/>
        <v>5.4222926254560875</v>
      </c>
      <c r="W68" s="148">
        <f t="shared" si="18"/>
        <v>-2.1746610626108409</v>
      </c>
      <c r="X68" s="148">
        <f t="shared" si="18"/>
        <v>7.0289754969668623</v>
      </c>
      <c r="Y68" s="148">
        <f t="shared" si="18"/>
        <v>53.458757654267153</v>
      </c>
      <c r="Z68" s="149">
        <f t="shared" si="18"/>
        <v>7.1607064240931608</v>
      </c>
    </row>
    <row r="69" spans="2:26" ht="12" customHeight="1">
      <c r="B69" s="128" t="s">
        <v>97</v>
      </c>
      <c r="C69" s="142">
        <f t="shared" si="17"/>
        <v>12.884822957624381</v>
      </c>
      <c r="D69" s="142">
        <f t="shared" si="17"/>
        <v>20.137927711907537</v>
      </c>
      <c r="E69" s="142">
        <f t="shared" si="17"/>
        <v>1.9177518495974943</v>
      </c>
      <c r="F69" s="144">
        <f t="shared" si="17"/>
        <v>13.949841945247963</v>
      </c>
      <c r="G69" s="142">
        <f t="shared" si="17"/>
        <v>-1.166761525327273</v>
      </c>
      <c r="H69" s="143">
        <f t="shared" si="17"/>
        <v>13.918077515626964</v>
      </c>
      <c r="I69" s="144"/>
      <c r="J69" s="142">
        <f t="shared" si="10"/>
        <v>22.634502376113129</v>
      </c>
      <c r="K69" s="142">
        <f t="shared" si="10"/>
        <v>37.979489925262648</v>
      </c>
      <c r="L69" s="142">
        <f t="shared" si="10"/>
        <v>10.436831377322962</v>
      </c>
      <c r="M69" s="144">
        <f t="shared" si="10"/>
        <v>26.235037212847935</v>
      </c>
      <c r="N69" s="142">
        <f t="shared" si="10"/>
        <v>-38.383970618934214</v>
      </c>
      <c r="O69" s="143">
        <f t="shared" si="10"/>
        <v>26.004607253004242</v>
      </c>
      <c r="T69" s="145">
        <f>T63</f>
        <v>2021</v>
      </c>
      <c r="U69" s="148">
        <f t="shared" si="18"/>
        <v>-1.4019704966345228</v>
      </c>
      <c r="V69" s="148">
        <f t="shared" si="18"/>
        <v>-3.6909428150069012</v>
      </c>
      <c r="W69" s="148">
        <f t="shared" si="18"/>
        <v>-1.3719516832643688</v>
      </c>
      <c r="X69" s="148">
        <f t="shared" si="18"/>
        <v>-2.2357494545083254</v>
      </c>
      <c r="Y69" s="148">
        <f t="shared" si="18"/>
        <v>-52.547347105444764</v>
      </c>
      <c r="Z69" s="149">
        <f t="shared" si="18"/>
        <v>-2.4401656594076555</v>
      </c>
    </row>
    <row r="70" spans="2:26" ht="12" customHeight="1">
      <c r="B70" s="128" t="s">
        <v>98</v>
      </c>
      <c r="C70" s="142">
        <f t="shared" si="17"/>
        <v>12.895436502014629</v>
      </c>
      <c r="D70" s="142">
        <f t="shared" si="17"/>
        <v>15.385300064137414</v>
      </c>
      <c r="E70" s="142">
        <f t="shared" si="17"/>
        <v>7.3445516683503964</v>
      </c>
      <c r="F70" s="144">
        <f t="shared" si="17"/>
        <v>13.085756586349623</v>
      </c>
      <c r="G70" s="142">
        <f t="shared" si="17"/>
        <v>-1.1780775140857136</v>
      </c>
      <c r="H70" s="143">
        <f t="shared" si="17"/>
        <v>13.056009703973054</v>
      </c>
      <c r="I70" s="144"/>
      <c r="J70" s="142">
        <f t="shared" si="10"/>
        <v>21.764229405728024</v>
      </c>
      <c r="K70" s="142">
        <f t="shared" si="10"/>
        <v>35.596728116344231</v>
      </c>
      <c r="L70" s="142">
        <f t="shared" si="10"/>
        <v>10.125582234745528</v>
      </c>
      <c r="M70" s="144">
        <f t="shared" si="10"/>
        <v>24.969833612550968</v>
      </c>
      <c r="N70" s="142">
        <f t="shared" si="10"/>
        <v>-36.206287766237395</v>
      </c>
      <c r="O70" s="143">
        <f t="shared" si="10"/>
        <v>24.760383862081444</v>
      </c>
      <c r="T70" s="145">
        <f>T64</f>
        <v>2022</v>
      </c>
      <c r="U70" s="148">
        <f t="shared" si="18"/>
        <v>0.99688190052346459</v>
      </c>
      <c r="V70" s="148">
        <f t="shared" si="18"/>
        <v>-9.7018753285673967</v>
      </c>
      <c r="W70" s="148">
        <f t="shared" si="18"/>
        <v>-10.619083297506233</v>
      </c>
      <c r="X70" s="148">
        <f t="shared" si="18"/>
        <v>-4.436891594548964</v>
      </c>
      <c r="Y70" s="148" t="str">
        <f t="shared" si="18"/>
        <v>-</v>
      </c>
      <c r="Z70" s="149">
        <f t="shared" si="18"/>
        <v>-4.1870791281703372</v>
      </c>
    </row>
    <row r="71" spans="2:26" ht="12" customHeight="1">
      <c r="B71" s="128" t="s">
        <v>99</v>
      </c>
      <c r="C71" s="142">
        <f t="shared" si="17"/>
        <v>12.881448029481616</v>
      </c>
      <c r="D71" s="142">
        <f t="shared" si="17"/>
        <v>13.45206372756863</v>
      </c>
      <c r="E71" s="142">
        <f t="shared" si="17"/>
        <v>1.9887374926553478</v>
      </c>
      <c r="F71" s="144">
        <f t="shared" si="17"/>
        <v>11.602880290606651</v>
      </c>
      <c r="G71" s="142">
        <f t="shared" si="17"/>
        <v>-87.675131659261581</v>
      </c>
      <c r="H71" s="143">
        <f t="shared" si="17"/>
        <v>9.9877592979857361</v>
      </c>
      <c r="I71" s="144"/>
      <c r="J71" s="142">
        <f t="shared" si="10"/>
        <v>21.035501251479051</v>
      </c>
      <c r="K71" s="142">
        <f t="shared" si="10"/>
        <v>33.451650715702286</v>
      </c>
      <c r="L71" s="142">
        <f t="shared" si="10"/>
        <v>9.3461454051170509</v>
      </c>
      <c r="M71" s="144">
        <f t="shared" si="10"/>
        <v>23.782371058245559</v>
      </c>
      <c r="N71" s="142">
        <f t="shared" si="10"/>
        <v>-52.646362696555848</v>
      </c>
      <c r="O71" s="143">
        <f t="shared" si="10"/>
        <v>23.432452209077791</v>
      </c>
      <c r="T71" s="145">
        <f>T65</f>
        <v>2023</v>
      </c>
      <c r="U71" s="148">
        <f t="shared" si="18"/>
        <v>21.035501251479079</v>
      </c>
      <c r="V71" s="148">
        <f t="shared" si="18"/>
        <v>33.451650715702321</v>
      </c>
      <c r="W71" s="148">
        <f t="shared" si="18"/>
        <v>9.3461454051170207</v>
      </c>
      <c r="X71" s="148">
        <f t="shared" si="18"/>
        <v>23.782371058245559</v>
      </c>
      <c r="Y71" s="148">
        <f t="shared" si="18"/>
        <v>-52.646362696555848</v>
      </c>
      <c r="Z71" s="149">
        <f t="shared" si="18"/>
        <v>23.432452209077788</v>
      </c>
    </row>
    <row r="72" spans="2:26" ht="12" customHeight="1">
      <c r="B72" s="150"/>
      <c r="C72" s="151"/>
      <c r="D72" s="151"/>
      <c r="E72" s="151"/>
      <c r="F72" s="211"/>
      <c r="G72" s="151"/>
      <c r="H72" s="151"/>
      <c r="I72" s="151"/>
      <c r="J72" s="151"/>
      <c r="K72" s="151"/>
      <c r="L72" s="151"/>
      <c r="M72" s="211"/>
      <c r="N72" s="151"/>
      <c r="O72" s="151"/>
    </row>
    <row r="73" spans="2:26" ht="13.5" customHeight="1" thickBot="1">
      <c r="B73" s="124">
        <f>Año_seleccionado_C.2.3</f>
        <v>2024</v>
      </c>
      <c r="C73" s="142"/>
      <c r="D73" s="142"/>
      <c r="E73" s="142"/>
      <c r="F73" s="144"/>
      <c r="G73" s="142"/>
      <c r="H73" s="152"/>
      <c r="I73" s="144"/>
      <c r="J73" s="142"/>
      <c r="K73" s="142"/>
      <c r="L73" s="142"/>
      <c r="M73" s="144"/>
      <c r="N73" s="142"/>
      <c r="O73" s="152"/>
    </row>
    <row r="74" spans="2:26" ht="6" customHeight="1">
      <c r="B74" s="141"/>
      <c r="C74" s="142"/>
      <c r="D74" s="142"/>
      <c r="E74" s="142"/>
      <c r="F74" s="144"/>
      <c r="G74" s="142"/>
      <c r="H74" s="152"/>
      <c r="I74" s="144"/>
      <c r="J74" s="142"/>
      <c r="K74" s="142"/>
      <c r="L74" s="142"/>
      <c r="M74" s="144"/>
      <c r="N74" s="142"/>
      <c r="O74" s="152"/>
    </row>
    <row r="75" spans="2:26" ht="12" customHeight="1">
      <c r="B75" s="128" t="s">
        <v>88</v>
      </c>
      <c r="C75" s="142">
        <f>IF($T117="SI"," ",W143)</f>
        <v>3.0868393524642181</v>
      </c>
      <c r="D75" s="142">
        <f t="shared" ref="D75:H86" si="19">IF($T117="SI"," ",X143)</f>
        <v>1.2838118015438195E-2</v>
      </c>
      <c r="E75" s="142">
        <f t="shared" si="19"/>
        <v>1.219510143801119E-2</v>
      </c>
      <c r="F75" s="144">
        <f t="shared" si="19"/>
        <v>1.5414059189490772</v>
      </c>
      <c r="G75" s="142" t="str">
        <f t="shared" si="19"/>
        <v>-</v>
      </c>
      <c r="H75" s="143">
        <f t="shared" si="19"/>
        <v>3.0895443919592109</v>
      </c>
      <c r="I75" s="144"/>
      <c r="J75" s="142">
        <f t="shared" ref="J75:N86" si="20">IF($T117="SI"," ",AD143)</f>
        <v>3.0868393524642181</v>
      </c>
      <c r="K75" s="142">
        <f t="shared" si="20"/>
        <v>1.2838118015438195E-2</v>
      </c>
      <c r="L75" s="142">
        <f t="shared" si="20"/>
        <v>1.219510143801119E-2</v>
      </c>
      <c r="M75" s="144">
        <f t="shared" si="20"/>
        <v>1.5414059189490772</v>
      </c>
      <c r="N75" s="142" t="str">
        <f>IF($T117="SI"," ",AH143)</f>
        <v>-</v>
      </c>
      <c r="O75" s="143">
        <f t="shared" ref="O75:O86" si="21">IF($T117="SI"," ",AI143)</f>
        <v>3.0895443919592109</v>
      </c>
    </row>
    <row r="76" spans="2:26" ht="12" customHeight="1">
      <c r="B76" s="128" t="s">
        <v>89</v>
      </c>
      <c r="C76" s="142">
        <f>IF($T118="SI"," ",W144)</f>
        <v>3.0868618078761569</v>
      </c>
      <c r="D76" s="142">
        <f t="shared" si="19"/>
        <v>1.2810266035808492E-2</v>
      </c>
      <c r="E76" s="142">
        <f t="shared" si="19"/>
        <v>1.244744528800368E-2</v>
      </c>
      <c r="F76" s="144">
        <f t="shared" si="19"/>
        <v>1.541438119559289</v>
      </c>
      <c r="G76" s="142">
        <f t="shared" si="19"/>
        <v>7.8438147892190644</v>
      </c>
      <c r="H76" s="143">
        <f t="shared" si="19"/>
        <v>1.5529267803363973</v>
      </c>
      <c r="I76" s="144"/>
      <c r="J76" s="142">
        <f t="shared" si="20"/>
        <v>3.0868505801678126</v>
      </c>
      <c r="K76" s="142">
        <f t="shared" si="20"/>
        <v>1.2824192023690593E-2</v>
      </c>
      <c r="L76" s="142">
        <f t="shared" si="20"/>
        <v>1.2321273203823939E-2</v>
      </c>
      <c r="M76" s="144">
        <f t="shared" si="20"/>
        <v>1.5414220192507964</v>
      </c>
      <c r="N76" s="142" t="str">
        <f t="shared" si="20"/>
        <v>-</v>
      </c>
      <c r="O76" s="143">
        <f t="shared" si="21"/>
        <v>2.3212440955437934</v>
      </c>
    </row>
    <row r="77" spans="2:26" ht="12" customHeight="1">
      <c r="B77" s="128" t="s">
        <v>90</v>
      </c>
      <c r="C77" s="142" t="str">
        <f t="shared" ref="C77:C86" si="22">IF($T119="SI"," ",W145)</f>
        <v xml:space="preserve"> </v>
      </c>
      <c r="D77" s="142" t="str">
        <f t="shared" si="19"/>
        <v xml:space="preserve"> </v>
      </c>
      <c r="E77" s="142" t="str">
        <f t="shared" si="19"/>
        <v xml:space="preserve"> </v>
      </c>
      <c r="F77" s="144" t="str">
        <f t="shared" si="19"/>
        <v xml:space="preserve"> </v>
      </c>
      <c r="G77" s="142" t="str">
        <f t="shared" si="19"/>
        <v xml:space="preserve"> </v>
      </c>
      <c r="H77" s="143" t="str">
        <f t="shared" si="19"/>
        <v xml:space="preserve"> </v>
      </c>
      <c r="I77" s="144"/>
      <c r="J77" s="142" t="str">
        <f t="shared" si="20"/>
        <v xml:space="preserve"> </v>
      </c>
      <c r="K77" s="142" t="str">
        <f t="shared" si="20"/>
        <v xml:space="preserve"> </v>
      </c>
      <c r="L77" s="142" t="str">
        <f t="shared" si="20"/>
        <v xml:space="preserve"> </v>
      </c>
      <c r="M77" s="144" t="str">
        <f t="shared" si="20"/>
        <v xml:space="preserve"> </v>
      </c>
      <c r="N77" s="142" t="str">
        <f t="shared" si="20"/>
        <v xml:space="preserve"> </v>
      </c>
      <c r="O77" s="143" t="str">
        <f t="shared" si="21"/>
        <v xml:space="preserve"> </v>
      </c>
    </row>
    <row r="78" spans="2:26" ht="12" customHeight="1">
      <c r="B78" s="128" t="s">
        <v>91</v>
      </c>
      <c r="C78" s="142" t="str">
        <f t="shared" si="22"/>
        <v xml:space="preserve"> </v>
      </c>
      <c r="D78" s="142" t="str">
        <f t="shared" si="19"/>
        <v xml:space="preserve"> </v>
      </c>
      <c r="E78" s="142" t="str">
        <f t="shared" si="19"/>
        <v xml:space="preserve"> </v>
      </c>
      <c r="F78" s="144" t="str">
        <f t="shared" si="19"/>
        <v xml:space="preserve"> </v>
      </c>
      <c r="G78" s="142" t="str">
        <f t="shared" si="19"/>
        <v xml:space="preserve"> </v>
      </c>
      <c r="H78" s="143" t="str">
        <f t="shared" si="19"/>
        <v xml:space="preserve"> </v>
      </c>
      <c r="I78" s="144"/>
      <c r="J78" s="142" t="str">
        <f t="shared" si="20"/>
        <v xml:space="preserve"> </v>
      </c>
      <c r="K78" s="142" t="str">
        <f t="shared" si="20"/>
        <v xml:space="preserve"> </v>
      </c>
      <c r="L78" s="142" t="str">
        <f t="shared" si="20"/>
        <v xml:space="preserve"> </v>
      </c>
      <c r="M78" s="144" t="str">
        <f t="shared" si="20"/>
        <v xml:space="preserve"> </v>
      </c>
      <c r="N78" s="142" t="str">
        <f t="shared" si="20"/>
        <v xml:space="preserve"> </v>
      </c>
      <c r="O78" s="143" t="str">
        <f t="shared" si="21"/>
        <v xml:space="preserve"> </v>
      </c>
    </row>
    <row r="79" spans="2:26" ht="12" customHeight="1">
      <c r="B79" s="128" t="s">
        <v>92</v>
      </c>
      <c r="C79" s="142" t="str">
        <f t="shared" si="22"/>
        <v xml:space="preserve"> </v>
      </c>
      <c r="D79" s="142" t="str">
        <f t="shared" si="19"/>
        <v xml:space="preserve"> </v>
      </c>
      <c r="E79" s="142" t="str">
        <f t="shared" si="19"/>
        <v xml:space="preserve"> </v>
      </c>
      <c r="F79" s="144" t="str">
        <f t="shared" si="19"/>
        <v xml:space="preserve"> </v>
      </c>
      <c r="G79" s="142" t="str">
        <f t="shared" si="19"/>
        <v xml:space="preserve"> </v>
      </c>
      <c r="H79" s="143" t="str">
        <f t="shared" si="19"/>
        <v xml:space="preserve"> </v>
      </c>
      <c r="I79" s="144"/>
      <c r="J79" s="142" t="str">
        <f t="shared" si="20"/>
        <v xml:space="preserve"> </v>
      </c>
      <c r="K79" s="142" t="str">
        <f t="shared" si="20"/>
        <v xml:space="preserve"> </v>
      </c>
      <c r="L79" s="142" t="str">
        <f t="shared" si="20"/>
        <v xml:space="preserve"> </v>
      </c>
      <c r="M79" s="144" t="str">
        <f t="shared" si="20"/>
        <v xml:space="preserve"> </v>
      </c>
      <c r="N79" s="142" t="str">
        <f t="shared" si="20"/>
        <v xml:space="preserve"> </v>
      </c>
      <c r="O79" s="143" t="str">
        <f t="shared" si="21"/>
        <v xml:space="preserve"> </v>
      </c>
    </row>
    <row r="80" spans="2:26" ht="12" customHeight="1">
      <c r="B80" s="128" t="s">
        <v>93</v>
      </c>
      <c r="C80" s="142" t="str">
        <f t="shared" si="22"/>
        <v xml:space="preserve"> </v>
      </c>
      <c r="D80" s="142" t="str">
        <f t="shared" si="19"/>
        <v xml:space="preserve"> </v>
      </c>
      <c r="E80" s="142" t="str">
        <f t="shared" si="19"/>
        <v xml:space="preserve"> </v>
      </c>
      <c r="F80" s="144" t="str">
        <f t="shared" si="19"/>
        <v xml:space="preserve"> </v>
      </c>
      <c r="G80" s="142" t="str">
        <f t="shared" si="19"/>
        <v xml:space="preserve"> </v>
      </c>
      <c r="H80" s="143" t="str">
        <f t="shared" si="19"/>
        <v xml:space="preserve"> </v>
      </c>
      <c r="I80" s="153"/>
      <c r="J80" s="142" t="str">
        <f t="shared" si="20"/>
        <v xml:space="preserve"> </v>
      </c>
      <c r="K80" s="142" t="str">
        <f t="shared" si="20"/>
        <v xml:space="preserve"> </v>
      </c>
      <c r="L80" s="142" t="str">
        <f t="shared" si="20"/>
        <v xml:space="preserve"> </v>
      </c>
      <c r="M80" s="144" t="str">
        <f t="shared" si="20"/>
        <v xml:space="preserve"> </v>
      </c>
      <c r="N80" s="142" t="str">
        <f t="shared" si="20"/>
        <v xml:space="preserve"> </v>
      </c>
      <c r="O80" s="143" t="str">
        <f t="shared" si="21"/>
        <v xml:space="preserve"> </v>
      </c>
    </row>
    <row r="81" spans="1:35" ht="12" customHeight="1">
      <c r="B81" s="128" t="s">
        <v>94</v>
      </c>
      <c r="C81" s="142" t="str">
        <f t="shared" si="22"/>
        <v xml:space="preserve"> </v>
      </c>
      <c r="D81" s="142" t="str">
        <f t="shared" si="19"/>
        <v xml:space="preserve"> </v>
      </c>
      <c r="E81" s="142" t="str">
        <f t="shared" si="19"/>
        <v xml:space="preserve"> </v>
      </c>
      <c r="F81" s="144" t="str">
        <f t="shared" si="19"/>
        <v xml:space="preserve"> </v>
      </c>
      <c r="G81" s="142" t="str">
        <f t="shared" si="19"/>
        <v xml:space="preserve"> </v>
      </c>
      <c r="H81" s="143" t="str">
        <f t="shared" si="19"/>
        <v xml:space="preserve"> </v>
      </c>
      <c r="I81" s="153"/>
      <c r="J81" s="142" t="str">
        <f t="shared" si="20"/>
        <v xml:space="preserve"> </v>
      </c>
      <c r="K81" s="142" t="str">
        <f t="shared" si="20"/>
        <v xml:space="preserve"> </v>
      </c>
      <c r="L81" s="142" t="str">
        <f t="shared" si="20"/>
        <v xml:space="preserve"> </v>
      </c>
      <c r="M81" s="144" t="str">
        <f t="shared" si="20"/>
        <v xml:space="preserve"> </v>
      </c>
      <c r="N81" s="142" t="str">
        <f t="shared" si="20"/>
        <v xml:space="preserve"> </v>
      </c>
      <c r="O81" s="143" t="str">
        <f t="shared" si="21"/>
        <v xml:space="preserve"> </v>
      </c>
    </row>
    <row r="82" spans="1:35" ht="12" customHeight="1">
      <c r="B82" s="128" t="s">
        <v>95</v>
      </c>
      <c r="C82" s="142" t="str">
        <f t="shared" si="22"/>
        <v xml:space="preserve"> </v>
      </c>
      <c r="D82" s="142" t="str">
        <f t="shared" si="19"/>
        <v xml:space="preserve"> </v>
      </c>
      <c r="E82" s="142" t="str">
        <f t="shared" si="19"/>
        <v xml:space="preserve"> </v>
      </c>
      <c r="F82" s="144" t="str">
        <f t="shared" si="19"/>
        <v xml:space="preserve"> </v>
      </c>
      <c r="G82" s="142" t="str">
        <f t="shared" si="19"/>
        <v xml:space="preserve"> </v>
      </c>
      <c r="H82" s="143" t="str">
        <f t="shared" si="19"/>
        <v xml:space="preserve"> </v>
      </c>
      <c r="I82" s="153"/>
      <c r="J82" s="142" t="str">
        <f t="shared" si="20"/>
        <v xml:space="preserve"> </v>
      </c>
      <c r="K82" s="142" t="str">
        <f t="shared" si="20"/>
        <v xml:space="preserve"> </v>
      </c>
      <c r="L82" s="142" t="str">
        <f t="shared" si="20"/>
        <v xml:space="preserve"> </v>
      </c>
      <c r="M82" s="144" t="str">
        <f t="shared" si="20"/>
        <v xml:space="preserve"> </v>
      </c>
      <c r="N82" s="142" t="str">
        <f t="shared" si="20"/>
        <v xml:space="preserve"> </v>
      </c>
      <c r="O82" s="143" t="str">
        <f t="shared" si="21"/>
        <v xml:space="preserve"> </v>
      </c>
    </row>
    <row r="83" spans="1:35" ht="12" customHeight="1">
      <c r="B83" s="128" t="s">
        <v>96</v>
      </c>
      <c r="C83" s="142" t="str">
        <f t="shared" si="22"/>
        <v xml:space="preserve"> </v>
      </c>
      <c r="D83" s="142" t="str">
        <f t="shared" si="19"/>
        <v xml:space="preserve"> </v>
      </c>
      <c r="E83" s="142" t="str">
        <f t="shared" si="19"/>
        <v xml:space="preserve"> </v>
      </c>
      <c r="F83" s="144" t="str">
        <f t="shared" si="19"/>
        <v xml:space="preserve"> </v>
      </c>
      <c r="G83" s="142" t="str">
        <f t="shared" si="19"/>
        <v xml:space="preserve"> </v>
      </c>
      <c r="H83" s="143" t="str">
        <f t="shared" si="19"/>
        <v xml:space="preserve"> </v>
      </c>
      <c r="I83" s="153"/>
      <c r="J83" s="142" t="str">
        <f t="shared" si="20"/>
        <v xml:space="preserve"> </v>
      </c>
      <c r="K83" s="142" t="str">
        <f t="shared" si="20"/>
        <v xml:space="preserve"> </v>
      </c>
      <c r="L83" s="142" t="str">
        <f t="shared" si="20"/>
        <v xml:space="preserve"> </v>
      </c>
      <c r="M83" s="144" t="str">
        <f t="shared" si="20"/>
        <v xml:space="preserve"> </v>
      </c>
      <c r="N83" s="142" t="str">
        <f t="shared" si="20"/>
        <v xml:space="preserve"> </v>
      </c>
      <c r="O83" s="143" t="str">
        <f t="shared" si="21"/>
        <v xml:space="preserve"> </v>
      </c>
    </row>
    <row r="84" spans="1:35" ht="12" customHeight="1">
      <c r="B84" s="128" t="s">
        <v>97</v>
      </c>
      <c r="C84" s="142" t="str">
        <f t="shared" si="22"/>
        <v xml:space="preserve"> </v>
      </c>
      <c r="D84" s="142" t="str">
        <f t="shared" si="19"/>
        <v xml:space="preserve"> </v>
      </c>
      <c r="E84" s="142" t="str">
        <f t="shared" si="19"/>
        <v xml:space="preserve"> </v>
      </c>
      <c r="F84" s="144" t="str">
        <f t="shared" si="19"/>
        <v xml:space="preserve"> </v>
      </c>
      <c r="G84" s="142" t="str">
        <f t="shared" si="19"/>
        <v xml:space="preserve"> </v>
      </c>
      <c r="H84" s="143" t="str">
        <f t="shared" si="19"/>
        <v xml:space="preserve"> </v>
      </c>
      <c r="I84" s="153"/>
      <c r="J84" s="142" t="str">
        <f t="shared" si="20"/>
        <v xml:space="preserve"> </v>
      </c>
      <c r="K84" s="142" t="str">
        <f t="shared" si="20"/>
        <v xml:space="preserve"> </v>
      </c>
      <c r="L84" s="142" t="str">
        <f t="shared" si="20"/>
        <v xml:space="preserve"> </v>
      </c>
      <c r="M84" s="144" t="str">
        <f t="shared" si="20"/>
        <v xml:space="preserve"> </v>
      </c>
      <c r="N84" s="142" t="str">
        <f t="shared" si="20"/>
        <v xml:space="preserve"> </v>
      </c>
      <c r="O84" s="143" t="str">
        <f t="shared" si="21"/>
        <v xml:space="preserve"> </v>
      </c>
    </row>
    <row r="85" spans="1:35" ht="12" customHeight="1">
      <c r="B85" s="128" t="s">
        <v>98</v>
      </c>
      <c r="C85" s="142" t="str">
        <f t="shared" si="22"/>
        <v xml:space="preserve"> </v>
      </c>
      <c r="D85" s="142" t="str">
        <f t="shared" si="19"/>
        <v xml:space="preserve"> </v>
      </c>
      <c r="E85" s="142" t="str">
        <f t="shared" si="19"/>
        <v xml:space="preserve"> </v>
      </c>
      <c r="F85" s="144" t="str">
        <f t="shared" si="19"/>
        <v xml:space="preserve"> </v>
      </c>
      <c r="G85" s="142" t="str">
        <f t="shared" si="19"/>
        <v xml:space="preserve"> </v>
      </c>
      <c r="H85" s="143" t="str">
        <f t="shared" si="19"/>
        <v xml:space="preserve"> </v>
      </c>
      <c r="I85" s="153"/>
      <c r="J85" s="142" t="str">
        <f t="shared" si="20"/>
        <v xml:space="preserve"> </v>
      </c>
      <c r="K85" s="142" t="str">
        <f t="shared" si="20"/>
        <v xml:space="preserve"> </v>
      </c>
      <c r="L85" s="142" t="str">
        <f t="shared" si="20"/>
        <v xml:space="preserve"> </v>
      </c>
      <c r="M85" s="144" t="str">
        <f t="shared" si="20"/>
        <v xml:space="preserve"> </v>
      </c>
      <c r="N85" s="142" t="str">
        <f t="shared" si="20"/>
        <v xml:space="preserve"> </v>
      </c>
      <c r="O85" s="143" t="str">
        <f t="shared" si="21"/>
        <v xml:space="preserve"> </v>
      </c>
    </row>
    <row r="86" spans="1:35" ht="12" customHeight="1">
      <c r="B86" s="128" t="s">
        <v>99</v>
      </c>
      <c r="C86" s="142" t="str">
        <f t="shared" si="22"/>
        <v xml:space="preserve"> </v>
      </c>
      <c r="D86" s="142" t="str">
        <f t="shared" si="19"/>
        <v xml:space="preserve"> </v>
      </c>
      <c r="E86" s="142" t="str">
        <f t="shared" si="19"/>
        <v xml:space="preserve"> </v>
      </c>
      <c r="F86" s="144" t="str">
        <f t="shared" si="19"/>
        <v xml:space="preserve"> </v>
      </c>
      <c r="G86" s="142" t="str">
        <f t="shared" si="19"/>
        <v xml:space="preserve"> </v>
      </c>
      <c r="H86" s="143" t="str">
        <f t="shared" si="19"/>
        <v xml:space="preserve"> </v>
      </c>
      <c r="I86" s="153"/>
      <c r="J86" s="142" t="str">
        <f t="shared" si="20"/>
        <v xml:space="preserve"> </v>
      </c>
      <c r="K86" s="142" t="str">
        <f t="shared" si="20"/>
        <v xml:space="preserve"> </v>
      </c>
      <c r="L86" s="142" t="str">
        <f t="shared" si="20"/>
        <v xml:space="preserve"> </v>
      </c>
      <c r="M86" s="144" t="str">
        <f t="shared" si="20"/>
        <v xml:space="preserve"> </v>
      </c>
      <c r="N86" s="142" t="str">
        <f t="shared" si="20"/>
        <v xml:space="preserve"> </v>
      </c>
      <c r="O86" s="143" t="str">
        <f t="shared" si="21"/>
        <v xml:space="preserve"> </v>
      </c>
    </row>
    <row r="87" spans="1:35" ht="12" customHeight="1">
      <c r="A87" s="110"/>
      <c r="B87" s="154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</row>
    <row r="88" spans="1:35" ht="25.2" customHeight="1">
      <c r="A88" s="155" t="str">
        <f>CONCATENATE("TAX REVENUE MONTHLY REPORT. ",$S$8," ",$S$7)</f>
        <v>TAX REVENUE MONTHLY REPORT. FEBRUARY 2024</v>
      </c>
      <c r="B88" s="155"/>
      <c r="C88" s="156"/>
      <c r="D88" s="157"/>
      <c r="E88" s="158"/>
      <c r="F88" s="159"/>
      <c r="G88" s="159"/>
      <c r="H88" s="81"/>
      <c r="I88" s="160"/>
      <c r="J88" s="160"/>
      <c r="K88" s="161"/>
      <c r="L88" s="160"/>
      <c r="M88" s="160"/>
      <c r="N88" s="160"/>
      <c r="O88" s="70"/>
      <c r="P88" s="162" t="s">
        <v>140</v>
      </c>
    </row>
    <row r="89" spans="1:35" ht="15" hidden="1" customHeight="1">
      <c r="B89" s="163"/>
      <c r="J89" s="65"/>
      <c r="K89" s="65"/>
      <c r="L89" s="65"/>
      <c r="M89" s="65"/>
      <c r="N89" s="65"/>
      <c r="AD89" s="140" t="s">
        <v>106</v>
      </c>
    </row>
    <row r="90" spans="1:35" ht="15" hidden="1" customHeight="1" thickBot="1">
      <c r="J90" s="65"/>
      <c r="K90" s="65"/>
      <c r="L90" s="65"/>
      <c r="M90" s="65"/>
      <c r="N90" s="65"/>
      <c r="W90" s="334" t="s">
        <v>151</v>
      </c>
      <c r="X90" s="335"/>
      <c r="Y90" s="335"/>
      <c r="Z90" s="335"/>
      <c r="AA90" s="209" t="s">
        <v>152</v>
      </c>
      <c r="AB90" s="210" t="s">
        <v>153</v>
      </c>
      <c r="AD90" s="334" t="s">
        <v>151</v>
      </c>
      <c r="AE90" s="335"/>
      <c r="AF90" s="335"/>
      <c r="AG90" s="335"/>
      <c r="AH90" s="209" t="s">
        <v>152</v>
      </c>
      <c r="AI90" s="210" t="s">
        <v>153</v>
      </c>
    </row>
    <row r="91" spans="1:35" ht="15" hidden="1" customHeight="1">
      <c r="J91" s="65"/>
      <c r="K91" s="65"/>
      <c r="L91" s="65"/>
      <c r="M91" s="65"/>
      <c r="N91" s="65"/>
      <c r="W91" s="120" t="s">
        <v>101</v>
      </c>
      <c r="X91" s="120" t="s">
        <v>103</v>
      </c>
      <c r="Y91" s="120" t="s">
        <v>104</v>
      </c>
      <c r="Z91" s="120" t="s">
        <v>87</v>
      </c>
      <c r="AA91" s="120" t="s">
        <v>101</v>
      </c>
      <c r="AB91" s="140" t="s">
        <v>87</v>
      </c>
      <c r="AD91" s="120" t="s">
        <v>101</v>
      </c>
      <c r="AE91" s="120" t="s">
        <v>103</v>
      </c>
      <c r="AF91" s="120" t="s">
        <v>104</v>
      </c>
      <c r="AG91" s="120" t="s">
        <v>87</v>
      </c>
      <c r="AH91" s="120" t="s">
        <v>101</v>
      </c>
      <c r="AI91" s="140" t="s">
        <v>87</v>
      </c>
    </row>
    <row r="92" spans="1:35" ht="15" hidden="1" customHeight="1">
      <c r="J92" s="65"/>
      <c r="K92" s="65"/>
      <c r="L92" s="65"/>
      <c r="M92" s="65"/>
      <c r="N92" s="65"/>
    </row>
    <row r="93" spans="1:35" ht="15" hidden="1" customHeight="1">
      <c r="J93" s="65"/>
      <c r="K93" s="65"/>
      <c r="L93" s="65"/>
      <c r="M93" s="65"/>
      <c r="N93" s="65"/>
      <c r="U93" s="164">
        <f t="shared" ref="U93:U104" si="23">Año_seleccionado_C.2.3-2</f>
        <v>2022</v>
      </c>
      <c r="V93" s="165" t="s">
        <v>217</v>
      </c>
      <c r="W93" s="166">
        <f t="shared" ref="W93:W128" si="24">SUMIFS(IRPF_AATT,Años_datos,$U93,Mes_datos,$V93)/1000</f>
        <v>4188.665</v>
      </c>
      <c r="X93" s="166">
        <f t="shared" ref="X93:X128" si="25">SUMIFS(IVA_AATT,Años_datos,$U93,Mes_datos,$V93)/1000</f>
        <v>3165.0970000000002</v>
      </c>
      <c r="Y93" s="166">
        <f t="shared" ref="Y93:Y128" si="26">SUMIFS(IIEE_AATT_total,Años_datos,$U93,Mes_datos,$V93)/1000</f>
        <v>1171.076</v>
      </c>
      <c r="Z93" s="166">
        <f t="shared" ref="Z93:Z128" si="27">SUMIFS(Ingresos_totales_AATT,Años_datos,$U93,Mes_datos,$V93)/1000</f>
        <v>8524.8379999999997</v>
      </c>
      <c r="AA93" s="166">
        <f t="shared" ref="AA93:AA128" si="28">-SUMIFS(IRPF_Asig_Iglesia,Años_datos,$U93,Mes_datos,$V93)/1000</f>
        <v>124.497</v>
      </c>
      <c r="AB93" s="146">
        <f>Z93+AA93</f>
        <v>8649.3349999999991</v>
      </c>
      <c r="AD93" s="166">
        <f>W93</f>
        <v>4188.665</v>
      </c>
      <c r="AE93" s="166">
        <f t="shared" ref="AE93:AI93" si="29">X93</f>
        <v>3165.0970000000002</v>
      </c>
      <c r="AF93" s="166">
        <f t="shared" si="29"/>
        <v>1171.076</v>
      </c>
      <c r="AG93" s="166">
        <f t="shared" si="29"/>
        <v>8524.8379999999997</v>
      </c>
      <c r="AH93" s="166">
        <f t="shared" si="29"/>
        <v>124.497</v>
      </c>
      <c r="AI93" s="146">
        <f t="shared" si="29"/>
        <v>8649.3349999999991</v>
      </c>
    </row>
    <row r="94" spans="1:35" ht="15" hidden="1" customHeight="1">
      <c r="J94" s="65"/>
      <c r="K94" s="65"/>
      <c r="L94" s="65"/>
      <c r="M94" s="65"/>
      <c r="N94" s="65"/>
      <c r="U94" s="167">
        <f t="shared" si="23"/>
        <v>2022</v>
      </c>
      <c r="V94" s="98" t="s">
        <v>218</v>
      </c>
      <c r="W94" s="125">
        <f t="shared" si="24"/>
        <v>4188.665</v>
      </c>
      <c r="X94" s="125">
        <f t="shared" si="25"/>
        <v>3165.096</v>
      </c>
      <c r="Y94" s="125">
        <f t="shared" si="26"/>
        <v>1171.078</v>
      </c>
      <c r="Z94" s="125">
        <f t="shared" si="27"/>
        <v>8524.8389999999999</v>
      </c>
      <c r="AA94" s="125">
        <f t="shared" si="28"/>
        <v>17.57</v>
      </c>
      <c r="AB94" s="146">
        <f t="shared" ref="AB94:AB128" si="30">Z94+AA94</f>
        <v>8542.4089999999997</v>
      </c>
      <c r="AD94" s="125">
        <f>AD93+W94</f>
        <v>8377.33</v>
      </c>
      <c r="AE94" s="125">
        <f t="shared" ref="AE94:AI104" si="31">AE93+X94</f>
        <v>6330.1930000000002</v>
      </c>
      <c r="AF94" s="125">
        <f t="shared" si="31"/>
        <v>2342.154</v>
      </c>
      <c r="AG94" s="125">
        <f t="shared" si="31"/>
        <v>17049.677</v>
      </c>
      <c r="AH94" s="125">
        <f t="shared" si="31"/>
        <v>142.06700000000001</v>
      </c>
      <c r="AI94" s="146">
        <f t="shared" si="31"/>
        <v>17191.743999999999</v>
      </c>
    </row>
    <row r="95" spans="1:35" ht="15" hidden="1" customHeight="1">
      <c r="J95" s="65"/>
      <c r="K95" s="65"/>
      <c r="L95" s="65"/>
      <c r="M95" s="65"/>
      <c r="N95" s="65"/>
      <c r="U95" s="167">
        <f t="shared" si="23"/>
        <v>2022</v>
      </c>
      <c r="V95" s="98" t="s">
        <v>219</v>
      </c>
      <c r="W95" s="125">
        <f t="shared" si="24"/>
        <v>4188.6660000000002</v>
      </c>
      <c r="X95" s="125">
        <f t="shared" si="25"/>
        <v>3165.098</v>
      </c>
      <c r="Y95" s="125">
        <f t="shared" si="26"/>
        <v>1171.076</v>
      </c>
      <c r="Z95" s="125">
        <f t="shared" si="27"/>
        <v>8524.84</v>
      </c>
      <c r="AA95" s="125">
        <f t="shared" si="28"/>
        <v>17.571000000000002</v>
      </c>
      <c r="AB95" s="146">
        <f t="shared" si="30"/>
        <v>8542.4110000000001</v>
      </c>
      <c r="AD95" s="125">
        <f t="shared" ref="AD95:AD104" si="32">AD94+W95</f>
        <v>12565.995999999999</v>
      </c>
      <c r="AE95" s="125">
        <f t="shared" si="31"/>
        <v>9495.2910000000011</v>
      </c>
      <c r="AF95" s="125">
        <f t="shared" si="31"/>
        <v>3513.23</v>
      </c>
      <c r="AG95" s="125">
        <f t="shared" si="31"/>
        <v>25574.517</v>
      </c>
      <c r="AH95" s="125">
        <f t="shared" si="31"/>
        <v>159.63800000000001</v>
      </c>
      <c r="AI95" s="146">
        <f t="shared" si="31"/>
        <v>25734.154999999999</v>
      </c>
    </row>
    <row r="96" spans="1:35" ht="15" hidden="1" customHeight="1">
      <c r="J96" s="65"/>
      <c r="K96" s="65"/>
      <c r="L96" s="65"/>
      <c r="M96" s="65"/>
      <c r="N96" s="65"/>
      <c r="U96" s="167">
        <f t="shared" si="23"/>
        <v>2022</v>
      </c>
      <c r="V96" s="98" t="s">
        <v>220</v>
      </c>
      <c r="W96" s="125">
        <f t="shared" si="24"/>
        <v>4188.6639999999998</v>
      </c>
      <c r="X96" s="125">
        <f t="shared" si="25"/>
        <v>3165.0970000000002</v>
      </c>
      <c r="Y96" s="125">
        <f t="shared" si="26"/>
        <v>1171.079</v>
      </c>
      <c r="Z96" s="125">
        <f t="shared" si="27"/>
        <v>8524.84</v>
      </c>
      <c r="AA96" s="125">
        <f t="shared" si="28"/>
        <v>17.57</v>
      </c>
      <c r="AB96" s="146">
        <f t="shared" si="30"/>
        <v>8542.41</v>
      </c>
      <c r="AD96" s="125">
        <f t="shared" si="32"/>
        <v>16754.66</v>
      </c>
      <c r="AE96" s="125">
        <f t="shared" si="31"/>
        <v>12660.388000000001</v>
      </c>
      <c r="AF96" s="125">
        <f t="shared" si="31"/>
        <v>4684.3090000000002</v>
      </c>
      <c r="AG96" s="125">
        <f t="shared" si="31"/>
        <v>34099.357000000004</v>
      </c>
      <c r="AH96" s="125">
        <f t="shared" si="31"/>
        <v>177.208</v>
      </c>
      <c r="AI96" s="146">
        <f t="shared" si="31"/>
        <v>34276.565000000002</v>
      </c>
    </row>
    <row r="97" spans="10:35" ht="15" hidden="1" customHeight="1">
      <c r="J97" s="65"/>
      <c r="K97" s="65"/>
      <c r="L97" s="65"/>
      <c r="M97" s="65"/>
      <c r="N97" s="65"/>
      <c r="U97" s="167">
        <f t="shared" si="23"/>
        <v>2022</v>
      </c>
      <c r="V97" s="98" t="s">
        <v>221</v>
      </c>
      <c r="W97" s="125">
        <f t="shared" si="24"/>
        <v>4188.665</v>
      </c>
      <c r="X97" s="125">
        <f t="shared" si="25"/>
        <v>3165.0970000000002</v>
      </c>
      <c r="Y97" s="125">
        <f t="shared" si="26"/>
        <v>1171.076</v>
      </c>
      <c r="Z97" s="125">
        <f t="shared" si="27"/>
        <v>8524.8379999999997</v>
      </c>
      <c r="AA97" s="125">
        <f t="shared" si="28"/>
        <v>17.571000000000002</v>
      </c>
      <c r="AB97" s="146">
        <f t="shared" si="30"/>
        <v>8542.4089999999997</v>
      </c>
      <c r="AD97" s="125">
        <f t="shared" si="32"/>
        <v>20943.325000000001</v>
      </c>
      <c r="AE97" s="125">
        <f t="shared" si="31"/>
        <v>15825.485000000001</v>
      </c>
      <c r="AF97" s="125">
        <f t="shared" si="31"/>
        <v>5855.3850000000002</v>
      </c>
      <c r="AG97" s="125">
        <f t="shared" si="31"/>
        <v>42624.195000000007</v>
      </c>
      <c r="AH97" s="125">
        <f t="shared" si="31"/>
        <v>194.779</v>
      </c>
      <c r="AI97" s="146">
        <f t="shared" si="31"/>
        <v>42818.974000000002</v>
      </c>
    </row>
    <row r="98" spans="10:35" ht="15" hidden="1" customHeight="1">
      <c r="J98" s="65"/>
      <c r="K98" s="65"/>
      <c r="L98" s="65"/>
      <c r="M98" s="65"/>
      <c r="N98" s="65"/>
      <c r="U98" s="167">
        <f t="shared" si="23"/>
        <v>2022</v>
      </c>
      <c r="V98" s="98" t="s">
        <v>222</v>
      </c>
      <c r="W98" s="125">
        <f t="shared" si="24"/>
        <v>4188.665</v>
      </c>
      <c r="X98" s="125">
        <f t="shared" si="25"/>
        <v>3165.0970000000002</v>
      </c>
      <c r="Y98" s="125">
        <f t="shared" si="26"/>
        <v>1171.079</v>
      </c>
      <c r="Z98" s="125">
        <f t="shared" si="27"/>
        <v>8524.8410000000003</v>
      </c>
      <c r="AA98" s="125">
        <f t="shared" si="28"/>
        <v>17.57</v>
      </c>
      <c r="AB98" s="146">
        <f t="shared" si="30"/>
        <v>8542.4110000000001</v>
      </c>
      <c r="AD98" s="125">
        <f t="shared" si="32"/>
        <v>25131.99</v>
      </c>
      <c r="AE98" s="125">
        <f t="shared" si="31"/>
        <v>18990.582000000002</v>
      </c>
      <c r="AF98" s="125">
        <f t="shared" si="31"/>
        <v>7026.4639999999999</v>
      </c>
      <c r="AG98" s="125">
        <f t="shared" si="31"/>
        <v>51149.036000000007</v>
      </c>
      <c r="AH98" s="125">
        <f t="shared" si="31"/>
        <v>212.34899999999999</v>
      </c>
      <c r="AI98" s="146">
        <f t="shared" si="31"/>
        <v>51361.385000000002</v>
      </c>
    </row>
    <row r="99" spans="10:35" ht="15" hidden="1" customHeight="1">
      <c r="J99" s="65"/>
      <c r="K99" s="65"/>
      <c r="L99" s="65"/>
      <c r="M99" s="65"/>
      <c r="N99" s="65"/>
      <c r="U99" s="167">
        <f t="shared" si="23"/>
        <v>2022</v>
      </c>
      <c r="V99" s="98" t="s">
        <v>223</v>
      </c>
      <c r="W99" s="125">
        <f t="shared" si="24"/>
        <v>4982.58</v>
      </c>
      <c r="X99" s="125">
        <f t="shared" si="25"/>
        <v>-1522.0360000000001</v>
      </c>
      <c r="Y99" s="125">
        <f t="shared" si="26"/>
        <v>-258.92700000000002</v>
      </c>
      <c r="Z99" s="125">
        <f t="shared" si="27"/>
        <v>3201.6170000000002</v>
      </c>
      <c r="AA99" s="125">
        <f t="shared" si="28"/>
        <v>17.571000000000002</v>
      </c>
      <c r="AB99" s="146">
        <f t="shared" si="30"/>
        <v>3219.1880000000001</v>
      </c>
      <c r="AD99" s="125">
        <f t="shared" si="32"/>
        <v>30114.57</v>
      </c>
      <c r="AE99" s="125">
        <f t="shared" si="31"/>
        <v>17468.546000000002</v>
      </c>
      <c r="AF99" s="125">
        <f t="shared" si="31"/>
        <v>6767.5370000000003</v>
      </c>
      <c r="AG99" s="125">
        <f t="shared" si="31"/>
        <v>54350.653000000006</v>
      </c>
      <c r="AH99" s="125">
        <f t="shared" si="31"/>
        <v>229.92</v>
      </c>
      <c r="AI99" s="146">
        <f t="shared" si="31"/>
        <v>54580.573000000004</v>
      </c>
    </row>
    <row r="100" spans="10:35" ht="15" hidden="1" customHeight="1">
      <c r="J100" s="65"/>
      <c r="K100" s="65"/>
      <c r="L100" s="65"/>
      <c r="M100" s="65"/>
      <c r="N100" s="65"/>
      <c r="U100" s="167">
        <f t="shared" si="23"/>
        <v>2022</v>
      </c>
      <c r="V100" s="98" t="s">
        <v>224</v>
      </c>
      <c r="W100" s="125">
        <f t="shared" si="24"/>
        <v>4188.665</v>
      </c>
      <c r="X100" s="125">
        <f t="shared" si="25"/>
        <v>2775.0630000000001</v>
      </c>
      <c r="Y100" s="125">
        <f t="shared" si="26"/>
        <v>791.84799999999996</v>
      </c>
      <c r="Z100" s="125">
        <f t="shared" si="27"/>
        <v>7755.576</v>
      </c>
      <c r="AA100" s="125">
        <f t="shared" si="28"/>
        <v>17.57</v>
      </c>
      <c r="AB100" s="146">
        <f t="shared" si="30"/>
        <v>7773.1459999999997</v>
      </c>
      <c r="AD100" s="125">
        <f t="shared" si="32"/>
        <v>34303.235000000001</v>
      </c>
      <c r="AE100" s="125">
        <f t="shared" si="31"/>
        <v>20243.609000000004</v>
      </c>
      <c r="AF100" s="125">
        <f t="shared" si="31"/>
        <v>7559.3850000000002</v>
      </c>
      <c r="AG100" s="125">
        <f t="shared" si="31"/>
        <v>62106.229000000007</v>
      </c>
      <c r="AH100" s="125">
        <f t="shared" si="31"/>
        <v>247.48999999999998</v>
      </c>
      <c r="AI100" s="146">
        <f t="shared" si="31"/>
        <v>62353.719000000005</v>
      </c>
    </row>
    <row r="101" spans="10:35" ht="15" hidden="1" customHeight="1">
      <c r="J101" s="65"/>
      <c r="K101" s="65"/>
      <c r="L101" s="65"/>
      <c r="M101" s="65"/>
      <c r="N101" s="65"/>
      <c r="U101" s="167">
        <f t="shared" si="23"/>
        <v>2022</v>
      </c>
      <c r="V101" s="98" t="s">
        <v>225</v>
      </c>
      <c r="W101" s="125">
        <f t="shared" si="24"/>
        <v>4188.665</v>
      </c>
      <c r="X101" s="125">
        <f t="shared" si="25"/>
        <v>3165.0949999999998</v>
      </c>
      <c r="Y101" s="125">
        <f t="shared" si="26"/>
        <v>1171.076</v>
      </c>
      <c r="Z101" s="125">
        <f t="shared" si="27"/>
        <v>8524.8359999999993</v>
      </c>
      <c r="AA101" s="125">
        <f t="shared" si="28"/>
        <v>17.571000000000002</v>
      </c>
      <c r="AB101" s="146">
        <f t="shared" si="30"/>
        <v>8542.4069999999992</v>
      </c>
      <c r="AD101" s="125">
        <f t="shared" si="32"/>
        <v>38491.9</v>
      </c>
      <c r="AE101" s="125">
        <f t="shared" si="31"/>
        <v>23408.704000000005</v>
      </c>
      <c r="AF101" s="125">
        <f t="shared" si="31"/>
        <v>8730.4609999999993</v>
      </c>
      <c r="AG101" s="125">
        <f t="shared" si="31"/>
        <v>70631.065000000002</v>
      </c>
      <c r="AH101" s="125">
        <f t="shared" si="31"/>
        <v>265.06099999999998</v>
      </c>
      <c r="AI101" s="146">
        <f t="shared" si="31"/>
        <v>70896.126000000004</v>
      </c>
    </row>
    <row r="102" spans="10:35" ht="15" hidden="1" customHeight="1">
      <c r="J102" s="65"/>
      <c r="K102" s="65"/>
      <c r="L102" s="65"/>
      <c r="M102" s="65"/>
      <c r="N102" s="65"/>
      <c r="U102" s="167">
        <f t="shared" si="23"/>
        <v>2022</v>
      </c>
      <c r="V102" s="98" t="s">
        <v>226</v>
      </c>
      <c r="W102" s="125">
        <f t="shared" si="24"/>
        <v>4188.5169999999998</v>
      </c>
      <c r="X102" s="125">
        <f t="shared" si="25"/>
        <v>2988.9569999999999</v>
      </c>
      <c r="Y102" s="125">
        <f t="shared" si="26"/>
        <v>1166.47</v>
      </c>
      <c r="Z102" s="125">
        <f t="shared" si="27"/>
        <v>8343.9439999999995</v>
      </c>
      <c r="AA102" s="125">
        <f t="shared" si="28"/>
        <v>17.57</v>
      </c>
      <c r="AB102" s="146">
        <f t="shared" si="30"/>
        <v>8361.5139999999992</v>
      </c>
      <c r="AD102" s="125">
        <f t="shared" si="32"/>
        <v>42680.417000000001</v>
      </c>
      <c r="AE102" s="125">
        <f t="shared" si="31"/>
        <v>26397.661000000004</v>
      </c>
      <c r="AF102" s="125">
        <f t="shared" si="31"/>
        <v>9896.9309999999987</v>
      </c>
      <c r="AG102" s="125">
        <f t="shared" si="31"/>
        <v>78975.009000000005</v>
      </c>
      <c r="AH102" s="125">
        <f t="shared" si="31"/>
        <v>282.63099999999997</v>
      </c>
      <c r="AI102" s="146">
        <f t="shared" si="31"/>
        <v>79257.64</v>
      </c>
    </row>
    <row r="103" spans="10:35" ht="15" hidden="1" customHeight="1">
      <c r="J103" s="65"/>
      <c r="K103" s="65"/>
      <c r="L103" s="65"/>
      <c r="M103" s="65"/>
      <c r="N103" s="65"/>
      <c r="U103" s="167">
        <f t="shared" si="23"/>
        <v>2022</v>
      </c>
      <c r="V103" s="98" t="s">
        <v>227</v>
      </c>
      <c r="W103" s="125">
        <f t="shared" si="24"/>
        <v>4188.125</v>
      </c>
      <c r="X103" s="125">
        <f t="shared" si="25"/>
        <v>3112.0680000000002</v>
      </c>
      <c r="Y103" s="125">
        <f t="shared" si="26"/>
        <v>1107.6510000000001</v>
      </c>
      <c r="Z103" s="125">
        <f t="shared" si="27"/>
        <v>8407.8439999999991</v>
      </c>
      <c r="AA103" s="125">
        <f t="shared" si="28"/>
        <v>17.571000000000002</v>
      </c>
      <c r="AB103" s="146">
        <f t="shared" si="30"/>
        <v>8425.4149999999991</v>
      </c>
      <c r="AD103" s="125">
        <f t="shared" si="32"/>
        <v>46868.542000000001</v>
      </c>
      <c r="AE103" s="125">
        <f t="shared" si="31"/>
        <v>29509.729000000003</v>
      </c>
      <c r="AF103" s="125">
        <f t="shared" si="31"/>
        <v>11004.581999999999</v>
      </c>
      <c r="AG103" s="125">
        <f t="shared" si="31"/>
        <v>87382.853000000003</v>
      </c>
      <c r="AH103" s="125">
        <f t="shared" si="31"/>
        <v>300.202</v>
      </c>
      <c r="AI103" s="146">
        <f t="shared" si="31"/>
        <v>87683.054999999993</v>
      </c>
    </row>
    <row r="104" spans="10:35" ht="15" hidden="1" customHeight="1">
      <c r="J104" s="65"/>
      <c r="K104" s="65"/>
      <c r="L104" s="65"/>
      <c r="M104" s="65"/>
      <c r="N104" s="65"/>
      <c r="U104" s="167">
        <f t="shared" si="23"/>
        <v>2022</v>
      </c>
      <c r="V104" s="98" t="s">
        <v>228</v>
      </c>
      <c r="W104" s="125">
        <f t="shared" si="24"/>
        <v>4188.6440000000002</v>
      </c>
      <c r="X104" s="125">
        <f t="shared" si="25"/>
        <v>3165.098</v>
      </c>
      <c r="Y104" s="125">
        <f t="shared" si="26"/>
        <v>1165.8150000000001</v>
      </c>
      <c r="Z104" s="125">
        <f t="shared" si="27"/>
        <v>8519.5570000000007</v>
      </c>
      <c r="AA104" s="125">
        <f t="shared" si="28"/>
        <v>140.89400000000001</v>
      </c>
      <c r="AB104" s="146">
        <f t="shared" si="30"/>
        <v>8660.4510000000009</v>
      </c>
      <c r="AD104" s="125">
        <f t="shared" si="32"/>
        <v>51057.186000000002</v>
      </c>
      <c r="AE104" s="125">
        <f t="shared" si="31"/>
        <v>32674.827000000005</v>
      </c>
      <c r="AF104" s="125">
        <f t="shared" si="31"/>
        <v>12170.396999999999</v>
      </c>
      <c r="AG104" s="125">
        <f t="shared" si="31"/>
        <v>95902.41</v>
      </c>
      <c r="AH104" s="125">
        <f t="shared" si="31"/>
        <v>441.096</v>
      </c>
      <c r="AI104" s="146">
        <f t="shared" si="31"/>
        <v>96343.505999999994</v>
      </c>
    </row>
    <row r="105" spans="10:35" ht="15" hidden="1" customHeight="1">
      <c r="J105" s="65"/>
      <c r="K105" s="65"/>
      <c r="L105" s="65"/>
      <c r="M105" s="65"/>
      <c r="N105" s="65"/>
      <c r="U105" s="164">
        <f t="shared" ref="U105:U116" si="33">Año_seleccionado_C.2.3-1</f>
        <v>2023</v>
      </c>
      <c r="V105" s="165" t="s">
        <v>217</v>
      </c>
      <c r="W105" s="166">
        <f t="shared" si="24"/>
        <v>4728.2020000000002</v>
      </c>
      <c r="X105" s="166">
        <f t="shared" si="25"/>
        <v>3590.8690000000001</v>
      </c>
      <c r="Y105" s="166">
        <f t="shared" si="26"/>
        <v>1189.002</v>
      </c>
      <c r="Z105" s="166">
        <f t="shared" si="27"/>
        <v>9508.0730000000003</v>
      </c>
      <c r="AA105" s="166">
        <f t="shared" si="28"/>
        <v>17.571000000000002</v>
      </c>
      <c r="AB105" s="146">
        <f t="shared" si="30"/>
        <v>9525.6440000000002</v>
      </c>
      <c r="AD105" s="166">
        <f>W105</f>
        <v>4728.2020000000002</v>
      </c>
      <c r="AE105" s="166">
        <f t="shared" ref="AE105:AI105" si="34">X105</f>
        <v>3590.8690000000001</v>
      </c>
      <c r="AF105" s="166">
        <f t="shared" si="34"/>
        <v>1189.002</v>
      </c>
      <c r="AG105" s="166">
        <f t="shared" si="34"/>
        <v>9508.0730000000003</v>
      </c>
      <c r="AH105" s="166">
        <f t="shared" si="34"/>
        <v>17.571000000000002</v>
      </c>
      <c r="AI105" s="146">
        <f t="shared" si="34"/>
        <v>9525.6440000000002</v>
      </c>
    </row>
    <row r="106" spans="10:35" ht="15" hidden="1" customHeight="1">
      <c r="J106" s="65"/>
      <c r="K106" s="65"/>
      <c r="L106" s="65"/>
      <c r="M106" s="65"/>
      <c r="N106" s="65"/>
      <c r="U106" s="167">
        <f t="shared" si="33"/>
        <v>2023</v>
      </c>
      <c r="V106" s="98" t="s">
        <v>218</v>
      </c>
      <c r="W106" s="125">
        <f t="shared" si="24"/>
        <v>4728.2</v>
      </c>
      <c r="X106" s="125">
        <f t="shared" si="25"/>
        <v>3590.87</v>
      </c>
      <c r="Y106" s="125">
        <f t="shared" si="26"/>
        <v>1188.999</v>
      </c>
      <c r="Z106" s="125">
        <f t="shared" si="27"/>
        <v>9508.0689999999995</v>
      </c>
      <c r="AA106" s="125">
        <f t="shared" si="28"/>
        <v>17.364000000000001</v>
      </c>
      <c r="AB106" s="146">
        <f t="shared" si="30"/>
        <v>9525.4329999999991</v>
      </c>
      <c r="AD106" s="125">
        <f>AD105+W106</f>
        <v>9456.402</v>
      </c>
      <c r="AE106" s="125">
        <f t="shared" ref="AE106:AI116" si="35">AE105+X106</f>
        <v>7181.7389999999996</v>
      </c>
      <c r="AF106" s="125">
        <f t="shared" si="35"/>
        <v>2378.0010000000002</v>
      </c>
      <c r="AG106" s="125">
        <f t="shared" si="35"/>
        <v>19016.142</v>
      </c>
      <c r="AH106" s="125">
        <f t="shared" si="35"/>
        <v>34.935000000000002</v>
      </c>
      <c r="AI106" s="146">
        <f t="shared" si="35"/>
        <v>19051.076999999997</v>
      </c>
    </row>
    <row r="107" spans="10:35" ht="15" hidden="1" customHeight="1">
      <c r="J107" s="65"/>
      <c r="K107" s="65"/>
      <c r="L107" s="65"/>
      <c r="M107" s="65"/>
      <c r="N107" s="65"/>
      <c r="U107" s="167">
        <f t="shared" si="33"/>
        <v>2023</v>
      </c>
      <c r="V107" s="98" t="s">
        <v>219</v>
      </c>
      <c r="W107" s="125">
        <f t="shared" si="24"/>
        <v>4728.2030000000004</v>
      </c>
      <c r="X107" s="125">
        <f t="shared" si="25"/>
        <v>3590.87</v>
      </c>
      <c r="Y107" s="125">
        <f t="shared" si="26"/>
        <v>1188.999</v>
      </c>
      <c r="Z107" s="125">
        <f t="shared" si="27"/>
        <v>9508.0720000000001</v>
      </c>
      <c r="AA107" s="125">
        <f t="shared" si="28"/>
        <v>17.364999999999998</v>
      </c>
      <c r="AB107" s="146">
        <f t="shared" si="30"/>
        <v>9525.4369999999999</v>
      </c>
      <c r="AD107" s="125">
        <f t="shared" ref="AD107:AD116" si="36">AD106+W107</f>
        <v>14184.605</v>
      </c>
      <c r="AE107" s="125">
        <f t="shared" si="35"/>
        <v>10772.609</v>
      </c>
      <c r="AF107" s="125">
        <f t="shared" si="35"/>
        <v>3567</v>
      </c>
      <c r="AG107" s="125">
        <f t="shared" si="35"/>
        <v>28524.214</v>
      </c>
      <c r="AH107" s="125">
        <f t="shared" si="35"/>
        <v>52.3</v>
      </c>
      <c r="AI107" s="146">
        <f t="shared" si="35"/>
        <v>28576.513999999996</v>
      </c>
    </row>
    <row r="108" spans="10:35" ht="15" hidden="1" customHeight="1">
      <c r="J108" s="65"/>
      <c r="K108" s="65"/>
      <c r="L108" s="65"/>
      <c r="M108" s="65"/>
      <c r="N108" s="65"/>
      <c r="U108" s="167">
        <f t="shared" si="33"/>
        <v>2023</v>
      </c>
      <c r="V108" s="98" t="s">
        <v>220</v>
      </c>
      <c r="W108" s="125">
        <f t="shared" si="24"/>
        <v>4728.2</v>
      </c>
      <c r="X108" s="125">
        <f t="shared" si="25"/>
        <v>3590.87</v>
      </c>
      <c r="Y108" s="125">
        <f t="shared" si="26"/>
        <v>1189.002</v>
      </c>
      <c r="Z108" s="125">
        <f t="shared" si="27"/>
        <v>9508.0720000000001</v>
      </c>
      <c r="AA108" s="125">
        <f t="shared" si="28"/>
        <v>17.364999999999998</v>
      </c>
      <c r="AB108" s="146">
        <f t="shared" si="30"/>
        <v>9525.4369999999999</v>
      </c>
      <c r="AD108" s="125">
        <f t="shared" si="36"/>
        <v>18912.805</v>
      </c>
      <c r="AE108" s="125">
        <f t="shared" si="35"/>
        <v>14363.478999999999</v>
      </c>
      <c r="AF108" s="125">
        <f t="shared" si="35"/>
        <v>4756.0020000000004</v>
      </c>
      <c r="AG108" s="125">
        <f t="shared" si="35"/>
        <v>38032.286</v>
      </c>
      <c r="AH108" s="125">
        <f t="shared" si="35"/>
        <v>69.664999999999992</v>
      </c>
      <c r="AI108" s="146">
        <f t="shared" si="35"/>
        <v>38101.950999999994</v>
      </c>
    </row>
    <row r="109" spans="10:35" ht="15" hidden="1" customHeight="1">
      <c r="J109" s="65"/>
      <c r="K109" s="65"/>
      <c r="L109" s="65"/>
      <c r="M109" s="65"/>
      <c r="N109" s="65"/>
      <c r="U109" s="167">
        <f t="shared" si="33"/>
        <v>2023</v>
      </c>
      <c r="V109" s="98" t="s">
        <v>221</v>
      </c>
      <c r="W109" s="125">
        <f t="shared" si="24"/>
        <v>4728.2020000000002</v>
      </c>
      <c r="X109" s="125">
        <f t="shared" si="25"/>
        <v>3590.8690000000001</v>
      </c>
      <c r="Y109" s="125">
        <f t="shared" si="26"/>
        <v>1189.001</v>
      </c>
      <c r="Z109" s="125">
        <f t="shared" si="27"/>
        <v>9508.0720000000001</v>
      </c>
      <c r="AA109" s="125">
        <f t="shared" si="28"/>
        <v>17.364000000000001</v>
      </c>
      <c r="AB109" s="146">
        <f t="shared" si="30"/>
        <v>9525.4359999999997</v>
      </c>
      <c r="AD109" s="125">
        <f t="shared" si="36"/>
        <v>23641.007000000001</v>
      </c>
      <c r="AE109" s="125">
        <f t="shared" si="35"/>
        <v>17954.347999999998</v>
      </c>
      <c r="AF109" s="125">
        <f t="shared" si="35"/>
        <v>5945.0030000000006</v>
      </c>
      <c r="AG109" s="125">
        <f t="shared" si="35"/>
        <v>47540.358</v>
      </c>
      <c r="AH109" s="125">
        <f t="shared" si="35"/>
        <v>87.028999999999996</v>
      </c>
      <c r="AI109" s="146">
        <f t="shared" si="35"/>
        <v>47627.386999999995</v>
      </c>
    </row>
    <row r="110" spans="10:35" ht="15" hidden="1" customHeight="1">
      <c r="J110" s="65"/>
      <c r="K110" s="65"/>
      <c r="L110" s="65"/>
      <c r="M110" s="65"/>
      <c r="N110" s="65"/>
      <c r="U110" s="167">
        <f t="shared" si="33"/>
        <v>2023</v>
      </c>
      <c r="V110" s="98" t="s">
        <v>222</v>
      </c>
      <c r="W110" s="125">
        <f t="shared" si="24"/>
        <v>4728.2</v>
      </c>
      <c r="X110" s="125">
        <f t="shared" si="25"/>
        <v>3590.87</v>
      </c>
      <c r="Y110" s="125">
        <f t="shared" si="26"/>
        <v>1189.002</v>
      </c>
      <c r="Z110" s="125">
        <f t="shared" si="27"/>
        <v>9508.0720000000001</v>
      </c>
      <c r="AA110" s="125">
        <f t="shared" si="28"/>
        <v>17.658000000000001</v>
      </c>
      <c r="AB110" s="146">
        <f t="shared" si="30"/>
        <v>9525.73</v>
      </c>
      <c r="AD110" s="125">
        <f t="shared" si="36"/>
        <v>28369.207000000002</v>
      </c>
      <c r="AE110" s="125">
        <f t="shared" si="35"/>
        <v>21545.217999999997</v>
      </c>
      <c r="AF110" s="125">
        <f t="shared" si="35"/>
        <v>7134.005000000001</v>
      </c>
      <c r="AG110" s="125">
        <f t="shared" si="35"/>
        <v>57048.43</v>
      </c>
      <c r="AH110" s="125">
        <f t="shared" si="35"/>
        <v>104.687</v>
      </c>
      <c r="AI110" s="146">
        <f t="shared" si="35"/>
        <v>57153.116999999998</v>
      </c>
    </row>
    <row r="111" spans="10:35" ht="15" hidden="1" customHeight="1">
      <c r="J111" s="65"/>
      <c r="K111" s="65"/>
      <c r="L111" s="65"/>
      <c r="M111" s="65"/>
      <c r="N111" s="65"/>
      <c r="U111" s="167">
        <f t="shared" si="33"/>
        <v>2023</v>
      </c>
      <c r="V111" s="98" t="s">
        <v>223</v>
      </c>
      <c r="W111" s="125">
        <f t="shared" si="24"/>
        <v>9787.107</v>
      </c>
      <c r="X111" s="125">
        <f t="shared" si="25"/>
        <v>4105.53</v>
      </c>
      <c r="Y111" s="125">
        <f t="shared" si="26"/>
        <v>229.00899999999999</v>
      </c>
      <c r="Z111" s="125">
        <f t="shared" si="27"/>
        <v>14121.646000000001</v>
      </c>
      <c r="AA111" s="125">
        <f t="shared" si="28"/>
        <v>17.364999999999998</v>
      </c>
      <c r="AB111" s="146">
        <f t="shared" si="30"/>
        <v>14139.011</v>
      </c>
      <c r="AD111" s="125">
        <f t="shared" si="36"/>
        <v>38156.313999999998</v>
      </c>
      <c r="AE111" s="125">
        <f t="shared" si="35"/>
        <v>25650.747999999996</v>
      </c>
      <c r="AF111" s="125">
        <f t="shared" si="35"/>
        <v>7363.014000000001</v>
      </c>
      <c r="AG111" s="125">
        <f t="shared" si="35"/>
        <v>71170.076000000001</v>
      </c>
      <c r="AH111" s="125">
        <f t="shared" si="35"/>
        <v>122.05199999999999</v>
      </c>
      <c r="AI111" s="146">
        <f t="shared" si="35"/>
        <v>71292.127999999997</v>
      </c>
    </row>
    <row r="112" spans="10:35" ht="15" hidden="1" customHeight="1">
      <c r="J112" s="65"/>
      <c r="K112" s="65"/>
      <c r="L112" s="65"/>
      <c r="M112" s="65"/>
      <c r="N112" s="65"/>
      <c r="U112" s="167">
        <f t="shared" si="33"/>
        <v>2023</v>
      </c>
      <c r="V112" s="98" t="s">
        <v>224</v>
      </c>
      <c r="W112" s="125">
        <f t="shared" si="24"/>
        <v>4728.201</v>
      </c>
      <c r="X112" s="125">
        <f t="shared" si="25"/>
        <v>3590.87</v>
      </c>
      <c r="Y112" s="125">
        <f t="shared" si="26"/>
        <v>1189.001</v>
      </c>
      <c r="Z112" s="125">
        <f t="shared" si="27"/>
        <v>9508.0720000000001</v>
      </c>
      <c r="AA112" s="125">
        <f t="shared" si="28"/>
        <v>17.364000000000001</v>
      </c>
      <c r="AB112" s="146">
        <f t="shared" si="30"/>
        <v>9525.4359999999997</v>
      </c>
      <c r="AD112" s="125">
        <f t="shared" si="36"/>
        <v>42884.514999999999</v>
      </c>
      <c r="AE112" s="125">
        <f t="shared" si="35"/>
        <v>29241.617999999995</v>
      </c>
      <c r="AF112" s="125">
        <f t="shared" si="35"/>
        <v>8552.0150000000012</v>
      </c>
      <c r="AG112" s="125">
        <f t="shared" si="35"/>
        <v>80678.148000000001</v>
      </c>
      <c r="AH112" s="125">
        <f t="shared" si="35"/>
        <v>139.416</v>
      </c>
      <c r="AI112" s="146">
        <f t="shared" si="35"/>
        <v>80817.563999999998</v>
      </c>
    </row>
    <row r="113" spans="10:35" ht="15" hidden="1" customHeight="1">
      <c r="J113" s="65"/>
      <c r="K113" s="65"/>
      <c r="L113" s="65"/>
      <c r="M113" s="65"/>
      <c r="N113" s="65"/>
      <c r="U113" s="167">
        <f t="shared" si="33"/>
        <v>2023</v>
      </c>
      <c r="V113" s="98" t="s">
        <v>225</v>
      </c>
      <c r="W113" s="125">
        <f t="shared" si="24"/>
        <v>4728.2020000000002</v>
      </c>
      <c r="X113" s="125">
        <f t="shared" si="25"/>
        <v>3590.8690000000001</v>
      </c>
      <c r="Y113" s="125">
        <f t="shared" si="26"/>
        <v>1189.002</v>
      </c>
      <c r="Z113" s="125">
        <f t="shared" si="27"/>
        <v>9508.0730000000003</v>
      </c>
      <c r="AA113" s="125">
        <f t="shared" si="28"/>
        <v>17.364999999999998</v>
      </c>
      <c r="AB113" s="146">
        <f t="shared" si="30"/>
        <v>9525.4380000000001</v>
      </c>
      <c r="AD113" s="125">
        <f t="shared" si="36"/>
        <v>47612.716999999997</v>
      </c>
      <c r="AE113" s="125">
        <f t="shared" si="35"/>
        <v>32832.486999999994</v>
      </c>
      <c r="AF113" s="125">
        <f t="shared" si="35"/>
        <v>9741.0170000000016</v>
      </c>
      <c r="AG113" s="125">
        <f t="shared" si="35"/>
        <v>90186.221000000005</v>
      </c>
      <c r="AH113" s="125">
        <f t="shared" si="35"/>
        <v>156.78100000000001</v>
      </c>
      <c r="AI113" s="146">
        <f t="shared" si="35"/>
        <v>90343.001999999993</v>
      </c>
    </row>
    <row r="114" spans="10:35" ht="15" hidden="1" customHeight="1">
      <c r="J114" s="65"/>
      <c r="K114" s="65"/>
      <c r="L114" s="65"/>
      <c r="M114" s="65"/>
      <c r="N114" s="65"/>
      <c r="U114" s="167">
        <f t="shared" si="33"/>
        <v>2023</v>
      </c>
      <c r="V114" s="98" t="s">
        <v>226</v>
      </c>
      <c r="W114" s="125">
        <f t="shared" si="24"/>
        <v>4728.2</v>
      </c>
      <c r="X114" s="125">
        <f t="shared" si="25"/>
        <v>3590.8710000000001</v>
      </c>
      <c r="Y114" s="125">
        <f t="shared" si="26"/>
        <v>1188.8399999999999</v>
      </c>
      <c r="Z114" s="125">
        <f t="shared" si="27"/>
        <v>9507.9110000000001</v>
      </c>
      <c r="AA114" s="125">
        <f t="shared" si="28"/>
        <v>17.364999999999998</v>
      </c>
      <c r="AB114" s="146">
        <f t="shared" si="30"/>
        <v>9525.2759999999998</v>
      </c>
      <c r="AD114" s="125">
        <f t="shared" si="36"/>
        <v>52340.916999999994</v>
      </c>
      <c r="AE114" s="125">
        <f t="shared" si="35"/>
        <v>36423.357999999993</v>
      </c>
      <c r="AF114" s="125">
        <f t="shared" si="35"/>
        <v>10929.857000000002</v>
      </c>
      <c r="AG114" s="125">
        <f t="shared" si="35"/>
        <v>99694.132000000012</v>
      </c>
      <c r="AH114" s="125">
        <f t="shared" si="35"/>
        <v>174.14600000000002</v>
      </c>
      <c r="AI114" s="146">
        <f t="shared" si="35"/>
        <v>99868.277999999991</v>
      </c>
    </row>
    <row r="115" spans="10:35" ht="15" hidden="1" customHeight="1">
      <c r="J115" s="65"/>
      <c r="K115" s="65"/>
      <c r="L115" s="65"/>
      <c r="M115" s="65"/>
      <c r="N115" s="65"/>
      <c r="U115" s="167">
        <f t="shared" si="33"/>
        <v>2023</v>
      </c>
      <c r="V115" s="98" t="s">
        <v>227</v>
      </c>
      <c r="W115" s="125">
        <f t="shared" si="24"/>
        <v>4728.2020000000002</v>
      </c>
      <c r="X115" s="125">
        <f t="shared" si="25"/>
        <v>3590.8690000000001</v>
      </c>
      <c r="Y115" s="125">
        <f t="shared" si="26"/>
        <v>1189.0029999999999</v>
      </c>
      <c r="Z115" s="125">
        <f t="shared" si="27"/>
        <v>9508.0740000000005</v>
      </c>
      <c r="AA115" s="125">
        <f t="shared" si="28"/>
        <v>17.364000000000001</v>
      </c>
      <c r="AB115" s="146">
        <f t="shared" si="30"/>
        <v>9525.4380000000001</v>
      </c>
      <c r="AD115" s="125">
        <f t="shared" si="36"/>
        <v>57069.118999999992</v>
      </c>
      <c r="AE115" s="125">
        <f t="shared" si="35"/>
        <v>40014.226999999992</v>
      </c>
      <c r="AF115" s="125">
        <f t="shared" si="35"/>
        <v>12118.860000000002</v>
      </c>
      <c r="AG115" s="125">
        <f t="shared" si="35"/>
        <v>109202.20600000001</v>
      </c>
      <c r="AH115" s="125">
        <f t="shared" si="35"/>
        <v>191.51000000000002</v>
      </c>
      <c r="AI115" s="146">
        <f t="shared" si="35"/>
        <v>109393.71599999999</v>
      </c>
    </row>
    <row r="116" spans="10:35" ht="15" hidden="1" customHeight="1">
      <c r="J116" s="65"/>
      <c r="K116" s="65"/>
      <c r="L116" s="65"/>
      <c r="M116" s="65"/>
      <c r="N116" s="65"/>
      <c r="U116" s="167">
        <f t="shared" si="33"/>
        <v>2023</v>
      </c>
      <c r="V116" s="98" t="s">
        <v>228</v>
      </c>
      <c r="W116" s="125">
        <f t="shared" si="24"/>
        <v>4728.2020000000002</v>
      </c>
      <c r="X116" s="125">
        <f t="shared" si="25"/>
        <v>3590.8690000000001</v>
      </c>
      <c r="Y116" s="125">
        <f t="shared" si="26"/>
        <v>1189</v>
      </c>
      <c r="Z116" s="125">
        <f t="shared" si="27"/>
        <v>9508.0709999999999</v>
      </c>
      <c r="AA116" s="125">
        <f t="shared" si="28"/>
        <v>17.364999999999998</v>
      </c>
      <c r="AB116" s="146">
        <f t="shared" si="30"/>
        <v>9525.4359999999997</v>
      </c>
      <c r="AD116" s="125">
        <f t="shared" si="36"/>
        <v>61797.320999999989</v>
      </c>
      <c r="AE116" s="125">
        <f t="shared" si="35"/>
        <v>43605.09599999999</v>
      </c>
      <c r="AF116" s="125">
        <f t="shared" si="35"/>
        <v>13307.860000000002</v>
      </c>
      <c r="AG116" s="125">
        <f t="shared" si="35"/>
        <v>118710.277</v>
      </c>
      <c r="AH116" s="125">
        <f t="shared" si="35"/>
        <v>208.87500000000003</v>
      </c>
      <c r="AI116" s="146">
        <f t="shared" si="35"/>
        <v>118919.15199999999</v>
      </c>
    </row>
    <row r="117" spans="10:35" ht="15" hidden="1" customHeight="1">
      <c r="J117" s="65"/>
      <c r="K117" s="65"/>
      <c r="L117" s="65"/>
      <c r="M117" s="65"/>
      <c r="N117" s="65"/>
      <c r="R117"/>
      <c r="S117" s="129">
        <f>IF(S118="",IF(V117=" ","",1),2)</f>
        <v>2</v>
      </c>
      <c r="T117" s="2" t="str">
        <f>IF(SUMIFS(Data!$D$8:$D$367,Data!$A$8:$A$367,$U117,Data!$C$8:$C$367,$V105),"NO","SI")</f>
        <v>NO</v>
      </c>
      <c r="U117" s="164">
        <f t="shared" ref="U117:U128" si="37">Año_seleccionado_C.2.3</f>
        <v>2024</v>
      </c>
      <c r="V117" s="165" t="s">
        <v>217</v>
      </c>
      <c r="W117" s="166">
        <f t="shared" si="24"/>
        <v>4874.1540000000005</v>
      </c>
      <c r="X117" s="166">
        <f t="shared" si="25"/>
        <v>3591.33</v>
      </c>
      <c r="Y117" s="166">
        <f t="shared" si="26"/>
        <v>1189.1469999999999</v>
      </c>
      <c r="Z117" s="166">
        <f t="shared" si="27"/>
        <v>9654.6309999999994</v>
      </c>
      <c r="AA117" s="166">
        <f t="shared" si="28"/>
        <v>165.31200000000001</v>
      </c>
      <c r="AB117" s="146">
        <f t="shared" si="30"/>
        <v>9819.9429999999993</v>
      </c>
      <c r="AD117" s="166">
        <f>W117</f>
        <v>4874.1540000000005</v>
      </c>
      <c r="AE117" s="166">
        <f t="shared" ref="AE117:AI117" si="38">X117</f>
        <v>3591.33</v>
      </c>
      <c r="AF117" s="166">
        <f t="shared" si="38"/>
        <v>1189.1469999999999</v>
      </c>
      <c r="AG117" s="166">
        <f t="shared" si="38"/>
        <v>9654.6309999999994</v>
      </c>
      <c r="AH117" s="166">
        <f t="shared" si="38"/>
        <v>165.31200000000001</v>
      </c>
      <c r="AI117" s="146">
        <f t="shared" si="38"/>
        <v>9819.9429999999993</v>
      </c>
    </row>
    <row r="118" spans="10:35" ht="15" hidden="1" customHeight="1">
      <c r="J118" s="65"/>
      <c r="K118" s="65"/>
      <c r="L118" s="65"/>
      <c r="M118" s="65"/>
      <c r="N118" s="65"/>
      <c r="R118"/>
      <c r="S118" s="129">
        <f t="shared" ref="S118:S127" si="39">IF(S119="",IF(V118=" ","",1),2)</f>
        <v>1</v>
      </c>
      <c r="T118" s="2" t="str">
        <f>IF(SUMIFS(Data!$D$8:$D$367,Data!$A$8:$A$367,$U118,Data!$C$8:$C$367,$V106),"NO","SI")</f>
        <v>NO</v>
      </c>
      <c r="U118" s="167">
        <f t="shared" si="37"/>
        <v>2024</v>
      </c>
      <c r="V118" s="98" t="str">
        <f>IF($T118="SI"," ",V106)</f>
        <v>FEBRUARY</v>
      </c>
      <c r="W118" s="125">
        <f t="shared" si="24"/>
        <v>4874.1530000000002</v>
      </c>
      <c r="X118" s="125">
        <f t="shared" si="25"/>
        <v>3591.33</v>
      </c>
      <c r="Y118" s="125">
        <f t="shared" si="26"/>
        <v>1189.1469999999999</v>
      </c>
      <c r="Z118" s="125">
        <f t="shared" si="27"/>
        <v>9654.6299999999992</v>
      </c>
      <c r="AA118" s="125">
        <f t="shared" si="28"/>
        <v>18.725999999999999</v>
      </c>
      <c r="AB118" s="146">
        <f t="shared" si="30"/>
        <v>9673.3559999999998</v>
      </c>
      <c r="AD118" s="125">
        <f>AD117+W118</f>
        <v>9748.3070000000007</v>
      </c>
      <c r="AE118" s="125">
        <f t="shared" ref="AE118:AI128" si="40">AE117+X118</f>
        <v>7182.66</v>
      </c>
      <c r="AF118" s="125">
        <f t="shared" si="40"/>
        <v>2378.2939999999999</v>
      </c>
      <c r="AG118" s="125">
        <f t="shared" si="40"/>
        <v>19309.260999999999</v>
      </c>
      <c r="AH118" s="125">
        <f t="shared" si="40"/>
        <v>184.03800000000001</v>
      </c>
      <c r="AI118" s="146">
        <f t="shared" si="40"/>
        <v>19493.298999999999</v>
      </c>
    </row>
    <row r="119" spans="10:35" ht="15" hidden="1" customHeight="1">
      <c r="J119" s="65"/>
      <c r="K119" s="65"/>
      <c r="L119" s="65"/>
      <c r="M119" s="65"/>
      <c r="N119" s="65"/>
      <c r="R119"/>
      <c r="S119" s="129" t="str">
        <f t="shared" si="39"/>
        <v/>
      </c>
      <c r="T119" s="2" t="str">
        <f>IF(SUMIFS(Data!$D$8:$D$367,Data!$A$8:$A$367,$U119,Data!$C$8:$C$367,$V107),"NO","SI")</f>
        <v>SI</v>
      </c>
      <c r="U119" s="167">
        <f t="shared" si="37"/>
        <v>2024</v>
      </c>
      <c r="V119" s="98" t="str">
        <f t="shared" ref="V119:V128" si="41">IF($T119="SI"," ",V107)</f>
        <v xml:space="preserve"> </v>
      </c>
      <c r="W119" s="125">
        <f t="shared" si="24"/>
        <v>0</v>
      </c>
      <c r="X119" s="125">
        <f t="shared" si="25"/>
        <v>0</v>
      </c>
      <c r="Y119" s="125">
        <f t="shared" si="26"/>
        <v>0</v>
      </c>
      <c r="Z119" s="125">
        <f t="shared" si="27"/>
        <v>0</v>
      </c>
      <c r="AA119" s="125">
        <f t="shared" si="28"/>
        <v>0</v>
      </c>
      <c r="AB119" s="146">
        <f t="shared" si="30"/>
        <v>0</v>
      </c>
      <c r="AD119" s="125">
        <f t="shared" ref="AD119:AD128" si="42">AD118+W119</f>
        <v>9748.3070000000007</v>
      </c>
      <c r="AE119" s="125">
        <f t="shared" si="40"/>
        <v>7182.66</v>
      </c>
      <c r="AF119" s="125">
        <f t="shared" si="40"/>
        <v>2378.2939999999999</v>
      </c>
      <c r="AG119" s="125">
        <f t="shared" si="40"/>
        <v>19309.260999999999</v>
      </c>
      <c r="AH119" s="125">
        <f t="shared" si="40"/>
        <v>184.03800000000001</v>
      </c>
      <c r="AI119" s="146">
        <f t="shared" si="40"/>
        <v>19493.298999999999</v>
      </c>
    </row>
    <row r="120" spans="10:35" ht="15" hidden="1" customHeight="1">
      <c r="J120" s="65"/>
      <c r="K120" s="65"/>
      <c r="L120" s="65"/>
      <c r="M120" s="65"/>
      <c r="N120" s="65"/>
      <c r="R120"/>
      <c r="S120" s="129" t="str">
        <f t="shared" si="39"/>
        <v/>
      </c>
      <c r="T120" s="2" t="str">
        <f>IF(SUMIFS(Data!$D$8:$D$367,Data!$A$8:$A$367,$U120,Data!$C$8:$C$367,$V108),"NO","SI")</f>
        <v>SI</v>
      </c>
      <c r="U120" s="167">
        <f t="shared" si="37"/>
        <v>2024</v>
      </c>
      <c r="V120" s="98" t="str">
        <f t="shared" si="41"/>
        <v xml:space="preserve"> </v>
      </c>
      <c r="W120" s="125">
        <f t="shared" si="24"/>
        <v>0</v>
      </c>
      <c r="X120" s="125">
        <f t="shared" si="25"/>
        <v>0</v>
      </c>
      <c r="Y120" s="125">
        <f t="shared" si="26"/>
        <v>0</v>
      </c>
      <c r="Z120" s="125">
        <f t="shared" si="27"/>
        <v>0</v>
      </c>
      <c r="AA120" s="125">
        <f t="shared" si="28"/>
        <v>0</v>
      </c>
      <c r="AB120" s="146">
        <f t="shared" si="30"/>
        <v>0</v>
      </c>
      <c r="AD120" s="125">
        <f t="shared" si="42"/>
        <v>9748.3070000000007</v>
      </c>
      <c r="AE120" s="125">
        <f t="shared" si="40"/>
        <v>7182.66</v>
      </c>
      <c r="AF120" s="125">
        <f t="shared" si="40"/>
        <v>2378.2939999999999</v>
      </c>
      <c r="AG120" s="125">
        <f t="shared" si="40"/>
        <v>19309.260999999999</v>
      </c>
      <c r="AH120" s="125">
        <f t="shared" si="40"/>
        <v>184.03800000000001</v>
      </c>
      <c r="AI120" s="146">
        <f t="shared" si="40"/>
        <v>19493.298999999999</v>
      </c>
    </row>
    <row r="121" spans="10:35" ht="15" hidden="1" customHeight="1">
      <c r="J121" s="65"/>
      <c r="K121" s="65"/>
      <c r="L121" s="65"/>
      <c r="M121" s="65"/>
      <c r="N121" s="65"/>
      <c r="R121"/>
      <c r="S121" s="129" t="str">
        <f t="shared" si="39"/>
        <v/>
      </c>
      <c r="T121" s="2" t="str">
        <f>IF(SUMIFS(Data!$D$8:$D$367,Data!$A$8:$A$367,$U121,Data!$C$8:$C$367,$V109),"NO","SI")</f>
        <v>SI</v>
      </c>
      <c r="U121" s="167">
        <f t="shared" si="37"/>
        <v>2024</v>
      </c>
      <c r="V121" s="98" t="str">
        <f t="shared" si="41"/>
        <v xml:space="preserve"> </v>
      </c>
      <c r="W121" s="125">
        <f t="shared" si="24"/>
        <v>0</v>
      </c>
      <c r="X121" s="125">
        <f t="shared" si="25"/>
        <v>0</v>
      </c>
      <c r="Y121" s="125">
        <f t="shared" si="26"/>
        <v>0</v>
      </c>
      <c r="Z121" s="125">
        <f t="shared" si="27"/>
        <v>0</v>
      </c>
      <c r="AA121" s="125">
        <f t="shared" si="28"/>
        <v>0</v>
      </c>
      <c r="AB121" s="146">
        <f t="shared" si="30"/>
        <v>0</v>
      </c>
      <c r="AD121" s="125">
        <f t="shared" si="42"/>
        <v>9748.3070000000007</v>
      </c>
      <c r="AE121" s="125">
        <f t="shared" si="40"/>
        <v>7182.66</v>
      </c>
      <c r="AF121" s="125">
        <f t="shared" si="40"/>
        <v>2378.2939999999999</v>
      </c>
      <c r="AG121" s="125">
        <f t="shared" si="40"/>
        <v>19309.260999999999</v>
      </c>
      <c r="AH121" s="125">
        <f t="shared" si="40"/>
        <v>184.03800000000001</v>
      </c>
      <c r="AI121" s="146">
        <f t="shared" si="40"/>
        <v>19493.298999999999</v>
      </c>
    </row>
    <row r="122" spans="10:35" ht="15" hidden="1" customHeight="1">
      <c r="J122" s="65"/>
      <c r="K122" s="65"/>
      <c r="L122" s="65"/>
      <c r="M122" s="65"/>
      <c r="N122" s="65"/>
      <c r="R122"/>
      <c r="S122" s="129" t="str">
        <f t="shared" si="39"/>
        <v/>
      </c>
      <c r="T122" s="2" t="str">
        <f>IF(SUMIFS(Data!$D$8:$D$367,Data!$A$8:$A$367,$U122,Data!$C$8:$C$367,$V110),"NO","SI")</f>
        <v>SI</v>
      </c>
      <c r="U122" s="167">
        <f t="shared" si="37"/>
        <v>2024</v>
      </c>
      <c r="V122" s="98" t="str">
        <f t="shared" si="41"/>
        <v xml:space="preserve"> </v>
      </c>
      <c r="W122" s="125">
        <f t="shared" si="24"/>
        <v>0</v>
      </c>
      <c r="X122" s="125">
        <f t="shared" si="25"/>
        <v>0</v>
      </c>
      <c r="Y122" s="125">
        <f t="shared" si="26"/>
        <v>0</v>
      </c>
      <c r="Z122" s="125">
        <f t="shared" si="27"/>
        <v>0</v>
      </c>
      <c r="AA122" s="125">
        <f t="shared" si="28"/>
        <v>0</v>
      </c>
      <c r="AB122" s="146">
        <f t="shared" si="30"/>
        <v>0</v>
      </c>
      <c r="AD122" s="125">
        <f t="shared" si="42"/>
        <v>9748.3070000000007</v>
      </c>
      <c r="AE122" s="125">
        <f t="shared" si="40"/>
        <v>7182.66</v>
      </c>
      <c r="AF122" s="125">
        <f t="shared" si="40"/>
        <v>2378.2939999999999</v>
      </c>
      <c r="AG122" s="125">
        <f t="shared" si="40"/>
        <v>19309.260999999999</v>
      </c>
      <c r="AH122" s="125">
        <f t="shared" si="40"/>
        <v>184.03800000000001</v>
      </c>
      <c r="AI122" s="146">
        <f t="shared" si="40"/>
        <v>19493.298999999999</v>
      </c>
    </row>
    <row r="123" spans="10:35" ht="15" hidden="1" customHeight="1">
      <c r="J123" s="65"/>
      <c r="K123" s="65"/>
      <c r="L123" s="65"/>
      <c r="M123" s="65"/>
      <c r="N123" s="65"/>
      <c r="R123"/>
      <c r="S123" s="129" t="str">
        <f t="shared" si="39"/>
        <v/>
      </c>
      <c r="T123" s="2" t="str">
        <f>IF(SUMIFS(Data!$D$8:$D$367,Data!$A$8:$A$367,$U123,Data!$C$8:$C$367,$V111),"NO","SI")</f>
        <v>SI</v>
      </c>
      <c r="U123" s="167">
        <f t="shared" si="37"/>
        <v>2024</v>
      </c>
      <c r="V123" s="98" t="str">
        <f t="shared" si="41"/>
        <v xml:space="preserve"> </v>
      </c>
      <c r="W123" s="125">
        <f t="shared" si="24"/>
        <v>0</v>
      </c>
      <c r="X123" s="125">
        <f t="shared" si="25"/>
        <v>0</v>
      </c>
      <c r="Y123" s="125">
        <f t="shared" si="26"/>
        <v>0</v>
      </c>
      <c r="Z123" s="125">
        <f t="shared" si="27"/>
        <v>0</v>
      </c>
      <c r="AA123" s="125">
        <f t="shared" si="28"/>
        <v>0</v>
      </c>
      <c r="AB123" s="146">
        <f t="shared" si="30"/>
        <v>0</v>
      </c>
      <c r="AD123" s="125">
        <f t="shared" si="42"/>
        <v>9748.3070000000007</v>
      </c>
      <c r="AE123" s="125">
        <f t="shared" si="40"/>
        <v>7182.66</v>
      </c>
      <c r="AF123" s="125">
        <f t="shared" si="40"/>
        <v>2378.2939999999999</v>
      </c>
      <c r="AG123" s="125">
        <f t="shared" si="40"/>
        <v>19309.260999999999</v>
      </c>
      <c r="AH123" s="125">
        <f t="shared" si="40"/>
        <v>184.03800000000001</v>
      </c>
      <c r="AI123" s="146">
        <f t="shared" si="40"/>
        <v>19493.298999999999</v>
      </c>
    </row>
    <row r="124" spans="10:35" ht="15" hidden="1" customHeight="1">
      <c r="J124" s="65"/>
      <c r="K124" s="65"/>
      <c r="L124" s="65"/>
      <c r="M124" s="65"/>
      <c r="N124" s="65"/>
      <c r="R124"/>
      <c r="S124" s="129" t="str">
        <f t="shared" si="39"/>
        <v/>
      </c>
      <c r="T124" s="2" t="str">
        <f>IF(SUMIFS(Data!$D$8:$D$367,Data!$A$8:$A$367,$U124,Data!$C$8:$C$367,$V112),"NO","SI")</f>
        <v>SI</v>
      </c>
      <c r="U124" s="167">
        <f t="shared" si="37"/>
        <v>2024</v>
      </c>
      <c r="V124" s="98" t="str">
        <f t="shared" si="41"/>
        <v xml:space="preserve"> </v>
      </c>
      <c r="W124" s="125">
        <f t="shared" si="24"/>
        <v>0</v>
      </c>
      <c r="X124" s="125">
        <f t="shared" si="25"/>
        <v>0</v>
      </c>
      <c r="Y124" s="125">
        <f t="shared" si="26"/>
        <v>0</v>
      </c>
      <c r="Z124" s="125">
        <f t="shared" si="27"/>
        <v>0</v>
      </c>
      <c r="AA124" s="125">
        <f t="shared" si="28"/>
        <v>0</v>
      </c>
      <c r="AB124" s="146">
        <f t="shared" si="30"/>
        <v>0</v>
      </c>
      <c r="AD124" s="125">
        <f t="shared" si="42"/>
        <v>9748.3070000000007</v>
      </c>
      <c r="AE124" s="125">
        <f t="shared" si="40"/>
        <v>7182.66</v>
      </c>
      <c r="AF124" s="125">
        <f t="shared" si="40"/>
        <v>2378.2939999999999</v>
      </c>
      <c r="AG124" s="125">
        <f t="shared" si="40"/>
        <v>19309.260999999999</v>
      </c>
      <c r="AH124" s="125">
        <f t="shared" si="40"/>
        <v>184.03800000000001</v>
      </c>
      <c r="AI124" s="146">
        <f t="shared" si="40"/>
        <v>19493.298999999999</v>
      </c>
    </row>
    <row r="125" spans="10:35" ht="15" hidden="1" customHeight="1">
      <c r="J125" s="65"/>
      <c r="K125" s="65"/>
      <c r="L125" s="65"/>
      <c r="M125" s="65"/>
      <c r="N125" s="65"/>
      <c r="R125"/>
      <c r="S125" s="129" t="str">
        <f t="shared" si="39"/>
        <v/>
      </c>
      <c r="T125" s="2" t="str">
        <f>IF(SUMIFS(Data!$D$8:$D$367,Data!$A$8:$A$367,$U125,Data!$C$8:$C$367,$V113),"NO","SI")</f>
        <v>SI</v>
      </c>
      <c r="U125" s="167">
        <f t="shared" si="37"/>
        <v>2024</v>
      </c>
      <c r="V125" s="98" t="str">
        <f t="shared" si="41"/>
        <v xml:space="preserve"> </v>
      </c>
      <c r="W125" s="125">
        <f t="shared" si="24"/>
        <v>0</v>
      </c>
      <c r="X125" s="125">
        <f t="shared" si="25"/>
        <v>0</v>
      </c>
      <c r="Y125" s="125">
        <f t="shared" si="26"/>
        <v>0</v>
      </c>
      <c r="Z125" s="125">
        <f t="shared" si="27"/>
        <v>0</v>
      </c>
      <c r="AA125" s="125">
        <f t="shared" si="28"/>
        <v>0</v>
      </c>
      <c r="AB125" s="146">
        <f t="shared" si="30"/>
        <v>0</v>
      </c>
      <c r="AD125" s="125">
        <f t="shared" si="42"/>
        <v>9748.3070000000007</v>
      </c>
      <c r="AE125" s="125">
        <f t="shared" si="40"/>
        <v>7182.66</v>
      </c>
      <c r="AF125" s="125">
        <f t="shared" si="40"/>
        <v>2378.2939999999999</v>
      </c>
      <c r="AG125" s="125">
        <f t="shared" si="40"/>
        <v>19309.260999999999</v>
      </c>
      <c r="AH125" s="125">
        <f t="shared" si="40"/>
        <v>184.03800000000001</v>
      </c>
      <c r="AI125" s="146">
        <f t="shared" si="40"/>
        <v>19493.298999999999</v>
      </c>
    </row>
    <row r="126" spans="10:35" ht="15" hidden="1" customHeight="1">
      <c r="J126" s="65"/>
      <c r="K126" s="65"/>
      <c r="L126" s="65"/>
      <c r="M126" s="65"/>
      <c r="N126" s="65"/>
      <c r="R126"/>
      <c r="S126" s="129" t="str">
        <f t="shared" si="39"/>
        <v/>
      </c>
      <c r="T126" s="2" t="str">
        <f>IF(SUMIFS(Data!$D$8:$D$367,Data!$A$8:$A$367,$U126,Data!$C$8:$C$367,$V114),"NO","SI")</f>
        <v>SI</v>
      </c>
      <c r="U126" s="167">
        <f t="shared" si="37"/>
        <v>2024</v>
      </c>
      <c r="V126" s="98" t="str">
        <f>IF($T126="SI"," ",V114)</f>
        <v xml:space="preserve"> </v>
      </c>
      <c r="W126" s="125">
        <f t="shared" si="24"/>
        <v>0</v>
      </c>
      <c r="X126" s="125">
        <f t="shared" si="25"/>
        <v>0</v>
      </c>
      <c r="Y126" s="125">
        <f t="shared" si="26"/>
        <v>0</v>
      </c>
      <c r="Z126" s="125">
        <f t="shared" si="27"/>
        <v>0</v>
      </c>
      <c r="AA126" s="125">
        <f t="shared" si="28"/>
        <v>0</v>
      </c>
      <c r="AB126" s="146">
        <f t="shared" si="30"/>
        <v>0</v>
      </c>
      <c r="AD126" s="125">
        <f t="shared" si="42"/>
        <v>9748.3070000000007</v>
      </c>
      <c r="AE126" s="125">
        <f t="shared" si="40"/>
        <v>7182.66</v>
      </c>
      <c r="AF126" s="125">
        <f t="shared" si="40"/>
        <v>2378.2939999999999</v>
      </c>
      <c r="AG126" s="125">
        <f t="shared" si="40"/>
        <v>19309.260999999999</v>
      </c>
      <c r="AH126" s="125">
        <f t="shared" si="40"/>
        <v>184.03800000000001</v>
      </c>
      <c r="AI126" s="146">
        <f t="shared" si="40"/>
        <v>19493.298999999999</v>
      </c>
    </row>
    <row r="127" spans="10:35" ht="15" hidden="1" customHeight="1">
      <c r="J127" s="65"/>
      <c r="K127" s="65"/>
      <c r="L127" s="65"/>
      <c r="M127" s="65"/>
      <c r="N127" s="65"/>
      <c r="R127"/>
      <c r="S127" s="129" t="str">
        <f t="shared" si="39"/>
        <v/>
      </c>
      <c r="T127" s="2" t="str">
        <f>IF(SUMIFS(Data!$D$8:$D$367,Data!$A$8:$A$367,$U127,Data!$C$8:$C$367,$V115),"NO","SI")</f>
        <v>SI</v>
      </c>
      <c r="U127" s="167">
        <f t="shared" si="37"/>
        <v>2024</v>
      </c>
      <c r="V127" s="98" t="str">
        <f>IF($T127="SI"," ",V115)</f>
        <v xml:space="preserve"> </v>
      </c>
      <c r="W127" s="125">
        <f t="shared" si="24"/>
        <v>0</v>
      </c>
      <c r="X127" s="125">
        <f t="shared" si="25"/>
        <v>0</v>
      </c>
      <c r="Y127" s="125">
        <f t="shared" si="26"/>
        <v>0</v>
      </c>
      <c r="Z127" s="125">
        <f t="shared" si="27"/>
        <v>0</v>
      </c>
      <c r="AA127" s="125">
        <f t="shared" si="28"/>
        <v>0</v>
      </c>
      <c r="AB127" s="146">
        <f t="shared" si="30"/>
        <v>0</v>
      </c>
      <c r="AD127" s="125">
        <f t="shared" si="42"/>
        <v>9748.3070000000007</v>
      </c>
      <c r="AE127" s="125">
        <f t="shared" si="40"/>
        <v>7182.66</v>
      </c>
      <c r="AF127" s="125">
        <f t="shared" si="40"/>
        <v>2378.2939999999999</v>
      </c>
      <c r="AG127" s="125">
        <f t="shared" si="40"/>
        <v>19309.260999999999</v>
      </c>
      <c r="AH127" s="125">
        <f t="shared" si="40"/>
        <v>184.03800000000001</v>
      </c>
      <c r="AI127" s="146">
        <f t="shared" si="40"/>
        <v>19493.298999999999</v>
      </c>
    </row>
    <row r="128" spans="10:35" ht="15" hidden="1" customHeight="1">
      <c r="J128" s="65"/>
      <c r="K128" s="65"/>
      <c r="L128" s="65"/>
      <c r="M128" s="65"/>
      <c r="N128" s="65"/>
      <c r="R128"/>
      <c r="S128" s="129" t="str">
        <f>IF(V128=" ","",1)</f>
        <v/>
      </c>
      <c r="T128" s="2" t="str">
        <f>IF(SUMIFS(Data!$D$8:$D$367,Data!$A$8:$A$367,$U128,Data!$C$8:$C$367,$V116),"NO","SI")</f>
        <v>SI</v>
      </c>
      <c r="U128" s="167">
        <f t="shared" si="37"/>
        <v>2024</v>
      </c>
      <c r="V128" s="98" t="str">
        <f t="shared" si="41"/>
        <v xml:space="preserve"> </v>
      </c>
      <c r="W128" s="125">
        <f t="shared" si="24"/>
        <v>0</v>
      </c>
      <c r="X128" s="125">
        <f t="shared" si="25"/>
        <v>0</v>
      </c>
      <c r="Y128" s="125">
        <f t="shared" si="26"/>
        <v>0</v>
      </c>
      <c r="Z128" s="125">
        <f t="shared" si="27"/>
        <v>0</v>
      </c>
      <c r="AA128" s="125">
        <f t="shared" si="28"/>
        <v>0</v>
      </c>
      <c r="AB128" s="146">
        <f t="shared" si="30"/>
        <v>0</v>
      </c>
      <c r="AD128" s="125">
        <f t="shared" si="42"/>
        <v>9748.3070000000007</v>
      </c>
      <c r="AE128" s="125">
        <f t="shared" si="40"/>
        <v>7182.66</v>
      </c>
      <c r="AF128" s="125">
        <f t="shared" si="40"/>
        <v>2378.2939999999999</v>
      </c>
      <c r="AG128" s="125">
        <f t="shared" si="40"/>
        <v>19309.260999999999</v>
      </c>
      <c r="AH128" s="125">
        <f t="shared" si="40"/>
        <v>184.03800000000001</v>
      </c>
      <c r="AI128" s="146">
        <f t="shared" si="40"/>
        <v>19493.298999999999</v>
      </c>
    </row>
    <row r="129" spans="10:35" ht="15" hidden="1" customHeight="1">
      <c r="J129" s="65"/>
      <c r="K129" s="65"/>
      <c r="L129" s="65"/>
      <c r="M129" s="65"/>
      <c r="N129" s="65"/>
    </row>
    <row r="130" spans="10:35" ht="15" hidden="1" customHeight="1">
      <c r="J130" s="65"/>
      <c r="K130" s="65"/>
      <c r="L130" s="65"/>
      <c r="M130" s="65"/>
      <c r="N130" s="65"/>
      <c r="W130" s="140" t="s">
        <v>107</v>
      </c>
      <c r="AD130" s="168"/>
    </row>
    <row r="131" spans="10:35" ht="15" hidden="1" customHeight="1">
      <c r="J131" s="65"/>
      <c r="K131" s="65"/>
      <c r="L131" s="65"/>
      <c r="M131" s="65"/>
      <c r="N131" s="65"/>
      <c r="U131" s="164">
        <f t="shared" ref="U131:U142" si="43">Año_seleccionado_C.2.3-1</f>
        <v>2023</v>
      </c>
      <c r="V131" s="165" t="s">
        <v>217</v>
      </c>
      <c r="W131" s="169">
        <f>IF(W93=0,"-",IF(ABS((W105-W93)/ABS(W93))*100&gt;=100,"-",IF((W105/W93)&lt;0,"-",((W105-W93)/ABS(W93))*100)))</f>
        <v>12.880882094891815</v>
      </c>
      <c r="X131" s="170">
        <f t="shared" ref="X131:AB131" si="44">IF(X93=0,"-",IF(ABS((X105-X93)/ABS(X93))*100&gt;=100,"-",IF((X105/X93)&lt;0,"-",((X105-X93)/ABS(X93))*100)))</f>
        <v>13.452099572303785</v>
      </c>
      <c r="Y131" s="170">
        <f t="shared" si="44"/>
        <v>1.5307290047785056</v>
      </c>
      <c r="Z131" s="170">
        <f t="shared" si="44"/>
        <v>11.533767562503835</v>
      </c>
      <c r="AA131" s="170">
        <f t="shared" si="44"/>
        <v>-85.886406901371117</v>
      </c>
      <c r="AB131" s="149">
        <f t="shared" si="44"/>
        <v>10.131518781501713</v>
      </c>
      <c r="AD131" s="169">
        <f>IF(AD93=0,"-",IF(ABS((AD105-AD93)/ABS(AD93))*100&gt;=100,"-",IF((AD105/AD93)&lt;0,"-",((AD105-AD93)/ABS(AD93))*100)))</f>
        <v>12.880882094891815</v>
      </c>
      <c r="AE131" s="170">
        <f t="shared" ref="AE131:AI131" si="45">IF(AE93=0,"-",IF(ABS((AE105-AE93)/ABS(AE93))*100&gt;=100,"-",IF((AE105/AE93)&lt;0,"-",((AE105-AE93)/ABS(AE93))*100)))</f>
        <v>13.452099572303785</v>
      </c>
      <c r="AF131" s="170">
        <f t="shared" si="45"/>
        <v>1.5307290047785056</v>
      </c>
      <c r="AG131" s="170">
        <f t="shared" si="45"/>
        <v>11.533767562503835</v>
      </c>
      <c r="AH131" s="170">
        <f t="shared" si="45"/>
        <v>-85.886406901371117</v>
      </c>
      <c r="AI131" s="149">
        <f t="shared" si="45"/>
        <v>10.131518781501713</v>
      </c>
    </row>
    <row r="132" spans="10:35" ht="15" hidden="1" customHeight="1">
      <c r="J132" s="65"/>
      <c r="K132" s="65"/>
      <c r="L132" s="65"/>
      <c r="M132" s="65"/>
      <c r="N132" s="65"/>
      <c r="U132" s="167">
        <f t="shared" si="43"/>
        <v>2023</v>
      </c>
      <c r="V132" s="98" t="s">
        <v>218</v>
      </c>
      <c r="W132" s="137">
        <f t="shared" ref="W132:AB147" si="46">IF(W94=0,"-",IF(ABS((W106-W94)/ABS(W94))*100&gt;=100,"-",IF((W106/W94)&lt;0,"-",((W106-W94)/ABS(W94))*100)))</f>
        <v>12.880834346981674</v>
      </c>
      <c r="X132" s="148">
        <f t="shared" si="46"/>
        <v>13.452167011679894</v>
      </c>
      <c r="Y132" s="148">
        <f t="shared" si="46"/>
        <v>1.5302994335133995</v>
      </c>
      <c r="Z132" s="148">
        <f t="shared" si="46"/>
        <v>11.533707557409583</v>
      </c>
      <c r="AA132" s="148">
        <f t="shared" si="46"/>
        <v>-1.1724530449630022</v>
      </c>
      <c r="AB132" s="149">
        <f t="shared" si="46"/>
        <v>11.507573566191919</v>
      </c>
      <c r="AD132" s="137">
        <f t="shared" ref="AD132:AI147" si="47">IF(AD94=0,"-",IF(ABS((AD106-AD94)/ABS(AD94))*100&gt;=100,"-",IF((AD106/AD94)&lt;0,"-",((AD106-AD94)/ABS(AD94))*100)))</f>
        <v>12.880858220936744</v>
      </c>
      <c r="AE132" s="148">
        <f t="shared" si="47"/>
        <v>13.452133291986506</v>
      </c>
      <c r="AF132" s="148">
        <f t="shared" si="47"/>
        <v>1.5305142189625536</v>
      </c>
      <c r="AG132" s="148">
        <f t="shared" si="47"/>
        <v>11.533737559954949</v>
      </c>
      <c r="AH132" s="148">
        <f t="shared" si="47"/>
        <v>-75.409489888573702</v>
      </c>
      <c r="AI132" s="149">
        <f t="shared" si="47"/>
        <v>10.815266909511907</v>
      </c>
    </row>
    <row r="133" spans="10:35" ht="15" hidden="1" customHeight="1">
      <c r="J133" s="65"/>
      <c r="K133" s="65"/>
      <c r="L133" s="65"/>
      <c r="M133" s="65"/>
      <c r="N133" s="65"/>
      <c r="U133" s="167">
        <f t="shared" si="43"/>
        <v>2023</v>
      </c>
      <c r="V133" s="98" t="s">
        <v>219</v>
      </c>
      <c r="W133" s="137">
        <f t="shared" si="46"/>
        <v>12.880879019716545</v>
      </c>
      <c r="X133" s="148">
        <f t="shared" si="46"/>
        <v>13.452095322166958</v>
      </c>
      <c r="Y133" s="148">
        <f t="shared" si="46"/>
        <v>1.5304728301152104</v>
      </c>
      <c r="Z133" s="148">
        <f t="shared" si="46"/>
        <v>11.533729665307501</v>
      </c>
      <c r="AA133" s="148">
        <f t="shared" si="46"/>
        <v>-1.1723863183655059</v>
      </c>
      <c r="AB133" s="149">
        <f t="shared" si="46"/>
        <v>11.507594284564391</v>
      </c>
      <c r="AD133" s="137">
        <f t="shared" si="47"/>
        <v>12.880865153864448</v>
      </c>
      <c r="AE133" s="148">
        <f t="shared" si="47"/>
        <v>13.452120635375989</v>
      </c>
      <c r="AF133" s="148">
        <f t="shared" si="47"/>
        <v>1.5305004226879533</v>
      </c>
      <c r="AG133" s="148">
        <f t="shared" si="47"/>
        <v>11.53373492840549</v>
      </c>
      <c r="AH133" s="148">
        <f t="shared" si="47"/>
        <v>-67.238376827572381</v>
      </c>
      <c r="AI133" s="149">
        <f t="shared" si="47"/>
        <v>11.045083858397515</v>
      </c>
    </row>
    <row r="134" spans="10:35" ht="15" hidden="1" customHeight="1">
      <c r="J134" s="65"/>
      <c r="K134" s="65"/>
      <c r="L134" s="65"/>
      <c r="M134" s="65"/>
      <c r="N134" s="65"/>
      <c r="U134" s="167">
        <f t="shared" si="43"/>
        <v>2023</v>
      </c>
      <c r="V134" s="98" t="s">
        <v>220</v>
      </c>
      <c r="W134" s="137">
        <f t="shared" si="46"/>
        <v>12.880861296107781</v>
      </c>
      <c r="X134" s="148">
        <f t="shared" si="46"/>
        <v>13.452131166912093</v>
      </c>
      <c r="Y134" s="148">
        <f t="shared" si="46"/>
        <v>1.5304689094416348</v>
      </c>
      <c r="Z134" s="148">
        <f t="shared" si="46"/>
        <v>11.533729665307501</v>
      </c>
      <c r="AA134" s="148">
        <f t="shared" si="46"/>
        <v>-1.166761525327273</v>
      </c>
      <c r="AB134" s="149">
        <f t="shared" si="46"/>
        <v>11.507607337976051</v>
      </c>
      <c r="AD134" s="137">
        <f t="shared" si="47"/>
        <v>12.880864189425512</v>
      </c>
      <c r="AE134" s="148">
        <f t="shared" si="47"/>
        <v>13.452123268260014</v>
      </c>
      <c r="AF134" s="148">
        <f t="shared" si="47"/>
        <v>1.5304925443646054</v>
      </c>
      <c r="AG134" s="148">
        <f t="shared" si="47"/>
        <v>11.533733612630865</v>
      </c>
      <c r="AH134" s="148">
        <f t="shared" si="47"/>
        <v>-60.687440747596042</v>
      </c>
      <c r="AI134" s="149">
        <f t="shared" si="47"/>
        <v>11.160354020305101</v>
      </c>
    </row>
    <row r="135" spans="10:35" ht="15" hidden="1" customHeight="1">
      <c r="J135" s="65"/>
      <c r="K135" s="65"/>
      <c r="L135" s="65"/>
      <c r="M135" s="65"/>
      <c r="N135" s="65"/>
      <c r="U135" s="167">
        <f t="shared" si="43"/>
        <v>2023</v>
      </c>
      <c r="V135" s="98" t="s">
        <v>221</v>
      </c>
      <c r="W135" s="137">
        <f t="shared" si="46"/>
        <v>12.880882094891815</v>
      </c>
      <c r="X135" s="148">
        <f t="shared" si="46"/>
        <v>13.452099572303785</v>
      </c>
      <c r="Y135" s="148">
        <f t="shared" si="46"/>
        <v>1.5306436132240737</v>
      </c>
      <c r="Z135" s="148">
        <f t="shared" si="46"/>
        <v>11.53375583207564</v>
      </c>
      <c r="AA135" s="148">
        <f t="shared" si="46"/>
        <v>-1.1780775140857136</v>
      </c>
      <c r="AB135" s="149">
        <f t="shared" si="46"/>
        <v>11.507608685091057</v>
      </c>
      <c r="AD135" s="137">
        <f t="shared" si="47"/>
        <v>12.880867770518773</v>
      </c>
      <c r="AE135" s="148">
        <f t="shared" si="47"/>
        <v>13.452118529068761</v>
      </c>
      <c r="AF135" s="148">
        <f t="shared" si="47"/>
        <v>1.530522758110703</v>
      </c>
      <c r="AG135" s="148">
        <f t="shared" si="47"/>
        <v>11.53373805651929</v>
      </c>
      <c r="AH135" s="148">
        <f t="shared" si="47"/>
        <v>-55.319105242351583</v>
      </c>
      <c r="AI135" s="149">
        <f t="shared" si="47"/>
        <v>11.229631518027482</v>
      </c>
    </row>
    <row r="136" spans="10:35" ht="15" hidden="1" customHeight="1">
      <c r="J136" s="65"/>
      <c r="K136" s="65"/>
      <c r="L136" s="65"/>
      <c r="M136" s="65"/>
      <c r="N136" s="65"/>
      <c r="U136" s="167">
        <f t="shared" si="43"/>
        <v>2023</v>
      </c>
      <c r="V136" s="98" t="s">
        <v>222</v>
      </c>
      <c r="W136" s="137">
        <f t="shared" si="46"/>
        <v>12.880834346981674</v>
      </c>
      <c r="X136" s="148">
        <f t="shared" si="46"/>
        <v>13.452131166912093</v>
      </c>
      <c r="Y136" s="148">
        <f t="shared" si="46"/>
        <v>1.5304689094416348</v>
      </c>
      <c r="Z136" s="148">
        <f t="shared" si="46"/>
        <v>11.533716581928037</v>
      </c>
      <c r="AA136" s="148">
        <f t="shared" si="46"/>
        <v>0.50085372794536687</v>
      </c>
      <c r="AB136" s="149">
        <f t="shared" si="46"/>
        <v>11.511024229576398</v>
      </c>
      <c r="AD136" s="137">
        <f t="shared" si="47"/>
        <v>12.880862199929254</v>
      </c>
      <c r="AE136" s="148">
        <f t="shared" si="47"/>
        <v>13.452120635375969</v>
      </c>
      <c r="AF136" s="148">
        <f t="shared" si="47"/>
        <v>1.530513783319762</v>
      </c>
      <c r="AG136" s="148">
        <f t="shared" si="47"/>
        <v>11.533734477420047</v>
      </c>
      <c r="AH136" s="148">
        <f t="shared" si="47"/>
        <v>-50.700497765470999</v>
      </c>
      <c r="AI136" s="149">
        <f t="shared" si="47"/>
        <v>11.276432674079945</v>
      </c>
    </row>
    <row r="137" spans="10:35" ht="15" hidden="1" customHeight="1">
      <c r="J137" s="65"/>
      <c r="K137" s="65"/>
      <c r="L137" s="65"/>
      <c r="M137" s="65"/>
      <c r="N137" s="65"/>
      <c r="U137" s="167">
        <f t="shared" si="43"/>
        <v>2023</v>
      </c>
      <c r="V137" s="98" t="s">
        <v>223</v>
      </c>
      <c r="W137" s="137">
        <f t="shared" si="46"/>
        <v>96.426489890779479</v>
      </c>
      <c r="X137" s="148" t="str">
        <f t="shared" si="46"/>
        <v>-</v>
      </c>
      <c r="Y137" s="148" t="str">
        <f t="shared" si="46"/>
        <v>-</v>
      </c>
      <c r="Z137" s="148" t="str">
        <f t="shared" si="46"/>
        <v>-</v>
      </c>
      <c r="AA137" s="148">
        <f t="shared" si="46"/>
        <v>-1.1723863183655059</v>
      </c>
      <c r="AB137" s="149" t="str">
        <f t="shared" si="46"/>
        <v>-</v>
      </c>
      <c r="AD137" s="137">
        <f t="shared" si="47"/>
        <v>26.703831401212103</v>
      </c>
      <c r="AE137" s="148">
        <f t="shared" si="47"/>
        <v>46.839628209468565</v>
      </c>
      <c r="AF137" s="148">
        <f t="shared" si="47"/>
        <v>8.7990209732137519</v>
      </c>
      <c r="AG137" s="148">
        <f t="shared" si="47"/>
        <v>30.946128650928983</v>
      </c>
      <c r="AH137" s="148">
        <f t="shared" si="47"/>
        <v>-46.915448851774535</v>
      </c>
      <c r="AI137" s="149">
        <f t="shared" si="47"/>
        <v>30.618137702585113</v>
      </c>
    </row>
    <row r="138" spans="10:35" ht="15" hidden="1" customHeight="1">
      <c r="J138" s="65"/>
      <c r="K138" s="65"/>
      <c r="L138" s="65"/>
      <c r="M138" s="65"/>
      <c r="N138" s="65"/>
      <c r="U138" s="167">
        <f t="shared" si="43"/>
        <v>2023</v>
      </c>
      <c r="V138" s="98" t="s">
        <v>224</v>
      </c>
      <c r="W138" s="137">
        <f t="shared" si="46"/>
        <v>12.880858220936744</v>
      </c>
      <c r="X138" s="148">
        <f t="shared" si="46"/>
        <v>29.397783041321933</v>
      </c>
      <c r="Y138" s="148">
        <f t="shared" si="46"/>
        <v>50.155206554793352</v>
      </c>
      <c r="Z138" s="148">
        <f t="shared" si="46"/>
        <v>22.596593728176991</v>
      </c>
      <c r="AA138" s="148">
        <f t="shared" si="46"/>
        <v>-1.1724530449630022</v>
      </c>
      <c r="AB138" s="149">
        <f t="shared" si="46"/>
        <v>22.542867456754319</v>
      </c>
      <c r="AD138" s="137">
        <f t="shared" si="47"/>
        <v>25.015949661890485</v>
      </c>
      <c r="AE138" s="148">
        <f t="shared" si="47"/>
        <v>44.448640556137939</v>
      </c>
      <c r="AF138" s="148">
        <f t="shared" si="47"/>
        <v>13.131094659155487</v>
      </c>
      <c r="AG138" s="148">
        <f t="shared" si="47"/>
        <v>29.903472323202866</v>
      </c>
      <c r="AH138" s="148">
        <f t="shared" si="47"/>
        <v>-43.668026990989532</v>
      </c>
      <c r="AI138" s="149">
        <f t="shared" si="47"/>
        <v>29.611457497827825</v>
      </c>
    </row>
    <row r="139" spans="10:35" ht="15" hidden="1" customHeight="1">
      <c r="J139" s="65"/>
      <c r="K139" s="65"/>
      <c r="L139" s="65"/>
      <c r="M139" s="65"/>
      <c r="N139" s="65"/>
      <c r="U139" s="167">
        <f t="shared" si="43"/>
        <v>2023</v>
      </c>
      <c r="V139" s="98" t="s">
        <v>225</v>
      </c>
      <c r="W139" s="137">
        <f t="shared" si="46"/>
        <v>12.880882094891815</v>
      </c>
      <c r="X139" s="148">
        <f t="shared" si="46"/>
        <v>13.452171261842071</v>
      </c>
      <c r="Y139" s="148">
        <f t="shared" si="46"/>
        <v>1.5307290047785056</v>
      </c>
      <c r="Z139" s="148">
        <f t="shared" si="46"/>
        <v>11.533793729287003</v>
      </c>
      <c r="AA139" s="148">
        <f t="shared" si="46"/>
        <v>-1.1723863183655059</v>
      </c>
      <c r="AB139" s="149">
        <f t="shared" si="46"/>
        <v>11.507658204531825</v>
      </c>
      <c r="AD139" s="137">
        <f t="shared" si="47"/>
        <v>23.695419036212801</v>
      </c>
      <c r="AE139" s="148">
        <f t="shared" si="47"/>
        <v>40.257602471285836</v>
      </c>
      <c r="AF139" s="148">
        <f t="shared" si="47"/>
        <v>11.575058865734608</v>
      </c>
      <c r="AG139" s="148">
        <f t="shared" si="47"/>
        <v>27.686338865200465</v>
      </c>
      <c r="AH139" s="148">
        <f t="shared" si="47"/>
        <v>-40.850973926756474</v>
      </c>
      <c r="AI139" s="149">
        <f t="shared" si="47"/>
        <v>27.430096815163058</v>
      </c>
    </row>
    <row r="140" spans="10:35" ht="15" hidden="1" customHeight="1">
      <c r="J140" s="65"/>
      <c r="K140" s="65"/>
      <c r="L140" s="65"/>
      <c r="M140" s="65"/>
      <c r="N140" s="65"/>
      <c r="U140" s="167">
        <f t="shared" si="43"/>
        <v>2023</v>
      </c>
      <c r="V140" s="98" t="s">
        <v>226</v>
      </c>
      <c r="W140" s="137">
        <f t="shared" si="46"/>
        <v>12.884822957624381</v>
      </c>
      <c r="X140" s="148">
        <f t="shared" si="46"/>
        <v>20.137927711907537</v>
      </c>
      <c r="Y140" s="148">
        <f t="shared" si="46"/>
        <v>1.9177518495974943</v>
      </c>
      <c r="Z140" s="148">
        <f t="shared" si="46"/>
        <v>13.949841945247963</v>
      </c>
      <c r="AA140" s="148">
        <f t="shared" si="46"/>
        <v>-1.166761525327273</v>
      </c>
      <c r="AB140" s="149">
        <f t="shared" si="46"/>
        <v>13.918077515626964</v>
      </c>
      <c r="AD140" s="137">
        <f t="shared" si="47"/>
        <v>22.634502376113129</v>
      </c>
      <c r="AE140" s="148">
        <f t="shared" si="47"/>
        <v>37.979489925262648</v>
      </c>
      <c r="AF140" s="148">
        <f t="shared" si="47"/>
        <v>10.436831377322962</v>
      </c>
      <c r="AG140" s="148">
        <f t="shared" si="47"/>
        <v>26.235037212847935</v>
      </c>
      <c r="AH140" s="148">
        <f t="shared" si="47"/>
        <v>-38.383970618934214</v>
      </c>
      <c r="AI140" s="149">
        <f t="shared" si="47"/>
        <v>26.004607253004242</v>
      </c>
    </row>
    <row r="141" spans="10:35" ht="15" hidden="1" customHeight="1">
      <c r="J141" s="65"/>
      <c r="K141" s="65"/>
      <c r="L141" s="65"/>
      <c r="M141" s="65"/>
      <c r="N141" s="65"/>
      <c r="U141" s="167">
        <f t="shared" si="43"/>
        <v>2023</v>
      </c>
      <c r="V141" s="98" t="s">
        <v>227</v>
      </c>
      <c r="W141" s="137">
        <f t="shared" si="46"/>
        <v>12.895436502014629</v>
      </c>
      <c r="X141" s="148">
        <f t="shared" si="46"/>
        <v>15.385300064137414</v>
      </c>
      <c r="Y141" s="148">
        <f t="shared" si="46"/>
        <v>7.3445516683503964</v>
      </c>
      <c r="Z141" s="148">
        <f t="shared" si="46"/>
        <v>13.085756586349623</v>
      </c>
      <c r="AA141" s="148">
        <f t="shared" si="46"/>
        <v>-1.1780775140857136</v>
      </c>
      <c r="AB141" s="149">
        <f t="shared" si="46"/>
        <v>13.056009703973054</v>
      </c>
      <c r="AD141" s="137">
        <f t="shared" si="47"/>
        <v>21.764229405728024</v>
      </c>
      <c r="AE141" s="148">
        <f t="shared" si="47"/>
        <v>35.596728116344231</v>
      </c>
      <c r="AF141" s="148">
        <f t="shared" si="47"/>
        <v>10.125582234745528</v>
      </c>
      <c r="AG141" s="148">
        <f t="shared" si="47"/>
        <v>24.969833612550968</v>
      </c>
      <c r="AH141" s="148">
        <f t="shared" si="47"/>
        <v>-36.206287766237395</v>
      </c>
      <c r="AI141" s="149">
        <f t="shared" si="47"/>
        <v>24.760383862081444</v>
      </c>
    </row>
    <row r="142" spans="10:35" ht="15" hidden="1" customHeight="1">
      <c r="J142" s="65"/>
      <c r="K142" s="65"/>
      <c r="L142" s="65"/>
      <c r="M142" s="65"/>
      <c r="N142" s="65"/>
      <c r="U142" s="167">
        <f t="shared" si="43"/>
        <v>2023</v>
      </c>
      <c r="V142" s="98" t="s">
        <v>228</v>
      </c>
      <c r="W142" s="137">
        <f t="shared" si="46"/>
        <v>12.881448029481616</v>
      </c>
      <c r="X142" s="148">
        <f t="shared" si="46"/>
        <v>13.45206372756863</v>
      </c>
      <c r="Y142" s="148">
        <f t="shared" si="46"/>
        <v>1.9887374926553478</v>
      </c>
      <c r="Z142" s="148">
        <f t="shared" si="46"/>
        <v>11.602880290606651</v>
      </c>
      <c r="AA142" s="148">
        <f t="shared" si="46"/>
        <v>-87.675131659261581</v>
      </c>
      <c r="AB142" s="149">
        <f t="shared" si="46"/>
        <v>9.9877592979857361</v>
      </c>
      <c r="AD142" s="137">
        <f t="shared" si="47"/>
        <v>21.035501251479051</v>
      </c>
      <c r="AE142" s="148">
        <f t="shared" si="47"/>
        <v>33.451650715702286</v>
      </c>
      <c r="AF142" s="148">
        <f t="shared" si="47"/>
        <v>9.3461454051170509</v>
      </c>
      <c r="AG142" s="148">
        <f t="shared" si="47"/>
        <v>23.782371058245559</v>
      </c>
      <c r="AH142" s="148">
        <f t="shared" si="47"/>
        <v>-52.646362696555848</v>
      </c>
      <c r="AI142" s="149">
        <f t="shared" si="47"/>
        <v>23.432452209077791</v>
      </c>
    </row>
    <row r="143" spans="10:35" ht="15" hidden="1" customHeight="1">
      <c r="J143" s="65"/>
      <c r="K143" s="65"/>
      <c r="L143" s="65"/>
      <c r="M143" s="65"/>
      <c r="N143" s="65"/>
      <c r="U143" s="164">
        <f t="shared" ref="U143:U154" si="48">Año_seleccionado_C.2.3</f>
        <v>2024</v>
      </c>
      <c r="V143" s="165" t="s">
        <v>217</v>
      </c>
      <c r="W143" s="169">
        <f t="shared" si="46"/>
        <v>3.0868393524642181</v>
      </c>
      <c r="X143" s="170">
        <f t="shared" si="46"/>
        <v>1.2838118015438195E-2</v>
      </c>
      <c r="Y143" s="170">
        <f t="shared" si="46"/>
        <v>1.219510143801119E-2</v>
      </c>
      <c r="Z143" s="170">
        <f t="shared" si="46"/>
        <v>1.5414059189490772</v>
      </c>
      <c r="AA143" s="170" t="str">
        <f t="shared" si="46"/>
        <v>-</v>
      </c>
      <c r="AB143" s="149">
        <f t="shared" si="46"/>
        <v>3.0895443919592109</v>
      </c>
      <c r="AD143" s="169">
        <f t="shared" si="47"/>
        <v>3.0868393524642181</v>
      </c>
      <c r="AE143" s="170">
        <f t="shared" si="47"/>
        <v>1.2838118015438195E-2</v>
      </c>
      <c r="AF143" s="170">
        <f t="shared" si="47"/>
        <v>1.219510143801119E-2</v>
      </c>
      <c r="AG143" s="170">
        <f t="shared" si="47"/>
        <v>1.5414059189490772</v>
      </c>
      <c r="AH143" s="170" t="str">
        <f t="shared" si="47"/>
        <v>-</v>
      </c>
      <c r="AI143" s="149">
        <f t="shared" si="47"/>
        <v>3.0895443919592109</v>
      </c>
    </row>
    <row r="144" spans="10:35" ht="15" hidden="1" customHeight="1">
      <c r="J144" s="65"/>
      <c r="K144" s="65"/>
      <c r="L144" s="65"/>
      <c r="M144" s="65"/>
      <c r="N144" s="65"/>
      <c r="U144" s="167">
        <f t="shared" si="48"/>
        <v>2024</v>
      </c>
      <c r="V144" s="98" t="s">
        <v>218</v>
      </c>
      <c r="W144" s="137">
        <f t="shared" si="46"/>
        <v>3.0868618078761569</v>
      </c>
      <c r="X144" s="148">
        <f t="shared" si="46"/>
        <v>1.2810266035808492E-2</v>
      </c>
      <c r="Y144" s="148">
        <f t="shared" si="46"/>
        <v>1.244744528800368E-2</v>
      </c>
      <c r="Z144" s="148">
        <f t="shared" si="46"/>
        <v>1.541438119559289</v>
      </c>
      <c r="AA144" s="148">
        <f t="shared" si="46"/>
        <v>7.8438147892190644</v>
      </c>
      <c r="AB144" s="149">
        <f t="shared" si="46"/>
        <v>1.5529267803363973</v>
      </c>
      <c r="AD144" s="137">
        <f t="shared" si="47"/>
        <v>3.0868505801678126</v>
      </c>
      <c r="AE144" s="148">
        <f t="shared" si="47"/>
        <v>1.2824192023690593E-2</v>
      </c>
      <c r="AF144" s="148">
        <f t="shared" si="47"/>
        <v>1.2321273203823939E-2</v>
      </c>
      <c r="AG144" s="148">
        <f t="shared" si="47"/>
        <v>1.5414220192507964</v>
      </c>
      <c r="AH144" s="148" t="str">
        <f t="shared" si="47"/>
        <v>-</v>
      </c>
      <c r="AI144" s="149">
        <f t="shared" si="47"/>
        <v>2.3212440955437934</v>
      </c>
    </row>
    <row r="145" spans="3:35" ht="15" hidden="1" customHeight="1">
      <c r="J145" s="65"/>
      <c r="K145" s="65"/>
      <c r="L145" s="65"/>
      <c r="M145" s="65"/>
      <c r="N145" s="65"/>
      <c r="U145" s="167">
        <f t="shared" si="48"/>
        <v>2024</v>
      </c>
      <c r="V145" s="98" t="s">
        <v>219</v>
      </c>
      <c r="W145" s="137" t="str">
        <f t="shared" si="46"/>
        <v>-</v>
      </c>
      <c r="X145" s="148" t="str">
        <f t="shared" si="46"/>
        <v>-</v>
      </c>
      <c r="Y145" s="148" t="str">
        <f t="shared" si="46"/>
        <v>-</v>
      </c>
      <c r="Z145" s="148" t="str">
        <f t="shared" si="46"/>
        <v>-</v>
      </c>
      <c r="AA145" s="148" t="str">
        <f t="shared" si="46"/>
        <v>-</v>
      </c>
      <c r="AB145" s="149" t="str">
        <f t="shared" si="46"/>
        <v>-</v>
      </c>
      <c r="AD145" s="137">
        <f t="shared" si="47"/>
        <v>-31.275442636576763</v>
      </c>
      <c r="AE145" s="148">
        <f t="shared" si="47"/>
        <v>-33.324786966648475</v>
      </c>
      <c r="AF145" s="148">
        <f t="shared" si="47"/>
        <v>-33.325091112980097</v>
      </c>
      <c r="AG145" s="148">
        <f t="shared" si="47"/>
        <v>-32.305721027054425</v>
      </c>
      <c r="AH145" s="148" t="str">
        <f t="shared" si="47"/>
        <v>-</v>
      </c>
      <c r="AI145" s="149">
        <f t="shared" si="47"/>
        <v>-31.785594981949156</v>
      </c>
    </row>
    <row r="146" spans="3:35" ht="15" hidden="1" customHeight="1">
      <c r="J146" s="65"/>
      <c r="K146" s="65"/>
      <c r="L146" s="65"/>
      <c r="M146" s="65"/>
      <c r="N146" s="65"/>
      <c r="U146" s="167">
        <f t="shared" si="48"/>
        <v>2024</v>
      </c>
      <c r="V146" s="98" t="s">
        <v>220</v>
      </c>
      <c r="W146" s="137" t="str">
        <f t="shared" si="46"/>
        <v>-</v>
      </c>
      <c r="X146" s="148" t="str">
        <f t="shared" si="46"/>
        <v>-</v>
      </c>
      <c r="Y146" s="148" t="str">
        <f t="shared" si="46"/>
        <v>-</v>
      </c>
      <c r="Z146" s="148" t="str">
        <f t="shared" si="46"/>
        <v>-</v>
      </c>
      <c r="AA146" s="148" t="str">
        <f t="shared" si="46"/>
        <v>-</v>
      </c>
      <c r="AB146" s="149" t="str">
        <f t="shared" si="46"/>
        <v>-</v>
      </c>
      <c r="AD146" s="137">
        <f t="shared" si="47"/>
        <v>-48.456577435235019</v>
      </c>
      <c r="AE146" s="148">
        <f t="shared" si="47"/>
        <v>-49.993591385485367</v>
      </c>
      <c r="AF146" s="148">
        <f t="shared" si="47"/>
        <v>-49.993839363398088</v>
      </c>
      <c r="AG146" s="148">
        <f t="shared" si="47"/>
        <v>-49.229291660248876</v>
      </c>
      <c r="AH146" s="148" t="str">
        <f t="shared" si="47"/>
        <v>-</v>
      </c>
      <c r="AI146" s="149">
        <f t="shared" si="47"/>
        <v>-48.839105378094679</v>
      </c>
    </row>
    <row r="147" spans="3:35" ht="15" hidden="1" customHeight="1">
      <c r="J147" s="65"/>
      <c r="K147" s="65"/>
      <c r="L147" s="65"/>
      <c r="M147" s="65"/>
      <c r="N147" s="65"/>
      <c r="U147" s="167">
        <f t="shared" si="48"/>
        <v>2024</v>
      </c>
      <c r="V147" s="98" t="s">
        <v>221</v>
      </c>
      <c r="W147" s="137" t="str">
        <f t="shared" si="46"/>
        <v>-</v>
      </c>
      <c r="X147" s="148" t="str">
        <f t="shared" si="46"/>
        <v>-</v>
      </c>
      <c r="Y147" s="148" t="str">
        <f t="shared" si="46"/>
        <v>-</v>
      </c>
      <c r="Z147" s="148" t="str">
        <f t="shared" si="46"/>
        <v>-</v>
      </c>
      <c r="AA147" s="148" t="str">
        <f t="shared" si="46"/>
        <v>-</v>
      </c>
      <c r="AB147" s="149" t="str">
        <f t="shared" si="46"/>
        <v>-</v>
      </c>
      <c r="AD147" s="137">
        <f t="shared" si="47"/>
        <v>-58.76526325634098</v>
      </c>
      <c r="AE147" s="148">
        <f t="shared" si="47"/>
        <v>-59.99487143726968</v>
      </c>
      <c r="AF147" s="148">
        <f t="shared" si="47"/>
        <v>-59.995074855302853</v>
      </c>
      <c r="AG147" s="148">
        <f t="shared" si="47"/>
        <v>-59.38343375537896</v>
      </c>
      <c r="AH147" s="148" t="str">
        <f t="shared" si="47"/>
        <v>-</v>
      </c>
      <c r="AI147" s="149">
        <f t="shared" si="47"/>
        <v>-59.071239830982115</v>
      </c>
    </row>
    <row r="148" spans="3:35" ht="15" hidden="1" customHeight="1">
      <c r="J148" s="65"/>
      <c r="K148" s="65"/>
      <c r="L148" s="65"/>
      <c r="M148" s="65"/>
      <c r="N148" s="65"/>
      <c r="U148" s="167">
        <f t="shared" si="48"/>
        <v>2024</v>
      </c>
      <c r="V148" s="98" t="s">
        <v>222</v>
      </c>
      <c r="W148" s="137" t="str">
        <f t="shared" ref="W148:AB154" si="49">IF(W110=0,"-",IF(ABS((W122-W110)/ABS(W110))*100&gt;=100,"-",IF((W122/W110)&lt;0,"-",((W122-W110)/ABS(W110))*100)))</f>
        <v>-</v>
      </c>
      <c r="X148" s="148" t="str">
        <f t="shared" si="49"/>
        <v>-</v>
      </c>
      <c r="Y148" s="148" t="str">
        <f t="shared" si="49"/>
        <v>-</v>
      </c>
      <c r="Z148" s="148" t="str">
        <f t="shared" si="49"/>
        <v>-</v>
      </c>
      <c r="AA148" s="148" t="str">
        <f t="shared" si="49"/>
        <v>-</v>
      </c>
      <c r="AB148" s="149" t="str">
        <f t="shared" si="49"/>
        <v>-</v>
      </c>
      <c r="AD148" s="137">
        <f t="shared" ref="AD148:AI154" si="50">IF(AD110=0,"-",IF(ABS((AD122-AD110)/ABS(AD110))*100&gt;=100,"-",IF((AD122/AD110)&lt;0,"-",((AD122-AD110)/ABS(AD110))*100)))</f>
        <v>-65.637717684530273</v>
      </c>
      <c r="AE148" s="148">
        <f t="shared" si="50"/>
        <v>-66.662393483324237</v>
      </c>
      <c r="AF148" s="148">
        <f t="shared" si="50"/>
        <v>-66.662568921664615</v>
      </c>
      <c r="AG148" s="148">
        <f t="shared" si="50"/>
        <v>-66.152861700137933</v>
      </c>
      <c r="AH148" s="148">
        <f t="shared" si="50"/>
        <v>75.798332171138739</v>
      </c>
      <c r="AI148" s="149">
        <f t="shared" si="50"/>
        <v>-65.892850603406288</v>
      </c>
    </row>
    <row r="149" spans="3:35" ht="15" hidden="1" customHeight="1">
      <c r="J149" s="65"/>
      <c r="K149" s="65"/>
      <c r="L149" s="65"/>
      <c r="M149" s="65"/>
      <c r="N149" s="65"/>
      <c r="U149" s="167">
        <f t="shared" si="48"/>
        <v>2024</v>
      </c>
      <c r="V149" s="98" t="s">
        <v>223</v>
      </c>
      <c r="W149" s="137" t="str">
        <f t="shared" si="49"/>
        <v>-</v>
      </c>
      <c r="X149" s="148" t="str">
        <f t="shared" si="49"/>
        <v>-</v>
      </c>
      <c r="Y149" s="148" t="str">
        <f t="shared" si="49"/>
        <v>-</v>
      </c>
      <c r="Z149" s="148" t="str">
        <f t="shared" si="49"/>
        <v>-</v>
      </c>
      <c r="AA149" s="148" t="str">
        <f t="shared" si="49"/>
        <v>-</v>
      </c>
      <c r="AB149" s="149" t="str">
        <f t="shared" si="49"/>
        <v>-</v>
      </c>
      <c r="AD149" s="137">
        <f t="shared" si="50"/>
        <v>-74.451654318601115</v>
      </c>
      <c r="AE149" s="148">
        <f t="shared" si="50"/>
        <v>-71.998243482022431</v>
      </c>
      <c r="AF149" s="148">
        <f t="shared" si="50"/>
        <v>-67.699450252301574</v>
      </c>
      <c r="AG149" s="148">
        <f t="shared" si="50"/>
        <v>-72.868848699838395</v>
      </c>
      <c r="AH149" s="148">
        <f t="shared" si="50"/>
        <v>50.786549995084087</v>
      </c>
      <c r="AI149" s="149">
        <f t="shared" si="50"/>
        <v>-72.6571508708507</v>
      </c>
    </row>
    <row r="150" spans="3:35" ht="15" hidden="1" customHeight="1">
      <c r="J150" s="65"/>
      <c r="K150" s="65"/>
      <c r="L150" s="65"/>
      <c r="M150" s="65"/>
      <c r="N150" s="65"/>
      <c r="U150" s="167">
        <f t="shared" si="48"/>
        <v>2024</v>
      </c>
      <c r="V150" s="98" t="s">
        <v>224</v>
      </c>
      <c r="W150" s="137" t="str">
        <f t="shared" si="49"/>
        <v>-</v>
      </c>
      <c r="X150" s="148" t="str">
        <f t="shared" si="49"/>
        <v>-</v>
      </c>
      <c r="Y150" s="148" t="str">
        <f t="shared" si="49"/>
        <v>-</v>
      </c>
      <c r="Z150" s="148" t="str">
        <f t="shared" si="49"/>
        <v>-</v>
      </c>
      <c r="AA150" s="148" t="str">
        <f t="shared" si="49"/>
        <v>-</v>
      </c>
      <c r="AB150" s="149" t="str">
        <f t="shared" si="49"/>
        <v>-</v>
      </c>
      <c r="AD150" s="137">
        <f t="shared" si="50"/>
        <v>-77.268468583590135</v>
      </c>
      <c r="AE150" s="148">
        <f t="shared" si="50"/>
        <v>-75.436858521303435</v>
      </c>
      <c r="AF150" s="148">
        <f t="shared" si="50"/>
        <v>-72.190249900169732</v>
      </c>
      <c r="AG150" s="148">
        <f t="shared" si="50"/>
        <v>-76.066306083277965</v>
      </c>
      <c r="AH150" s="148">
        <f t="shared" si="50"/>
        <v>32.006369426751604</v>
      </c>
      <c r="AI150" s="149">
        <f t="shared" si="50"/>
        <v>-75.87987309293311</v>
      </c>
    </row>
    <row r="151" spans="3:35" ht="13.2" hidden="1">
      <c r="J151" s="65"/>
      <c r="K151" s="65"/>
      <c r="L151" s="65"/>
      <c r="M151" s="65"/>
      <c r="N151" s="65"/>
      <c r="U151" s="167">
        <f t="shared" si="48"/>
        <v>2024</v>
      </c>
      <c r="V151" s="98" t="s">
        <v>225</v>
      </c>
      <c r="W151" s="137" t="str">
        <f t="shared" si="49"/>
        <v>-</v>
      </c>
      <c r="X151" s="148" t="str">
        <f t="shared" si="49"/>
        <v>-</v>
      </c>
      <c r="Y151" s="148" t="str">
        <f t="shared" si="49"/>
        <v>-</v>
      </c>
      <c r="Z151" s="148" t="str">
        <f t="shared" si="49"/>
        <v>-</v>
      </c>
      <c r="AA151" s="148" t="str">
        <f t="shared" si="49"/>
        <v>-</v>
      </c>
      <c r="AB151" s="149" t="str">
        <f t="shared" si="49"/>
        <v>-</v>
      </c>
      <c r="AD151" s="137">
        <f t="shared" si="50"/>
        <v>-79.525833402870077</v>
      </c>
      <c r="AE151" s="148">
        <f t="shared" si="50"/>
        <v>-78.123314264923025</v>
      </c>
      <c r="AF151" s="148">
        <f t="shared" si="50"/>
        <v>-75.584746438693216</v>
      </c>
      <c r="AG151" s="148">
        <f t="shared" si="50"/>
        <v>-78.589566359588346</v>
      </c>
      <c r="AH151" s="148">
        <f t="shared" si="50"/>
        <v>17.385397465254083</v>
      </c>
      <c r="AI151" s="149">
        <f t="shared" si="50"/>
        <v>-78.423011668352572</v>
      </c>
    </row>
    <row r="152" spans="3:35" ht="13.2" hidden="1">
      <c r="J152" s="65"/>
      <c r="K152" s="65"/>
      <c r="L152" s="65"/>
      <c r="M152" s="65"/>
      <c r="N152" s="65"/>
      <c r="U152" s="167">
        <f t="shared" si="48"/>
        <v>2024</v>
      </c>
      <c r="V152" s="98" t="s">
        <v>226</v>
      </c>
      <c r="W152" s="137" t="str">
        <f t="shared" si="49"/>
        <v>-</v>
      </c>
      <c r="X152" s="148" t="str">
        <f t="shared" si="49"/>
        <v>-</v>
      </c>
      <c r="Y152" s="148" t="str">
        <f t="shared" si="49"/>
        <v>-</v>
      </c>
      <c r="Z152" s="148" t="str">
        <f t="shared" si="49"/>
        <v>-</v>
      </c>
      <c r="AA152" s="148" t="str">
        <f t="shared" si="49"/>
        <v>-</v>
      </c>
      <c r="AB152" s="149" t="str">
        <f t="shared" si="49"/>
        <v>-</v>
      </c>
      <c r="AD152" s="137">
        <f t="shared" si="50"/>
        <v>-81.375360695342806</v>
      </c>
      <c r="AE152" s="148">
        <f t="shared" si="50"/>
        <v>-80.280071925273887</v>
      </c>
      <c r="AF152" s="148">
        <f t="shared" si="50"/>
        <v>-78.240392349140535</v>
      </c>
      <c r="AG152" s="148">
        <f t="shared" si="50"/>
        <v>-80.631496947082098</v>
      </c>
      <c r="AH152" s="148">
        <f t="shared" si="50"/>
        <v>5.6802912498707956</v>
      </c>
      <c r="AI152" s="149">
        <f t="shared" si="50"/>
        <v>-80.480990169871561</v>
      </c>
    </row>
    <row r="153" spans="3:35" ht="13.2" hidden="1">
      <c r="J153" s="65"/>
      <c r="K153" s="65"/>
      <c r="L153" s="65"/>
      <c r="M153" s="65"/>
      <c r="N153" s="65"/>
      <c r="U153" s="167">
        <f t="shared" si="48"/>
        <v>2024</v>
      </c>
      <c r="V153" s="98" t="s">
        <v>227</v>
      </c>
      <c r="W153" s="137" t="str">
        <f t="shared" si="49"/>
        <v>-</v>
      </c>
      <c r="X153" s="148" t="str">
        <f t="shared" si="49"/>
        <v>-</v>
      </c>
      <c r="Y153" s="148" t="str">
        <f t="shared" si="49"/>
        <v>-</v>
      </c>
      <c r="Z153" s="148" t="str">
        <f t="shared" si="49"/>
        <v>-</v>
      </c>
      <c r="AA153" s="148" t="str">
        <f t="shared" si="49"/>
        <v>-</v>
      </c>
      <c r="AB153" s="149" t="str">
        <f t="shared" si="49"/>
        <v>-</v>
      </c>
      <c r="AD153" s="137">
        <f t="shared" si="50"/>
        <v>-82.918420380731646</v>
      </c>
      <c r="AE153" s="148">
        <f t="shared" si="50"/>
        <v>-82.049734460695703</v>
      </c>
      <c r="AF153" s="148">
        <f t="shared" si="50"/>
        <v>-80.375266320429489</v>
      </c>
      <c r="AG153" s="148">
        <f t="shared" si="50"/>
        <v>-82.317883761432441</v>
      </c>
      <c r="AH153" s="148">
        <f t="shared" si="50"/>
        <v>-3.9016239360868927</v>
      </c>
      <c r="AI153" s="149">
        <f t="shared" si="50"/>
        <v>-82.18060441424258</v>
      </c>
    </row>
    <row r="154" spans="3:35" ht="13.2" hidden="1">
      <c r="J154" s="65"/>
      <c r="K154" s="65"/>
      <c r="L154" s="65"/>
      <c r="M154" s="65"/>
      <c r="N154" s="65"/>
      <c r="U154" s="167">
        <f t="shared" si="48"/>
        <v>2024</v>
      </c>
      <c r="V154" s="98" t="s">
        <v>228</v>
      </c>
      <c r="W154" s="137" t="str">
        <f t="shared" si="49"/>
        <v>-</v>
      </c>
      <c r="X154" s="148" t="str">
        <f t="shared" si="49"/>
        <v>-</v>
      </c>
      <c r="Y154" s="148" t="str">
        <f t="shared" si="49"/>
        <v>-</v>
      </c>
      <c r="Z154" s="148" t="str">
        <f t="shared" si="49"/>
        <v>-</v>
      </c>
      <c r="AA154" s="148" t="str">
        <f t="shared" si="49"/>
        <v>-</v>
      </c>
      <c r="AB154" s="149" t="str">
        <f t="shared" si="49"/>
        <v>-</v>
      </c>
      <c r="AD154" s="137">
        <f t="shared" si="50"/>
        <v>-84.225356629941928</v>
      </c>
      <c r="AE154" s="148">
        <f t="shared" si="50"/>
        <v>-83.527934441423994</v>
      </c>
      <c r="AF154" s="148">
        <f t="shared" si="50"/>
        <v>-82.128651789243349</v>
      </c>
      <c r="AG154" s="148">
        <f t="shared" si="50"/>
        <v>-83.734128596128201</v>
      </c>
      <c r="AH154" s="148">
        <f t="shared" si="50"/>
        <v>-11.890843806104137</v>
      </c>
      <c r="AI154" s="149">
        <f t="shared" si="50"/>
        <v>-83.607939787528935</v>
      </c>
    </row>
    <row r="155" spans="3:35" ht="13.2" hidden="1">
      <c r="C155" s="137"/>
      <c r="J155" s="65"/>
      <c r="K155" s="65"/>
      <c r="L155" s="65"/>
      <c r="M155" s="65"/>
      <c r="N155" s="65"/>
    </row>
    <row r="156" spans="3:35" ht="13.2" hidden="1">
      <c r="J156" s="65"/>
      <c r="K156" s="65"/>
      <c r="L156" s="65"/>
      <c r="M156" s="65"/>
      <c r="N156" s="65"/>
      <c r="W156" s="137"/>
      <c r="X156" s="137"/>
      <c r="Y156" s="137"/>
      <c r="Z156" s="137"/>
      <c r="AA156" s="137"/>
      <c r="AB156"/>
    </row>
    <row r="157" spans="3:35" ht="13.2" hidden="1">
      <c r="J157" s="65"/>
      <c r="K157" s="65"/>
      <c r="L157" s="65"/>
      <c r="M157" s="65"/>
      <c r="N157" s="65"/>
      <c r="W157" s="137"/>
      <c r="X157" s="137"/>
      <c r="Y157" s="137"/>
      <c r="Z157" s="137"/>
      <c r="AA157" s="137"/>
      <c r="AB157"/>
    </row>
    <row r="158" spans="3:35" ht="13.2" hidden="1">
      <c r="J158" s="65"/>
      <c r="K158" s="65"/>
      <c r="L158" s="65"/>
      <c r="M158" s="65"/>
      <c r="N158" s="65"/>
      <c r="W158" s="137"/>
      <c r="X158" s="137"/>
      <c r="Y158" s="137"/>
      <c r="Z158" s="137"/>
      <c r="AA158" s="137"/>
      <c r="AB158"/>
    </row>
    <row r="159" spans="3:35" ht="13.2" hidden="1">
      <c r="J159" s="65"/>
      <c r="K159" s="65"/>
      <c r="L159" s="65"/>
      <c r="M159" s="65"/>
      <c r="N159" s="65"/>
      <c r="W159" s="137"/>
      <c r="X159" s="137"/>
      <c r="Y159" s="137"/>
      <c r="Z159" s="137"/>
      <c r="AA159" s="137"/>
      <c r="AB159"/>
    </row>
    <row r="160" spans="3:35" ht="13.2" hidden="1">
      <c r="J160" s="65"/>
      <c r="K160" s="65"/>
      <c r="L160" s="65"/>
      <c r="M160" s="65"/>
      <c r="N160" s="65"/>
      <c r="W160" s="137"/>
      <c r="X160" s="137"/>
      <c r="Y160" s="137"/>
      <c r="Z160" s="137"/>
      <c r="AA160" s="137"/>
      <c r="AB160"/>
    </row>
    <row r="161" spans="10:28" ht="13.2" hidden="1">
      <c r="J161" s="65"/>
      <c r="K161" s="65"/>
      <c r="L161" s="65"/>
      <c r="M161" s="65"/>
      <c r="N161" s="65"/>
      <c r="W161" s="137"/>
      <c r="X161" s="137"/>
      <c r="Y161" s="137"/>
      <c r="Z161" s="137"/>
      <c r="AA161" s="137"/>
      <c r="AB161"/>
    </row>
    <row r="162" spans="10:28" ht="13.2" hidden="1">
      <c r="J162" s="65"/>
      <c r="K162" s="65"/>
      <c r="L162" s="65"/>
      <c r="M162" s="65"/>
      <c r="N162" s="65"/>
      <c r="W162" s="137"/>
      <c r="X162" s="137"/>
      <c r="Y162" s="137"/>
      <c r="Z162" s="137"/>
      <c r="AA162" s="137"/>
      <c r="AB162"/>
    </row>
    <row r="163" spans="10:28" ht="13.2" hidden="1">
      <c r="J163" s="65"/>
      <c r="K163" s="65"/>
      <c r="L163" s="65"/>
      <c r="M163" s="65"/>
      <c r="N163" s="65"/>
      <c r="W163" s="137"/>
      <c r="X163" s="137"/>
      <c r="Y163" s="137"/>
      <c r="Z163" s="137"/>
      <c r="AA163" s="137"/>
      <c r="AB163"/>
    </row>
    <row r="164" spans="10:28" ht="13.2" hidden="1">
      <c r="J164" s="65"/>
      <c r="K164" s="65"/>
      <c r="L164" s="65"/>
      <c r="M164" s="65"/>
      <c r="N164" s="65"/>
      <c r="W164" s="137"/>
      <c r="X164" s="137"/>
      <c r="Y164" s="137"/>
      <c r="Z164" s="137"/>
      <c r="AA164" s="137"/>
      <c r="AB164"/>
    </row>
    <row r="165" spans="10:28" ht="13.2" hidden="1">
      <c r="J165" s="65"/>
      <c r="K165" s="65"/>
      <c r="L165" s="65"/>
      <c r="M165" s="65"/>
      <c r="N165" s="65"/>
      <c r="W165" s="137"/>
      <c r="X165" s="137"/>
      <c r="Y165" s="137"/>
      <c r="Z165" s="137"/>
      <c r="AA165" s="137"/>
      <c r="AB165"/>
    </row>
    <row r="166" spans="10:28" ht="13.2" hidden="1">
      <c r="J166" s="65"/>
      <c r="K166" s="65"/>
      <c r="L166" s="65"/>
      <c r="M166" s="65"/>
      <c r="N166" s="65"/>
      <c r="W166" s="137"/>
      <c r="X166" s="137"/>
      <c r="Y166" s="137"/>
      <c r="Z166" s="137"/>
      <c r="AA166" s="137"/>
      <c r="AB166"/>
    </row>
    <row r="167" spans="10:28" ht="13.2" hidden="1">
      <c r="J167" s="65"/>
      <c r="K167" s="65"/>
      <c r="L167" s="65"/>
      <c r="M167" s="65"/>
      <c r="N167" s="65"/>
      <c r="W167" s="137"/>
      <c r="X167" s="137"/>
      <c r="Y167" s="137"/>
      <c r="Z167" s="137"/>
      <c r="AA167" s="137"/>
      <c r="AB167"/>
    </row>
    <row r="168" spans="10:28" ht="12.6" hidden="1">
      <c r="J168" s="65"/>
      <c r="K168" s="65"/>
      <c r="L168" s="65"/>
      <c r="M168" s="65"/>
      <c r="N168" s="65"/>
    </row>
    <row r="169" spans="10:28" ht="12.6" hidden="1">
      <c r="J169" s="65"/>
      <c r="K169" s="65"/>
      <c r="L169" s="65"/>
      <c r="M169" s="65"/>
      <c r="N169" s="65"/>
    </row>
    <row r="170" spans="10:28" ht="12.6" hidden="1">
      <c r="J170" s="65"/>
      <c r="K170" s="65"/>
      <c r="L170" s="65"/>
      <c r="M170" s="65"/>
      <c r="N170" s="65"/>
    </row>
    <row r="171" spans="10:28" ht="12.6" hidden="1">
      <c r="J171" s="65"/>
      <c r="K171" s="65"/>
      <c r="L171" s="65"/>
      <c r="M171" s="65"/>
      <c r="N171" s="65"/>
    </row>
    <row r="172" spans="10:28" ht="12.6" hidden="1">
      <c r="J172" s="65"/>
      <c r="K172" s="65"/>
      <c r="L172" s="65"/>
      <c r="M172" s="65"/>
      <c r="N172" s="65"/>
    </row>
    <row r="173" spans="10:28" ht="12.6" hidden="1">
      <c r="J173" s="65"/>
      <c r="K173" s="65"/>
      <c r="L173" s="65"/>
      <c r="M173" s="65"/>
      <c r="N173" s="65"/>
    </row>
    <row r="174" spans="10:28" ht="12.6" hidden="1">
      <c r="J174" s="65"/>
      <c r="K174" s="65"/>
      <c r="L174" s="65"/>
      <c r="M174" s="65"/>
      <c r="N174" s="65"/>
    </row>
    <row r="175" spans="10:28" ht="12.6" hidden="1">
      <c r="J175" s="65"/>
      <c r="K175" s="65"/>
      <c r="L175" s="65"/>
      <c r="M175" s="65"/>
      <c r="N175" s="65"/>
    </row>
    <row r="176" spans="10:28" ht="12.6" hidden="1">
      <c r="J176" s="65"/>
      <c r="K176" s="65"/>
      <c r="L176" s="65"/>
      <c r="M176" s="65"/>
      <c r="N176" s="65"/>
    </row>
    <row r="177" spans="10:14" ht="12.6" hidden="1">
      <c r="J177" s="65"/>
      <c r="K177" s="65"/>
      <c r="L177" s="65"/>
      <c r="M177" s="65"/>
      <c r="N177" s="65"/>
    </row>
    <row r="178" spans="10:14" ht="12.6" hidden="1">
      <c r="J178" s="65"/>
      <c r="K178" s="65"/>
      <c r="L178" s="65"/>
      <c r="M178" s="65"/>
      <c r="N178" s="65"/>
    </row>
    <row r="179" spans="10:14" ht="12.6" hidden="1">
      <c r="J179" s="65"/>
      <c r="K179" s="65"/>
      <c r="L179" s="65"/>
      <c r="M179" s="65"/>
      <c r="N179" s="65"/>
    </row>
    <row r="180" spans="10:14" ht="12.6" hidden="1">
      <c r="J180" s="65"/>
      <c r="K180" s="65"/>
      <c r="L180" s="65"/>
      <c r="M180" s="65"/>
      <c r="N180" s="65"/>
    </row>
    <row r="181" spans="10:14" ht="12.6" hidden="1">
      <c r="J181" s="65"/>
      <c r="K181" s="65"/>
      <c r="L181" s="65"/>
      <c r="M181" s="65"/>
      <c r="N181" s="65"/>
    </row>
    <row r="182" spans="10:14" ht="12.6" hidden="1">
      <c r="J182" s="65"/>
      <c r="K182" s="65"/>
      <c r="L182" s="65"/>
      <c r="M182" s="65"/>
      <c r="N182" s="65"/>
    </row>
    <row r="183" spans="10:14" ht="12.6" hidden="1">
      <c r="J183" s="65"/>
      <c r="K183" s="65"/>
      <c r="L183" s="65"/>
      <c r="M183" s="65"/>
      <c r="N183" s="65"/>
    </row>
    <row r="184" spans="10:14" ht="12.6" hidden="1">
      <c r="J184" s="65"/>
      <c r="K184" s="65"/>
      <c r="L184" s="65"/>
      <c r="M184" s="65"/>
      <c r="N184" s="65"/>
    </row>
    <row r="185" spans="10:14" ht="12.6" hidden="1">
      <c r="J185" s="65"/>
      <c r="K185" s="65"/>
      <c r="L185" s="65"/>
      <c r="M185" s="65"/>
      <c r="N185" s="65"/>
    </row>
    <row r="186" spans="10:14" ht="12.6" hidden="1">
      <c r="J186" s="65"/>
      <c r="K186" s="65"/>
      <c r="L186" s="65"/>
      <c r="M186" s="65"/>
      <c r="N186" s="65"/>
    </row>
    <row r="187" spans="10:14" ht="12.6" hidden="1">
      <c r="J187" s="65"/>
      <c r="K187" s="65"/>
      <c r="L187" s="65"/>
      <c r="M187" s="65"/>
      <c r="N187" s="65"/>
    </row>
    <row r="188" spans="10:14" ht="12.6" hidden="1">
      <c r="J188" s="65"/>
      <c r="K188" s="65"/>
      <c r="L188" s="65"/>
      <c r="M188" s="65"/>
      <c r="N188" s="65"/>
    </row>
    <row r="189" spans="10:14" ht="12.6" hidden="1">
      <c r="J189" s="65"/>
      <c r="K189" s="65"/>
      <c r="L189" s="65"/>
      <c r="M189" s="65"/>
      <c r="N189" s="65"/>
    </row>
    <row r="190" spans="10:14" ht="12.6" hidden="1">
      <c r="J190" s="65"/>
      <c r="K190" s="65"/>
      <c r="L190" s="65"/>
      <c r="M190" s="65"/>
      <c r="N190" s="65"/>
    </row>
    <row r="191" spans="10:14" ht="12.6" hidden="1">
      <c r="J191" s="65"/>
      <c r="K191" s="65"/>
      <c r="L191" s="65"/>
      <c r="M191" s="65"/>
      <c r="N191" s="65"/>
    </row>
    <row r="192" spans="10:14" ht="12.6" hidden="1">
      <c r="J192" s="65"/>
      <c r="K192" s="65"/>
      <c r="L192" s="65"/>
      <c r="M192" s="65"/>
      <c r="N192" s="65"/>
    </row>
    <row r="193" spans="10:14" ht="12.6" hidden="1">
      <c r="J193" s="65"/>
      <c r="K193" s="65"/>
      <c r="L193" s="65"/>
      <c r="M193" s="65"/>
      <c r="N193" s="65"/>
    </row>
    <row r="194" spans="10:14" ht="12.6" hidden="1">
      <c r="J194" s="65"/>
      <c r="K194" s="65"/>
      <c r="L194" s="65"/>
      <c r="M194" s="65"/>
      <c r="N194" s="65"/>
    </row>
    <row r="195" spans="10:14" ht="12.6" hidden="1">
      <c r="J195" s="65"/>
      <c r="K195" s="65"/>
      <c r="L195" s="65"/>
      <c r="M195" s="65"/>
      <c r="N195" s="65"/>
    </row>
    <row r="196" spans="10:14" ht="12.6" hidden="1">
      <c r="J196" s="65"/>
      <c r="K196" s="65"/>
      <c r="L196" s="65"/>
      <c r="M196" s="65"/>
      <c r="N196" s="65"/>
    </row>
    <row r="197" spans="10:14" ht="12.6" hidden="1">
      <c r="J197" s="65"/>
      <c r="K197" s="65"/>
      <c r="L197" s="65"/>
      <c r="M197" s="65"/>
      <c r="N197" s="65"/>
    </row>
    <row r="198" spans="10:14" ht="12.6" hidden="1">
      <c r="J198" s="65"/>
      <c r="K198" s="65"/>
      <c r="L198" s="65"/>
      <c r="M198" s="65"/>
      <c r="N198" s="65"/>
    </row>
    <row r="199" spans="10:14" ht="12.6" hidden="1">
      <c r="J199" s="65"/>
      <c r="K199" s="65"/>
      <c r="L199" s="65"/>
      <c r="M199" s="65"/>
      <c r="N199" s="65"/>
    </row>
    <row r="200" spans="10:14" ht="12.6" hidden="1">
      <c r="J200" s="65"/>
      <c r="K200" s="65"/>
      <c r="L200" s="65"/>
      <c r="M200" s="65"/>
      <c r="N200" s="65"/>
    </row>
    <row r="201" spans="10:14" ht="12.6" hidden="1">
      <c r="J201" s="65"/>
      <c r="K201" s="65"/>
      <c r="L201" s="65"/>
      <c r="M201" s="65"/>
      <c r="N201" s="65"/>
    </row>
    <row r="202" spans="10:14" ht="12.6" hidden="1">
      <c r="J202" s="65"/>
      <c r="K202" s="65"/>
      <c r="L202" s="65"/>
      <c r="M202" s="65"/>
      <c r="N202" s="65"/>
    </row>
    <row r="203" spans="10:14" ht="12.6" hidden="1">
      <c r="J203" s="65"/>
      <c r="K203" s="65"/>
      <c r="L203" s="65"/>
      <c r="M203" s="65"/>
      <c r="N203" s="65"/>
    </row>
    <row r="204" spans="10:14" ht="12.6" hidden="1">
      <c r="J204" s="65"/>
      <c r="K204" s="65"/>
      <c r="L204" s="65"/>
      <c r="M204" s="65"/>
      <c r="N204" s="65"/>
    </row>
    <row r="205" spans="10:14" ht="12.6" hidden="1">
      <c r="J205" s="65"/>
      <c r="K205" s="65"/>
      <c r="L205" s="65"/>
      <c r="M205" s="65"/>
      <c r="N205" s="65"/>
    </row>
    <row r="206" spans="10:14" ht="12.6" hidden="1">
      <c r="J206" s="65"/>
      <c r="K206" s="65"/>
      <c r="L206" s="65"/>
      <c r="M206" s="65"/>
      <c r="N206" s="65"/>
    </row>
    <row r="207" spans="10:14" ht="12.6" hidden="1">
      <c r="J207" s="65"/>
      <c r="K207" s="65"/>
      <c r="L207" s="65"/>
      <c r="M207" s="65"/>
      <c r="N207" s="65"/>
    </row>
    <row r="208" spans="10:14" ht="12.6" hidden="1">
      <c r="J208" s="65"/>
      <c r="K208" s="65"/>
      <c r="L208" s="65"/>
      <c r="M208" s="65"/>
      <c r="N208" s="65"/>
    </row>
    <row r="209" spans="10:14" ht="12.6" hidden="1">
      <c r="J209" s="65"/>
      <c r="K209" s="65"/>
      <c r="L209" s="65"/>
      <c r="M209" s="65"/>
      <c r="N209" s="65"/>
    </row>
    <row r="210" spans="10:14" ht="12.6" hidden="1">
      <c r="J210" s="65"/>
      <c r="K210" s="65"/>
      <c r="L210" s="65"/>
      <c r="M210" s="65"/>
      <c r="N210" s="65"/>
    </row>
    <row r="211" spans="10:14" ht="12.6" hidden="1">
      <c r="J211" s="65"/>
      <c r="K211" s="65"/>
      <c r="L211" s="65"/>
      <c r="M211" s="65"/>
      <c r="N211" s="65"/>
    </row>
    <row r="212" spans="10:14" ht="12.6" hidden="1">
      <c r="J212" s="65"/>
      <c r="K212" s="65"/>
      <c r="L212" s="65"/>
      <c r="M212" s="65"/>
      <c r="N212" s="65"/>
    </row>
    <row r="213" spans="10:14" ht="12.6" hidden="1">
      <c r="J213" s="65"/>
      <c r="K213" s="65"/>
      <c r="L213" s="65"/>
      <c r="M213" s="65"/>
      <c r="N213" s="65"/>
    </row>
    <row r="214" spans="10:14" ht="12.6" hidden="1">
      <c r="J214" s="65"/>
      <c r="K214" s="65"/>
      <c r="L214" s="65"/>
      <c r="M214" s="65"/>
      <c r="N214" s="65"/>
    </row>
    <row r="215" spans="10:14" ht="12.6" hidden="1">
      <c r="J215" s="65"/>
      <c r="K215" s="65"/>
      <c r="L215" s="65"/>
      <c r="M215" s="65"/>
      <c r="N215" s="65"/>
    </row>
    <row r="216" spans="10:14" ht="12.6" hidden="1">
      <c r="J216" s="65"/>
      <c r="K216" s="65"/>
      <c r="L216" s="65"/>
      <c r="M216" s="65"/>
      <c r="N216" s="65"/>
    </row>
    <row r="217" spans="10:14" ht="12.6" hidden="1">
      <c r="J217" s="65"/>
      <c r="K217" s="65"/>
      <c r="L217" s="65"/>
      <c r="M217" s="65"/>
      <c r="N217" s="65"/>
    </row>
    <row r="218" spans="10:14" ht="12.6" hidden="1">
      <c r="J218" s="65"/>
      <c r="K218" s="65"/>
      <c r="L218" s="65"/>
      <c r="M218" s="65"/>
      <c r="N218" s="65"/>
    </row>
    <row r="219" spans="10:14" ht="12.6" hidden="1">
      <c r="J219" s="65"/>
      <c r="K219" s="65"/>
      <c r="L219" s="65"/>
      <c r="M219" s="65"/>
      <c r="N219" s="65"/>
    </row>
    <row r="220" spans="10:14" ht="12.6" hidden="1">
      <c r="J220" s="65"/>
      <c r="K220" s="65"/>
      <c r="L220" s="65"/>
      <c r="M220" s="65"/>
      <c r="N220" s="65"/>
    </row>
    <row r="221" spans="10:14" ht="12.6" hidden="1">
      <c r="J221" s="65"/>
      <c r="K221" s="65"/>
      <c r="L221" s="65"/>
      <c r="M221" s="65"/>
      <c r="N221" s="65"/>
    </row>
    <row r="222" spans="10:14" ht="12.6" hidden="1">
      <c r="J222" s="65"/>
      <c r="K222" s="65"/>
      <c r="L222" s="65"/>
      <c r="M222" s="65"/>
      <c r="N222" s="65"/>
    </row>
    <row r="223" spans="10:14" ht="12.6" hidden="1">
      <c r="J223" s="65"/>
      <c r="K223" s="65"/>
      <c r="L223" s="65"/>
      <c r="M223" s="65"/>
      <c r="N223" s="65"/>
    </row>
    <row r="224" spans="10:14" ht="12.6" hidden="1">
      <c r="J224" s="65"/>
      <c r="K224" s="65"/>
      <c r="L224" s="65"/>
      <c r="M224" s="65"/>
      <c r="N224" s="65"/>
    </row>
    <row r="225" spans="10:14" ht="12.6" hidden="1">
      <c r="J225" s="65"/>
      <c r="K225" s="65"/>
      <c r="L225" s="65"/>
      <c r="M225" s="65"/>
      <c r="N225" s="65"/>
    </row>
    <row r="226" spans="10:14" ht="12.6" hidden="1">
      <c r="J226" s="65"/>
      <c r="K226" s="65"/>
      <c r="L226" s="65"/>
      <c r="M226" s="65"/>
      <c r="N226" s="65"/>
    </row>
    <row r="227" spans="10:14" ht="12.6" hidden="1">
      <c r="J227" s="65"/>
      <c r="K227" s="65"/>
      <c r="L227" s="65"/>
      <c r="M227" s="65"/>
      <c r="N227" s="65"/>
    </row>
    <row r="228" spans="10:14" ht="12.6" hidden="1">
      <c r="J228" s="65"/>
      <c r="K228" s="65"/>
      <c r="L228" s="65"/>
      <c r="M228" s="65"/>
      <c r="N228" s="65"/>
    </row>
    <row r="229" spans="10:14" ht="12.6" hidden="1">
      <c r="J229" s="65"/>
      <c r="K229" s="65"/>
      <c r="L229" s="65"/>
      <c r="M229" s="65"/>
      <c r="N229" s="65"/>
    </row>
    <row r="230" spans="10:14" ht="12.6" hidden="1">
      <c r="J230" s="65"/>
      <c r="K230" s="65"/>
      <c r="L230" s="65"/>
      <c r="M230" s="65"/>
      <c r="N230" s="65"/>
    </row>
    <row r="231" spans="10:14" ht="12.6" hidden="1">
      <c r="J231" s="65"/>
      <c r="K231" s="65"/>
      <c r="L231" s="65"/>
      <c r="M231" s="65"/>
      <c r="N231" s="65"/>
    </row>
    <row r="232" spans="10:14" ht="12.6" hidden="1">
      <c r="J232" s="65"/>
      <c r="K232" s="65"/>
      <c r="L232" s="65"/>
      <c r="M232" s="65"/>
      <c r="N232" s="65"/>
    </row>
    <row r="233" spans="10:14" ht="12.6" hidden="1">
      <c r="J233" s="65"/>
      <c r="K233" s="65"/>
      <c r="L233" s="65"/>
      <c r="M233" s="65"/>
      <c r="N233" s="65"/>
    </row>
    <row r="234" spans="10:14" ht="12.6" hidden="1">
      <c r="J234" s="65"/>
      <c r="K234" s="65"/>
      <c r="L234" s="65"/>
      <c r="M234" s="65"/>
      <c r="N234" s="65"/>
    </row>
    <row r="235" spans="10:14" ht="12.6" hidden="1">
      <c r="J235" s="65"/>
      <c r="K235" s="65"/>
      <c r="L235" s="65"/>
      <c r="M235" s="65"/>
      <c r="N235" s="65"/>
    </row>
    <row r="236" spans="10:14" ht="12.6" hidden="1">
      <c r="J236" s="65"/>
      <c r="K236" s="65"/>
      <c r="L236" s="65"/>
      <c r="M236" s="65"/>
      <c r="N236" s="65"/>
    </row>
    <row r="237" spans="10:14" ht="12.6" hidden="1">
      <c r="J237" s="65"/>
      <c r="K237" s="65"/>
      <c r="L237" s="65"/>
      <c r="M237" s="65"/>
      <c r="N237" s="65"/>
    </row>
    <row r="238" spans="10:14" ht="12.6" hidden="1">
      <c r="J238" s="65"/>
      <c r="K238" s="65"/>
      <c r="L238" s="65"/>
      <c r="M238" s="65"/>
      <c r="N238" s="65"/>
    </row>
    <row r="239" spans="10:14" ht="12.6" hidden="1">
      <c r="J239" s="65"/>
      <c r="K239" s="65"/>
      <c r="L239" s="65"/>
      <c r="M239" s="65"/>
      <c r="N239" s="65"/>
    </row>
    <row r="240" spans="10:14" ht="12.6" hidden="1">
      <c r="J240" s="65"/>
      <c r="K240" s="65"/>
      <c r="L240" s="65"/>
      <c r="M240" s="65"/>
      <c r="N240" s="65"/>
    </row>
    <row r="241" spans="10:14" ht="12.6" hidden="1">
      <c r="J241" s="65"/>
      <c r="K241" s="65"/>
      <c r="L241" s="65"/>
      <c r="M241" s="65"/>
      <c r="N241" s="65"/>
    </row>
    <row r="242" spans="10:14" ht="12.6" hidden="1">
      <c r="J242" s="65"/>
      <c r="K242" s="65"/>
      <c r="L242" s="65"/>
      <c r="M242" s="65"/>
      <c r="N242" s="65"/>
    </row>
    <row r="243" spans="10:14" ht="12.6" hidden="1">
      <c r="J243" s="65"/>
      <c r="K243" s="65"/>
      <c r="L243" s="65"/>
      <c r="M243" s="65"/>
      <c r="N243" s="65"/>
    </row>
    <row r="244" spans="10:14" ht="12.6" hidden="1">
      <c r="J244" s="65"/>
      <c r="K244" s="65"/>
      <c r="L244" s="65"/>
      <c r="M244" s="65"/>
      <c r="N244" s="65"/>
    </row>
    <row r="245" spans="10:14" ht="12.6" hidden="1">
      <c r="J245" s="65"/>
      <c r="K245" s="65"/>
      <c r="L245" s="65"/>
      <c r="M245" s="65"/>
      <c r="N245" s="65"/>
    </row>
    <row r="246" spans="10:14" ht="12.6" hidden="1">
      <c r="J246" s="65"/>
      <c r="K246" s="65"/>
      <c r="L246" s="65"/>
      <c r="M246" s="65"/>
      <c r="N246" s="65"/>
    </row>
    <row r="247" spans="10:14" ht="12.6" hidden="1">
      <c r="J247" s="65"/>
      <c r="K247" s="65"/>
      <c r="L247" s="65"/>
      <c r="M247" s="65"/>
      <c r="N247" s="65"/>
    </row>
    <row r="248" spans="10:14" ht="12.6" hidden="1">
      <c r="J248" s="65"/>
      <c r="K248" s="65"/>
      <c r="L248" s="65"/>
      <c r="M248" s="65"/>
      <c r="N248" s="65"/>
    </row>
    <row r="249" spans="10:14" ht="12.6" hidden="1">
      <c r="J249" s="65"/>
      <c r="K249" s="65"/>
      <c r="L249" s="65"/>
      <c r="M249" s="65"/>
      <c r="N249" s="65"/>
    </row>
    <row r="250" spans="10:14" ht="12.6" hidden="1">
      <c r="J250" s="65"/>
      <c r="K250" s="65"/>
      <c r="L250" s="65"/>
      <c r="M250" s="65"/>
      <c r="N250" s="65"/>
    </row>
    <row r="251" spans="10:14" ht="12.6" hidden="1">
      <c r="J251" s="65"/>
      <c r="K251" s="65"/>
      <c r="L251" s="65"/>
      <c r="M251" s="65"/>
      <c r="N251" s="65"/>
    </row>
    <row r="252" spans="10:14" ht="12.6" hidden="1">
      <c r="J252" s="65"/>
      <c r="K252" s="65"/>
      <c r="L252" s="65"/>
      <c r="M252" s="65"/>
      <c r="N252" s="65"/>
    </row>
    <row r="253" spans="10:14" ht="12.6" hidden="1">
      <c r="J253" s="65"/>
      <c r="K253" s="65"/>
      <c r="L253" s="65"/>
      <c r="M253" s="65"/>
      <c r="N253" s="65"/>
    </row>
    <row r="254" spans="10:14" ht="12.6" hidden="1">
      <c r="J254" s="65"/>
      <c r="K254" s="65"/>
      <c r="L254" s="65"/>
      <c r="M254" s="65"/>
      <c r="N254" s="65"/>
    </row>
    <row r="255" spans="10:14" ht="12.6" hidden="1">
      <c r="J255" s="65"/>
      <c r="K255" s="65"/>
      <c r="L255" s="65"/>
      <c r="M255" s="65"/>
      <c r="N255" s="65"/>
    </row>
    <row r="256" spans="10:14" ht="12.6" hidden="1">
      <c r="J256" s="65"/>
      <c r="K256" s="65"/>
      <c r="L256" s="65"/>
      <c r="M256" s="65"/>
      <c r="N256" s="65"/>
    </row>
    <row r="257" spans="10:14" ht="12.6" hidden="1">
      <c r="J257" s="65"/>
      <c r="K257" s="65"/>
      <c r="L257" s="65"/>
      <c r="M257" s="65"/>
      <c r="N257" s="65"/>
    </row>
    <row r="258" spans="10:14" ht="12.6" hidden="1">
      <c r="J258" s="65"/>
      <c r="K258" s="65"/>
      <c r="L258" s="65"/>
      <c r="M258" s="65"/>
      <c r="N258" s="65"/>
    </row>
    <row r="259" spans="10:14" ht="12.6" hidden="1">
      <c r="J259" s="65"/>
      <c r="K259" s="65"/>
      <c r="L259" s="65"/>
      <c r="M259" s="65"/>
      <c r="N259" s="65"/>
    </row>
    <row r="260" spans="10:14" ht="12.6" hidden="1">
      <c r="J260" s="65"/>
      <c r="K260" s="65"/>
      <c r="L260" s="65"/>
      <c r="M260" s="65"/>
      <c r="N260" s="65"/>
    </row>
    <row r="261" spans="10:14" ht="12.6" hidden="1">
      <c r="J261" s="65"/>
      <c r="K261" s="65"/>
      <c r="L261" s="65"/>
      <c r="M261" s="65"/>
      <c r="N261" s="65"/>
    </row>
    <row r="262" spans="10:14" ht="12.6" hidden="1">
      <c r="J262" s="65"/>
      <c r="K262" s="65"/>
      <c r="L262" s="65"/>
      <c r="M262" s="65"/>
      <c r="N262" s="65"/>
    </row>
    <row r="263" spans="10:14" ht="12.6" hidden="1">
      <c r="J263" s="65"/>
      <c r="K263" s="65"/>
      <c r="L263" s="65"/>
      <c r="M263" s="65"/>
      <c r="N263" s="65"/>
    </row>
    <row r="264" spans="10:14" ht="12.6" hidden="1">
      <c r="J264" s="65"/>
      <c r="K264" s="65"/>
      <c r="L264" s="65"/>
      <c r="M264" s="65"/>
      <c r="N264" s="65"/>
    </row>
    <row r="265" spans="10:14" ht="12.6" hidden="1">
      <c r="J265" s="65"/>
      <c r="K265" s="65"/>
      <c r="L265" s="65"/>
      <c r="M265" s="65"/>
      <c r="N265" s="65"/>
    </row>
    <row r="266" spans="10:14" ht="12.6" hidden="1">
      <c r="J266" s="65"/>
      <c r="K266" s="65"/>
      <c r="L266" s="65"/>
      <c r="M266" s="65"/>
      <c r="N266" s="65"/>
    </row>
    <row r="267" spans="10:14" ht="12.6" hidden="1">
      <c r="J267" s="65"/>
      <c r="K267" s="65"/>
      <c r="L267" s="65"/>
      <c r="M267" s="65"/>
      <c r="N267" s="65"/>
    </row>
    <row r="268" spans="10:14" ht="12.6" hidden="1">
      <c r="J268" s="65"/>
      <c r="K268" s="65"/>
      <c r="L268" s="65"/>
      <c r="M268" s="65"/>
      <c r="N268" s="65"/>
    </row>
    <row r="269" spans="10:14" ht="12.6" hidden="1">
      <c r="J269" s="65"/>
      <c r="K269" s="65"/>
      <c r="L269" s="65"/>
      <c r="M269" s="65"/>
      <c r="N269" s="65"/>
    </row>
    <row r="270" spans="10:14" ht="12.6" hidden="1">
      <c r="J270" s="65"/>
      <c r="K270" s="65"/>
      <c r="L270" s="65"/>
      <c r="M270" s="65"/>
      <c r="N270" s="65"/>
    </row>
    <row r="271" spans="10:14" ht="12.6" hidden="1">
      <c r="J271" s="65"/>
      <c r="K271" s="65"/>
      <c r="L271" s="65"/>
      <c r="M271" s="65"/>
      <c r="N271" s="65"/>
    </row>
    <row r="272" spans="10:14" ht="12.6" hidden="1">
      <c r="J272" s="65"/>
      <c r="K272" s="65"/>
      <c r="L272" s="65"/>
      <c r="M272" s="65"/>
      <c r="N272" s="65"/>
    </row>
    <row r="273" spans="10:14" ht="12.6" hidden="1">
      <c r="J273" s="65"/>
      <c r="K273" s="65"/>
      <c r="L273" s="65"/>
      <c r="M273" s="65"/>
      <c r="N273" s="65"/>
    </row>
    <row r="274" spans="10:14" ht="12.6" hidden="1">
      <c r="J274" s="65"/>
      <c r="K274" s="65"/>
      <c r="L274" s="65"/>
      <c r="M274" s="65"/>
      <c r="N274" s="65"/>
    </row>
    <row r="275" spans="10:14" ht="12.6" hidden="1">
      <c r="J275" s="65"/>
      <c r="K275" s="65"/>
      <c r="L275" s="65"/>
      <c r="M275" s="65"/>
      <c r="N275" s="65"/>
    </row>
    <row r="276" spans="10:14" ht="12.6" hidden="1">
      <c r="J276" s="65"/>
      <c r="K276" s="65"/>
      <c r="L276" s="65"/>
      <c r="M276" s="65"/>
      <c r="N276" s="65"/>
    </row>
    <row r="277" spans="10:14" ht="12.6" hidden="1">
      <c r="J277" s="65"/>
      <c r="K277" s="65"/>
      <c r="L277" s="65"/>
      <c r="M277" s="65"/>
      <c r="N277" s="65"/>
    </row>
    <row r="278" spans="10:14" ht="12.6" hidden="1">
      <c r="J278" s="65"/>
      <c r="K278" s="65"/>
      <c r="L278" s="65"/>
      <c r="M278" s="65"/>
      <c r="N278" s="65"/>
    </row>
    <row r="279" spans="10:14" ht="12.6" hidden="1">
      <c r="J279" s="65"/>
      <c r="K279" s="65"/>
      <c r="L279" s="65"/>
      <c r="M279" s="65"/>
      <c r="N279" s="65"/>
    </row>
    <row r="280" spans="10:14" ht="12.6" hidden="1">
      <c r="J280" s="65"/>
      <c r="K280" s="65"/>
      <c r="L280" s="65"/>
      <c r="M280" s="65"/>
      <c r="N280" s="65"/>
    </row>
    <row r="281" spans="10:14" ht="12.6" hidden="1">
      <c r="J281" s="65"/>
      <c r="K281" s="65"/>
      <c r="L281" s="65"/>
      <c r="M281" s="65"/>
      <c r="N281" s="65"/>
    </row>
    <row r="282" spans="10:14" ht="12.6" hidden="1">
      <c r="J282" s="65"/>
      <c r="K282" s="65"/>
      <c r="L282" s="65"/>
      <c r="M282" s="65"/>
      <c r="N282" s="65"/>
    </row>
    <row r="283" spans="10:14" ht="12.6" hidden="1">
      <c r="J283" s="65"/>
      <c r="K283" s="65"/>
      <c r="L283" s="65"/>
      <c r="M283" s="65"/>
      <c r="N283" s="65"/>
    </row>
    <row r="284" spans="10:14" ht="12.6" hidden="1">
      <c r="J284" s="65"/>
      <c r="K284" s="65"/>
      <c r="L284" s="65"/>
      <c r="M284" s="65"/>
      <c r="N284" s="65"/>
    </row>
    <row r="285" spans="10:14" ht="12.6" hidden="1">
      <c r="J285" s="65"/>
      <c r="K285" s="65"/>
      <c r="L285" s="65"/>
      <c r="M285" s="65"/>
      <c r="N285" s="65"/>
    </row>
    <row r="286" spans="10:14" ht="12.6" hidden="1">
      <c r="J286" s="65"/>
      <c r="K286" s="65"/>
      <c r="L286" s="65"/>
      <c r="M286" s="65"/>
      <c r="N286" s="65"/>
    </row>
    <row r="287" spans="10:14" ht="12.6" hidden="1">
      <c r="J287" s="65"/>
      <c r="K287" s="65"/>
      <c r="L287" s="65"/>
      <c r="M287" s="65"/>
      <c r="N287" s="65"/>
    </row>
    <row r="288" spans="10:14" ht="12.6" hidden="1">
      <c r="J288" s="65"/>
      <c r="K288" s="65"/>
      <c r="L288" s="65"/>
      <c r="M288" s="65"/>
      <c r="N288" s="65"/>
    </row>
    <row r="289" spans="10:14" ht="12.6" hidden="1">
      <c r="J289" s="65"/>
      <c r="K289" s="65"/>
      <c r="L289" s="65"/>
      <c r="M289" s="65"/>
      <c r="N289" s="65"/>
    </row>
    <row r="290" spans="10:14" ht="12.6" hidden="1">
      <c r="J290" s="65"/>
      <c r="K290" s="65"/>
      <c r="L290" s="65"/>
      <c r="M290" s="65"/>
      <c r="N290" s="65"/>
    </row>
    <row r="291" spans="10:14" ht="12.6" hidden="1">
      <c r="J291" s="65"/>
      <c r="K291" s="65"/>
      <c r="L291" s="65"/>
      <c r="M291" s="65"/>
      <c r="N291" s="65"/>
    </row>
    <row r="292" spans="10:14" ht="12.6" hidden="1">
      <c r="J292" s="65"/>
      <c r="K292" s="65"/>
      <c r="L292" s="65"/>
      <c r="M292" s="65"/>
      <c r="N292" s="65"/>
    </row>
    <row r="293" spans="10:14" ht="12.6" hidden="1">
      <c r="J293" s="65"/>
      <c r="K293" s="65"/>
      <c r="L293" s="65"/>
      <c r="M293" s="65"/>
      <c r="N293" s="65"/>
    </row>
    <row r="294" spans="10:14" ht="12.6" hidden="1">
      <c r="J294" s="65"/>
      <c r="K294" s="65"/>
      <c r="L294" s="65"/>
      <c r="M294" s="65"/>
      <c r="N294" s="65"/>
    </row>
    <row r="295" spans="10:14" ht="12.6" hidden="1">
      <c r="J295" s="65"/>
      <c r="K295" s="65"/>
      <c r="L295" s="65"/>
      <c r="M295" s="65"/>
      <c r="N295" s="65"/>
    </row>
    <row r="296" spans="10:14" ht="12.6" hidden="1">
      <c r="J296" s="65"/>
      <c r="K296" s="65"/>
      <c r="L296" s="65"/>
      <c r="M296" s="65"/>
      <c r="N296" s="65"/>
    </row>
    <row r="297" spans="10:14" ht="12.6" hidden="1">
      <c r="J297" s="65"/>
      <c r="K297" s="65"/>
      <c r="L297" s="65"/>
      <c r="M297" s="65"/>
      <c r="N297" s="65"/>
    </row>
    <row r="298" spans="10:14" ht="12.6" hidden="1">
      <c r="J298" s="65"/>
      <c r="K298" s="65"/>
      <c r="L298" s="65"/>
      <c r="M298" s="65"/>
      <c r="N298" s="65"/>
    </row>
    <row r="299" spans="10:14" ht="12.6" hidden="1">
      <c r="J299" s="65"/>
      <c r="K299" s="65"/>
      <c r="L299" s="65"/>
      <c r="M299" s="65"/>
      <c r="N299" s="65"/>
    </row>
    <row r="300" spans="10:14" ht="12.6" hidden="1">
      <c r="J300" s="65"/>
      <c r="K300" s="65"/>
      <c r="L300" s="65"/>
      <c r="M300" s="65"/>
      <c r="N300" s="65"/>
    </row>
    <row r="301" spans="10:14" ht="12.6" hidden="1">
      <c r="J301" s="65"/>
      <c r="K301" s="65"/>
      <c r="L301" s="65"/>
      <c r="M301" s="65"/>
      <c r="N301" s="65"/>
    </row>
    <row r="302" spans="10:14" ht="12.6" hidden="1">
      <c r="J302" s="65"/>
      <c r="K302" s="65"/>
      <c r="L302" s="65"/>
      <c r="M302" s="65"/>
      <c r="N302" s="65"/>
    </row>
    <row r="303" spans="10:14" ht="12.6" hidden="1">
      <c r="J303" s="65"/>
      <c r="K303" s="65"/>
      <c r="L303" s="65"/>
      <c r="M303" s="65"/>
      <c r="N303" s="65"/>
    </row>
    <row r="304" spans="10:14" ht="12.6" hidden="1">
      <c r="J304" s="65"/>
      <c r="K304" s="65"/>
      <c r="L304" s="65"/>
      <c r="M304" s="65"/>
      <c r="N304" s="65"/>
    </row>
    <row r="305" spans="10:14" ht="12.6" hidden="1">
      <c r="J305" s="65"/>
      <c r="K305" s="65"/>
      <c r="L305" s="65"/>
      <c r="M305" s="65"/>
      <c r="N305" s="65"/>
    </row>
    <row r="306" spans="10:14" ht="12.6" hidden="1">
      <c r="J306" s="65"/>
      <c r="K306" s="65"/>
      <c r="L306" s="65"/>
      <c r="M306" s="65"/>
      <c r="N306" s="65"/>
    </row>
    <row r="307" spans="10:14" ht="12.6" hidden="1">
      <c r="J307" s="65"/>
      <c r="K307" s="65"/>
      <c r="L307" s="65"/>
      <c r="M307" s="65"/>
      <c r="N307" s="65"/>
    </row>
    <row r="308" spans="10:14" ht="12.6" hidden="1">
      <c r="J308" s="65"/>
      <c r="K308" s="65"/>
      <c r="L308" s="65"/>
      <c r="M308" s="65"/>
      <c r="N308" s="65"/>
    </row>
    <row r="309" spans="10:14" ht="12.6" hidden="1">
      <c r="J309" s="65"/>
      <c r="K309" s="65"/>
      <c r="L309" s="65"/>
      <c r="M309" s="65"/>
      <c r="N309" s="65"/>
    </row>
    <row r="310" spans="10:14" ht="12.6" hidden="1">
      <c r="J310" s="65"/>
      <c r="K310" s="65"/>
      <c r="L310" s="65"/>
      <c r="M310" s="65"/>
      <c r="N310" s="65"/>
    </row>
    <row r="311" spans="10:14" ht="12.6" hidden="1">
      <c r="J311" s="65"/>
      <c r="K311" s="65"/>
      <c r="L311" s="65"/>
      <c r="M311" s="65"/>
      <c r="N311" s="65"/>
    </row>
    <row r="312" spans="10:14" ht="12.6" hidden="1">
      <c r="J312" s="65"/>
      <c r="K312" s="65"/>
      <c r="L312" s="65"/>
      <c r="M312" s="65"/>
      <c r="N312" s="65"/>
    </row>
    <row r="313" spans="10:14" ht="12.6" hidden="1">
      <c r="J313" s="65"/>
      <c r="K313" s="65"/>
      <c r="L313" s="65"/>
      <c r="M313" s="65"/>
      <c r="N313" s="65"/>
    </row>
    <row r="314" spans="10:14" ht="12.6" hidden="1">
      <c r="J314" s="65"/>
      <c r="K314" s="65"/>
      <c r="L314" s="65"/>
      <c r="M314" s="65"/>
      <c r="N314" s="65"/>
    </row>
    <row r="315" spans="10:14" ht="12.6" hidden="1">
      <c r="J315" s="65"/>
      <c r="K315" s="65"/>
      <c r="L315" s="65"/>
      <c r="M315" s="65"/>
      <c r="N315" s="65"/>
    </row>
    <row r="316" spans="10:14" ht="12.6" hidden="1">
      <c r="J316" s="65"/>
      <c r="K316" s="65"/>
      <c r="L316" s="65"/>
      <c r="M316" s="65"/>
      <c r="N316" s="65"/>
    </row>
    <row r="317" spans="10:14" ht="12.6" hidden="1">
      <c r="J317" s="65"/>
      <c r="K317" s="65"/>
      <c r="L317" s="65"/>
      <c r="M317" s="65"/>
      <c r="N317" s="65"/>
    </row>
    <row r="318" spans="10:14" ht="12.6" hidden="1">
      <c r="J318" s="65"/>
      <c r="K318" s="65"/>
      <c r="L318" s="65"/>
      <c r="M318" s="65"/>
      <c r="N318" s="65"/>
    </row>
    <row r="319" spans="10:14" ht="12.6" hidden="1">
      <c r="J319" s="65"/>
      <c r="K319" s="65"/>
      <c r="L319" s="65"/>
      <c r="M319" s="65"/>
      <c r="N319" s="65"/>
    </row>
    <row r="320" spans="10:14" ht="12.6" hidden="1">
      <c r="J320" s="65"/>
      <c r="K320" s="65"/>
      <c r="L320" s="65"/>
      <c r="M320" s="65"/>
      <c r="N320" s="65"/>
    </row>
    <row r="321" spans="10:14" ht="12.6" hidden="1">
      <c r="J321" s="65"/>
      <c r="K321" s="65"/>
      <c r="L321" s="65"/>
      <c r="M321" s="65"/>
      <c r="N321" s="65"/>
    </row>
    <row r="322" spans="10:14" ht="12.6" hidden="1">
      <c r="J322" s="65"/>
      <c r="K322" s="65"/>
      <c r="L322" s="65"/>
      <c r="M322" s="65"/>
      <c r="N322" s="65"/>
    </row>
    <row r="323" spans="10:14" ht="12.6" hidden="1">
      <c r="J323" s="65"/>
      <c r="K323" s="65"/>
      <c r="L323" s="65"/>
      <c r="M323" s="65"/>
      <c r="N323" s="65"/>
    </row>
    <row r="324" spans="10:14" ht="12.6" hidden="1">
      <c r="J324" s="65"/>
      <c r="K324" s="65"/>
      <c r="L324" s="65"/>
      <c r="M324" s="65"/>
      <c r="N324" s="65"/>
    </row>
    <row r="325" spans="10:14" ht="12.6" hidden="1">
      <c r="J325" s="65"/>
      <c r="K325" s="65"/>
      <c r="L325" s="65"/>
      <c r="M325" s="65"/>
      <c r="N325" s="65"/>
    </row>
    <row r="326" spans="10:14" ht="12.6" hidden="1">
      <c r="J326" s="65"/>
      <c r="K326" s="65"/>
      <c r="L326" s="65"/>
      <c r="M326" s="65"/>
      <c r="N326" s="65"/>
    </row>
    <row r="327" spans="10:14" ht="12.6" hidden="1">
      <c r="J327" s="65"/>
      <c r="K327" s="65"/>
      <c r="L327" s="65"/>
      <c r="M327" s="65"/>
      <c r="N327" s="65"/>
    </row>
    <row r="328" spans="10:14" ht="12.6" hidden="1">
      <c r="J328" s="65"/>
      <c r="K328" s="65"/>
      <c r="L328" s="65"/>
      <c r="M328" s="65"/>
      <c r="N328" s="65"/>
    </row>
    <row r="329" spans="10:14" ht="12.6" hidden="1">
      <c r="J329" s="65"/>
      <c r="K329" s="65"/>
      <c r="L329" s="65"/>
      <c r="M329" s="65"/>
      <c r="N329" s="65"/>
    </row>
    <row r="330" spans="10:14" ht="12.6" hidden="1">
      <c r="J330" s="65"/>
      <c r="K330" s="65"/>
      <c r="L330" s="65"/>
      <c r="M330" s="65"/>
      <c r="N330" s="65"/>
    </row>
    <row r="331" spans="10:14" ht="12.6" hidden="1">
      <c r="J331" s="65"/>
      <c r="K331" s="65"/>
      <c r="L331" s="65"/>
      <c r="M331" s="65"/>
      <c r="N331" s="65"/>
    </row>
    <row r="332" spans="10:14" ht="12.6" hidden="1">
      <c r="J332" s="65"/>
      <c r="K332" s="65"/>
      <c r="L332" s="65"/>
      <c r="M332" s="65"/>
      <c r="N332" s="65"/>
    </row>
    <row r="333" spans="10:14" ht="12.6" hidden="1">
      <c r="J333" s="65"/>
      <c r="K333" s="65"/>
      <c r="L333" s="65"/>
      <c r="M333" s="65"/>
      <c r="N333" s="65"/>
    </row>
    <row r="334" spans="10:14" ht="12.6" hidden="1">
      <c r="J334" s="65"/>
      <c r="K334" s="65"/>
      <c r="L334" s="65"/>
      <c r="M334" s="65"/>
      <c r="N334" s="65"/>
    </row>
    <row r="335" spans="10:14" ht="12.6" hidden="1">
      <c r="J335" s="65"/>
      <c r="K335" s="65"/>
      <c r="L335" s="65"/>
      <c r="M335" s="65"/>
      <c r="N335" s="65"/>
    </row>
    <row r="336" spans="10:14" ht="12.6" hidden="1">
      <c r="J336" s="65"/>
      <c r="K336" s="65"/>
      <c r="L336" s="65"/>
      <c r="M336" s="65"/>
      <c r="N336" s="65"/>
    </row>
    <row r="337" spans="10:14" ht="12.6" hidden="1">
      <c r="J337" s="65"/>
      <c r="K337" s="65"/>
      <c r="L337" s="65"/>
      <c r="M337" s="65"/>
      <c r="N337" s="65"/>
    </row>
    <row r="338" spans="10:14" ht="12.6" hidden="1">
      <c r="J338" s="65"/>
      <c r="K338" s="65"/>
      <c r="L338" s="65"/>
      <c r="M338" s="65"/>
      <c r="N338" s="65"/>
    </row>
    <row r="339" spans="10:14" ht="12.6" hidden="1">
      <c r="J339" s="65"/>
      <c r="K339" s="65"/>
      <c r="L339" s="65"/>
      <c r="M339" s="65"/>
      <c r="N339" s="65"/>
    </row>
    <row r="340" spans="10:14" ht="12.6" hidden="1">
      <c r="J340" s="65"/>
      <c r="K340" s="65"/>
      <c r="L340" s="65"/>
      <c r="M340" s="65"/>
      <c r="N340" s="65"/>
    </row>
    <row r="341" spans="10:14" ht="12.6" hidden="1">
      <c r="J341" s="65"/>
      <c r="K341" s="65"/>
      <c r="L341" s="65"/>
      <c r="M341" s="65"/>
      <c r="N341" s="65"/>
    </row>
    <row r="342" spans="10:14" ht="12.6" hidden="1">
      <c r="J342" s="65"/>
      <c r="K342" s="65"/>
      <c r="L342" s="65"/>
      <c r="M342" s="65"/>
      <c r="N342" s="65"/>
    </row>
    <row r="343" spans="10:14" ht="12.6" hidden="1">
      <c r="J343" s="65"/>
      <c r="K343" s="65"/>
      <c r="L343" s="65"/>
      <c r="M343" s="65"/>
      <c r="N343" s="65"/>
    </row>
    <row r="344" spans="10:14" ht="12.6" hidden="1">
      <c r="J344" s="65"/>
      <c r="K344" s="65"/>
      <c r="L344" s="65"/>
      <c r="M344" s="65"/>
      <c r="N344" s="65"/>
    </row>
    <row r="345" spans="10:14" ht="12.6" hidden="1">
      <c r="J345" s="65"/>
      <c r="K345" s="65"/>
      <c r="L345" s="65"/>
      <c r="M345" s="65"/>
      <c r="N345" s="65"/>
    </row>
    <row r="346" spans="10:14" ht="12.6" hidden="1">
      <c r="J346" s="65"/>
      <c r="K346" s="65"/>
      <c r="L346" s="65"/>
      <c r="M346" s="65"/>
      <c r="N346" s="65"/>
    </row>
    <row r="347" spans="10:14" ht="12.6" hidden="1">
      <c r="J347" s="65"/>
      <c r="K347" s="65"/>
      <c r="L347" s="65"/>
      <c r="M347" s="65"/>
      <c r="N347" s="65"/>
    </row>
    <row r="348" spans="10:14" ht="12.6" hidden="1">
      <c r="J348" s="65"/>
      <c r="K348" s="65"/>
      <c r="L348" s="65"/>
      <c r="M348" s="65"/>
      <c r="N348" s="65"/>
    </row>
    <row r="349" spans="10:14" ht="12.6" hidden="1">
      <c r="J349" s="65"/>
      <c r="K349" s="65"/>
      <c r="L349" s="65"/>
      <c r="M349" s="65"/>
      <c r="N349" s="65"/>
    </row>
    <row r="350" spans="10:14" ht="12.6" hidden="1">
      <c r="J350" s="65"/>
      <c r="K350" s="65"/>
      <c r="L350" s="65"/>
      <c r="M350" s="65"/>
      <c r="N350" s="65"/>
    </row>
    <row r="351" spans="10:14" ht="12.6" hidden="1">
      <c r="J351" s="65"/>
      <c r="K351" s="65"/>
      <c r="L351" s="65"/>
      <c r="M351" s="65"/>
      <c r="N351" s="65"/>
    </row>
    <row r="352" spans="10:14" ht="12.6" hidden="1">
      <c r="J352" s="65"/>
      <c r="K352" s="65"/>
      <c r="L352" s="65"/>
      <c r="M352" s="65"/>
      <c r="N352" s="65"/>
    </row>
    <row r="353" spans="10:14" ht="12.6" hidden="1">
      <c r="J353" s="65"/>
      <c r="K353" s="65"/>
      <c r="L353" s="65"/>
      <c r="M353" s="65"/>
      <c r="N353" s="65"/>
    </row>
    <row r="354" spans="10:14" ht="12.6" hidden="1">
      <c r="J354" s="65"/>
      <c r="K354" s="65"/>
      <c r="L354" s="65"/>
      <c r="M354" s="65"/>
      <c r="N354" s="65"/>
    </row>
    <row r="355" spans="10:14" ht="12.6" hidden="1">
      <c r="J355" s="65"/>
      <c r="K355" s="65"/>
      <c r="L355" s="65"/>
      <c r="M355" s="65"/>
      <c r="N355" s="65"/>
    </row>
    <row r="356" spans="10:14" ht="12.6" hidden="1">
      <c r="J356" s="65"/>
      <c r="K356" s="65"/>
      <c r="L356" s="65"/>
      <c r="M356" s="65"/>
      <c r="N356" s="65"/>
    </row>
    <row r="357" spans="10:14" ht="12.6" hidden="1">
      <c r="J357" s="65"/>
      <c r="K357" s="65"/>
      <c r="L357" s="65"/>
      <c r="M357" s="65"/>
      <c r="N357" s="65"/>
    </row>
    <row r="358" spans="10:14" ht="12.6" hidden="1">
      <c r="J358" s="65"/>
      <c r="K358" s="65"/>
      <c r="L358" s="65"/>
      <c r="M358" s="65"/>
      <c r="N358" s="65"/>
    </row>
    <row r="359" spans="10:14" ht="12.6" hidden="1">
      <c r="J359" s="65"/>
      <c r="K359" s="65"/>
      <c r="L359" s="65"/>
      <c r="M359" s="65"/>
      <c r="N359" s="65"/>
    </row>
    <row r="360" spans="10:14" ht="12.6" hidden="1">
      <c r="J360" s="65"/>
      <c r="K360" s="65"/>
      <c r="L360" s="65"/>
      <c r="M360" s="65"/>
      <c r="N360" s="65"/>
    </row>
    <row r="361" spans="10:14" ht="12.6" hidden="1">
      <c r="J361" s="65"/>
      <c r="K361" s="65"/>
      <c r="L361" s="65"/>
      <c r="M361" s="65"/>
      <c r="N361" s="65"/>
    </row>
    <row r="362" spans="10:14" ht="12.6" hidden="1">
      <c r="J362" s="65"/>
      <c r="K362" s="65"/>
      <c r="L362" s="65"/>
      <c r="M362" s="65"/>
      <c r="N362" s="65"/>
    </row>
    <row r="363" spans="10:14" ht="12.6" hidden="1">
      <c r="J363" s="65"/>
      <c r="K363" s="65"/>
      <c r="L363" s="65"/>
      <c r="M363" s="65"/>
      <c r="N363" s="65"/>
    </row>
    <row r="364" spans="10:14" ht="12.6" hidden="1">
      <c r="J364" s="65"/>
      <c r="K364" s="65"/>
      <c r="L364" s="65"/>
      <c r="M364" s="65"/>
      <c r="N364" s="65"/>
    </row>
    <row r="365" spans="10:14" ht="12.6" hidden="1">
      <c r="J365" s="65"/>
      <c r="K365" s="65"/>
      <c r="L365" s="65"/>
      <c r="M365" s="65"/>
      <c r="N365" s="65"/>
    </row>
    <row r="366" spans="10:14" ht="12.6" hidden="1">
      <c r="J366" s="65"/>
      <c r="K366" s="65"/>
      <c r="L366" s="65"/>
      <c r="M366" s="65"/>
      <c r="N366" s="65"/>
    </row>
    <row r="367" spans="10:14" ht="12.6" hidden="1">
      <c r="J367" s="65"/>
      <c r="K367" s="65"/>
      <c r="L367" s="65"/>
      <c r="M367" s="65"/>
      <c r="N367" s="65"/>
    </row>
    <row r="368" spans="10:14" ht="12.6" hidden="1">
      <c r="J368" s="65"/>
      <c r="K368" s="65"/>
      <c r="L368" s="65"/>
      <c r="M368" s="65"/>
      <c r="N368" s="65"/>
    </row>
    <row r="369" spans="10:14" ht="12.6" hidden="1">
      <c r="J369" s="65"/>
      <c r="K369" s="65"/>
      <c r="L369" s="65"/>
      <c r="M369" s="65"/>
      <c r="N369" s="65"/>
    </row>
    <row r="370" spans="10:14" ht="12.6" hidden="1">
      <c r="J370" s="65"/>
      <c r="K370" s="65"/>
      <c r="L370" s="65"/>
      <c r="M370" s="65"/>
      <c r="N370" s="65"/>
    </row>
    <row r="371" spans="10:14" ht="12.6" hidden="1">
      <c r="J371" s="65"/>
      <c r="K371" s="65"/>
      <c r="L371" s="65"/>
      <c r="M371" s="65"/>
      <c r="N371" s="65"/>
    </row>
    <row r="372" spans="10:14" ht="12.6" hidden="1">
      <c r="J372" s="65"/>
      <c r="K372" s="65"/>
      <c r="L372" s="65"/>
      <c r="M372" s="65"/>
      <c r="N372" s="65"/>
    </row>
    <row r="373" spans="10:14" ht="12.6" hidden="1">
      <c r="J373" s="65"/>
      <c r="K373" s="65"/>
      <c r="L373" s="65"/>
      <c r="M373" s="65"/>
      <c r="N373" s="65"/>
    </row>
    <row r="374" spans="10:14" ht="12.6" hidden="1">
      <c r="J374" s="65"/>
      <c r="K374" s="65"/>
      <c r="L374" s="65"/>
      <c r="M374" s="65"/>
      <c r="N374" s="65"/>
    </row>
    <row r="375" spans="10:14" ht="12.6" hidden="1">
      <c r="J375" s="65"/>
      <c r="K375" s="65"/>
      <c r="L375" s="65"/>
      <c r="M375" s="65"/>
      <c r="N375" s="65"/>
    </row>
    <row r="376" spans="10:14" ht="12.6" hidden="1">
      <c r="J376" s="65"/>
      <c r="K376" s="65"/>
      <c r="L376" s="65"/>
      <c r="M376" s="65"/>
      <c r="N376" s="65"/>
    </row>
    <row r="377" spans="10:14" ht="12.6" hidden="1">
      <c r="J377" s="65"/>
      <c r="K377" s="65"/>
      <c r="L377" s="65"/>
      <c r="M377" s="65"/>
      <c r="N377" s="65"/>
    </row>
    <row r="378" spans="10:14" ht="12.6" hidden="1">
      <c r="J378" s="65"/>
      <c r="K378" s="65"/>
      <c r="L378" s="65"/>
      <c r="M378" s="65"/>
      <c r="N378" s="65"/>
    </row>
    <row r="379" spans="10:14" ht="12.6" hidden="1">
      <c r="J379" s="65"/>
      <c r="K379" s="65"/>
      <c r="L379" s="65"/>
      <c r="M379" s="65"/>
      <c r="N379" s="65"/>
    </row>
    <row r="380" spans="10:14" ht="12.6" hidden="1">
      <c r="J380" s="65"/>
      <c r="K380" s="65"/>
      <c r="L380" s="65"/>
      <c r="M380" s="65"/>
      <c r="N380" s="65"/>
    </row>
    <row r="381" spans="10:14" ht="12.6" hidden="1">
      <c r="J381" s="65"/>
      <c r="K381" s="65"/>
      <c r="L381" s="65"/>
      <c r="M381" s="65"/>
      <c r="N381" s="65"/>
    </row>
    <row r="382" spans="10:14" ht="12.6" hidden="1">
      <c r="J382" s="65"/>
      <c r="K382" s="65"/>
      <c r="L382" s="65"/>
      <c r="M382" s="65"/>
      <c r="N382" s="65"/>
    </row>
    <row r="383" spans="10:14" ht="12.6" hidden="1">
      <c r="J383" s="65"/>
      <c r="K383" s="65"/>
      <c r="L383" s="65"/>
      <c r="M383" s="65"/>
      <c r="N383" s="65"/>
    </row>
    <row r="384" spans="10:14" ht="12.6" hidden="1">
      <c r="J384" s="65"/>
      <c r="K384" s="65"/>
      <c r="L384" s="65"/>
      <c r="M384" s="65"/>
      <c r="N384" s="65"/>
    </row>
    <row r="385" spans="10:14" ht="12.6" hidden="1">
      <c r="J385" s="65"/>
      <c r="K385" s="65"/>
      <c r="L385" s="65"/>
      <c r="M385" s="65"/>
      <c r="N385" s="65"/>
    </row>
    <row r="386" spans="10:14" ht="12.6" hidden="1">
      <c r="J386" s="65"/>
      <c r="K386" s="65"/>
      <c r="L386" s="65"/>
      <c r="M386" s="65"/>
      <c r="N386" s="65"/>
    </row>
    <row r="387" spans="10:14" ht="12.6" hidden="1">
      <c r="J387" s="65"/>
      <c r="K387" s="65"/>
      <c r="L387" s="65"/>
      <c r="M387" s="65"/>
      <c r="N387" s="65"/>
    </row>
    <row r="388" spans="10:14" ht="12.6" hidden="1">
      <c r="J388" s="65"/>
      <c r="K388" s="65"/>
      <c r="L388" s="65"/>
      <c r="M388" s="65"/>
      <c r="N388" s="65"/>
    </row>
    <row r="389" spans="10:14" ht="12.6" hidden="1">
      <c r="J389" s="65"/>
      <c r="K389" s="65"/>
      <c r="L389" s="65"/>
      <c r="M389" s="65"/>
      <c r="N389" s="65"/>
    </row>
    <row r="390" spans="10:14" ht="12.6" hidden="1">
      <c r="J390" s="65"/>
      <c r="K390" s="65"/>
      <c r="L390" s="65"/>
      <c r="M390" s="65"/>
      <c r="N390" s="65"/>
    </row>
    <row r="391" spans="10:14" ht="12.6" hidden="1">
      <c r="J391" s="65"/>
      <c r="K391" s="65"/>
      <c r="L391" s="65"/>
      <c r="M391" s="65"/>
      <c r="N391" s="65"/>
    </row>
    <row r="392" spans="10:14" ht="12.6" hidden="1">
      <c r="J392" s="65"/>
      <c r="K392" s="65"/>
      <c r="L392" s="65"/>
      <c r="M392" s="65"/>
      <c r="N392" s="65"/>
    </row>
    <row r="393" spans="10:14" ht="12.6" hidden="1">
      <c r="J393" s="65"/>
      <c r="K393" s="65"/>
      <c r="L393" s="65"/>
      <c r="M393" s="65"/>
      <c r="N393" s="65"/>
    </row>
    <row r="394" spans="10:14" ht="12.6" hidden="1">
      <c r="J394" s="65"/>
      <c r="K394" s="65"/>
      <c r="L394" s="65"/>
      <c r="M394" s="65"/>
      <c r="N394" s="65"/>
    </row>
    <row r="395" spans="10:14" ht="12.6" hidden="1">
      <c r="J395" s="65"/>
      <c r="K395" s="65"/>
      <c r="L395" s="65"/>
      <c r="M395" s="65"/>
      <c r="N395" s="65"/>
    </row>
    <row r="396" spans="10:14" ht="12.6" hidden="1">
      <c r="J396" s="65"/>
      <c r="K396" s="65"/>
      <c r="L396" s="65"/>
      <c r="M396" s="65"/>
      <c r="N396" s="65"/>
    </row>
    <row r="397" spans="10:14" ht="12.6" hidden="1">
      <c r="J397" s="65"/>
      <c r="K397" s="65"/>
      <c r="L397" s="65"/>
      <c r="M397" s="65"/>
      <c r="N397" s="65"/>
    </row>
    <row r="398" spans="10:14" ht="12.6" hidden="1">
      <c r="J398" s="65"/>
      <c r="K398" s="65"/>
      <c r="L398" s="65"/>
      <c r="M398" s="65"/>
      <c r="N398" s="65"/>
    </row>
    <row r="399" spans="10:14" ht="12.6" hidden="1">
      <c r="J399" s="65"/>
      <c r="K399" s="65"/>
      <c r="L399" s="65"/>
      <c r="M399" s="65"/>
      <c r="N399" s="65"/>
    </row>
    <row r="400" spans="10:14" ht="12.6" hidden="1">
      <c r="J400" s="65"/>
      <c r="K400" s="65"/>
      <c r="L400" s="65"/>
      <c r="M400" s="65"/>
      <c r="N400" s="65"/>
    </row>
    <row r="401" spans="10:14" ht="12.6" hidden="1">
      <c r="J401" s="65"/>
      <c r="K401" s="65"/>
      <c r="L401" s="65"/>
      <c r="M401" s="65"/>
      <c r="N401" s="65"/>
    </row>
    <row r="402" spans="10:14" ht="12.6" hidden="1">
      <c r="J402" s="65"/>
      <c r="K402" s="65"/>
      <c r="L402" s="65"/>
      <c r="M402" s="65"/>
      <c r="N402" s="65"/>
    </row>
    <row r="403" spans="10:14" ht="12.6" hidden="1">
      <c r="J403" s="65"/>
      <c r="K403" s="65"/>
      <c r="L403" s="65"/>
      <c r="M403" s="65"/>
      <c r="N403" s="65"/>
    </row>
    <row r="404" spans="10:14" ht="12.6" hidden="1">
      <c r="J404" s="65"/>
      <c r="K404" s="65"/>
      <c r="L404" s="65"/>
      <c r="M404" s="65"/>
      <c r="N404" s="65"/>
    </row>
    <row r="405" spans="10:14" ht="12.6" hidden="1">
      <c r="J405" s="65"/>
      <c r="K405" s="65"/>
      <c r="L405" s="65"/>
      <c r="M405" s="65"/>
      <c r="N405" s="65"/>
    </row>
    <row r="406" spans="10:14" ht="12.6" hidden="1">
      <c r="J406" s="65"/>
      <c r="K406" s="65"/>
      <c r="L406" s="65"/>
      <c r="M406" s="65"/>
      <c r="N406" s="65"/>
    </row>
    <row r="407" spans="10:14" ht="12.6" hidden="1">
      <c r="J407" s="65"/>
      <c r="K407" s="65"/>
      <c r="L407" s="65"/>
      <c r="M407" s="65"/>
      <c r="N407" s="65"/>
    </row>
    <row r="408" spans="10:14" ht="12.6" hidden="1">
      <c r="J408" s="65"/>
      <c r="K408" s="65"/>
      <c r="L408" s="65"/>
      <c r="M408" s="65"/>
      <c r="N408" s="65"/>
    </row>
    <row r="409" spans="10:14" ht="12.6" hidden="1">
      <c r="J409" s="65"/>
      <c r="K409" s="65"/>
      <c r="L409" s="65"/>
      <c r="M409" s="65"/>
      <c r="N409" s="65"/>
    </row>
    <row r="410" spans="10:14" ht="12.6" hidden="1">
      <c r="J410" s="65"/>
      <c r="K410" s="65"/>
      <c r="L410" s="65"/>
      <c r="M410" s="65"/>
      <c r="N410" s="65"/>
    </row>
    <row r="411" spans="10:14" ht="12.6" hidden="1">
      <c r="J411" s="65"/>
      <c r="K411" s="65"/>
      <c r="L411" s="65"/>
      <c r="M411" s="65"/>
      <c r="N411" s="65"/>
    </row>
    <row r="412" spans="10:14" ht="12.6" hidden="1">
      <c r="J412" s="65"/>
      <c r="K412" s="65"/>
      <c r="L412" s="65"/>
      <c r="M412" s="65"/>
      <c r="N412" s="65"/>
    </row>
    <row r="413" spans="10:14" ht="12.6" hidden="1">
      <c r="J413" s="65"/>
      <c r="K413" s="65"/>
      <c r="L413" s="65"/>
      <c r="M413" s="65"/>
      <c r="N413" s="65"/>
    </row>
    <row r="414" spans="10:14" ht="12.6" hidden="1">
      <c r="J414" s="65"/>
      <c r="K414" s="65"/>
      <c r="L414" s="65"/>
      <c r="M414" s="65"/>
      <c r="N414" s="65"/>
    </row>
    <row r="415" spans="10:14" ht="12.6" hidden="1">
      <c r="J415" s="65"/>
      <c r="K415" s="65"/>
      <c r="L415" s="65"/>
      <c r="M415" s="65"/>
      <c r="N415" s="65"/>
    </row>
    <row r="416" spans="10:14" ht="12.6" hidden="1">
      <c r="J416" s="65"/>
      <c r="K416" s="65"/>
      <c r="L416" s="65"/>
      <c r="M416" s="65"/>
      <c r="N416" s="65"/>
    </row>
    <row r="417" spans="10:14" ht="12.6" hidden="1">
      <c r="J417" s="65"/>
      <c r="K417" s="65"/>
      <c r="L417" s="65"/>
      <c r="M417" s="65"/>
      <c r="N417" s="65"/>
    </row>
    <row r="418" spans="10:14" ht="12.6" hidden="1">
      <c r="J418" s="65"/>
      <c r="K418" s="65"/>
      <c r="L418" s="65"/>
      <c r="M418" s="65"/>
      <c r="N418" s="65"/>
    </row>
    <row r="419" spans="10:14" ht="12.6" hidden="1">
      <c r="J419" s="65"/>
      <c r="K419" s="65"/>
      <c r="L419" s="65"/>
      <c r="M419" s="65"/>
      <c r="N419" s="65"/>
    </row>
    <row r="420" spans="10:14" ht="12.6" hidden="1">
      <c r="J420" s="65"/>
      <c r="K420" s="65"/>
      <c r="L420" s="65"/>
      <c r="M420" s="65"/>
      <c r="N420" s="65"/>
    </row>
    <row r="421" spans="10:14" ht="12.6" hidden="1">
      <c r="J421" s="65"/>
      <c r="K421" s="65"/>
      <c r="L421" s="65"/>
      <c r="M421" s="65"/>
      <c r="N421" s="65"/>
    </row>
    <row r="422" spans="10:14" ht="12.6" hidden="1">
      <c r="J422" s="65"/>
      <c r="K422" s="65"/>
      <c r="L422" s="65"/>
      <c r="M422" s="65"/>
      <c r="N422" s="65"/>
    </row>
    <row r="423" spans="10:14" ht="12.6" hidden="1">
      <c r="J423" s="65"/>
      <c r="K423" s="65"/>
      <c r="L423" s="65"/>
      <c r="M423" s="65"/>
      <c r="N423" s="65"/>
    </row>
    <row r="424" spans="10:14" ht="12.6" hidden="1">
      <c r="J424" s="65"/>
      <c r="K424" s="65"/>
      <c r="L424" s="65"/>
      <c r="M424" s="65"/>
      <c r="N424" s="65"/>
    </row>
    <row r="425" spans="10:14" ht="12.6" hidden="1">
      <c r="J425" s="65"/>
      <c r="K425" s="65"/>
      <c r="L425" s="65"/>
      <c r="M425" s="65"/>
      <c r="N425" s="65"/>
    </row>
    <row r="426" spans="10:14" ht="12.6" hidden="1">
      <c r="J426" s="65"/>
      <c r="K426" s="65"/>
      <c r="L426" s="65"/>
      <c r="M426" s="65"/>
      <c r="N426" s="65"/>
    </row>
    <row r="427" spans="10:14" ht="12.6" hidden="1">
      <c r="J427" s="65"/>
      <c r="K427" s="65"/>
      <c r="L427" s="65"/>
      <c r="M427" s="65"/>
      <c r="N427" s="65"/>
    </row>
    <row r="428" spans="10:14" ht="12.6" hidden="1">
      <c r="J428" s="65"/>
      <c r="K428" s="65"/>
      <c r="L428" s="65"/>
      <c r="M428" s="65"/>
      <c r="N428" s="65"/>
    </row>
    <row r="429" spans="10:14" ht="12.6" hidden="1">
      <c r="J429" s="65"/>
      <c r="K429" s="65"/>
      <c r="L429" s="65"/>
      <c r="M429" s="65"/>
      <c r="N429" s="65"/>
    </row>
    <row r="430" spans="10:14" ht="12.6" hidden="1">
      <c r="J430" s="65"/>
      <c r="K430" s="65"/>
      <c r="L430" s="65"/>
      <c r="M430" s="65"/>
      <c r="N430" s="65"/>
    </row>
    <row r="431" spans="10:14" ht="12.6" hidden="1">
      <c r="J431" s="65"/>
      <c r="K431" s="65"/>
      <c r="L431" s="65"/>
      <c r="M431" s="65"/>
      <c r="N431" s="65"/>
    </row>
    <row r="432" spans="10:14" ht="12.6" hidden="1">
      <c r="J432" s="65"/>
      <c r="K432" s="65"/>
      <c r="L432" s="65"/>
      <c r="M432" s="65"/>
      <c r="N432" s="65"/>
    </row>
    <row r="433" spans="10:14" ht="12.6" hidden="1">
      <c r="J433" s="65"/>
      <c r="K433" s="65"/>
      <c r="L433" s="65"/>
      <c r="M433" s="65"/>
      <c r="N433" s="65"/>
    </row>
    <row r="434" spans="10:14" ht="12.6" hidden="1">
      <c r="J434" s="65"/>
      <c r="K434" s="65"/>
      <c r="L434" s="65"/>
      <c r="M434" s="65"/>
      <c r="N434" s="65"/>
    </row>
    <row r="435" spans="10:14" ht="12.6" hidden="1">
      <c r="J435" s="65"/>
      <c r="K435" s="65"/>
      <c r="L435" s="65"/>
      <c r="M435" s="65"/>
      <c r="N435" s="65"/>
    </row>
    <row r="436" spans="10:14" ht="12.6" hidden="1">
      <c r="J436" s="65"/>
      <c r="K436" s="65"/>
      <c r="L436" s="65"/>
      <c r="M436" s="65"/>
      <c r="N436" s="65"/>
    </row>
    <row r="437" spans="10:14" ht="12.6" hidden="1">
      <c r="J437" s="65"/>
      <c r="K437" s="65"/>
      <c r="L437" s="65"/>
      <c r="M437" s="65"/>
      <c r="N437" s="65"/>
    </row>
    <row r="438" spans="10:14" ht="12.6" hidden="1">
      <c r="J438" s="65"/>
      <c r="K438" s="65"/>
      <c r="L438" s="65"/>
      <c r="M438" s="65"/>
      <c r="N438" s="65"/>
    </row>
    <row r="439" spans="10:14" ht="12.6" hidden="1">
      <c r="J439" s="65"/>
      <c r="K439" s="65"/>
      <c r="L439" s="65"/>
      <c r="M439" s="65"/>
      <c r="N439" s="65"/>
    </row>
    <row r="440" spans="10:14" ht="12.6" hidden="1">
      <c r="J440" s="65"/>
      <c r="K440" s="65"/>
      <c r="L440" s="65"/>
      <c r="M440" s="65"/>
      <c r="N440" s="65"/>
    </row>
    <row r="441" spans="10:14" ht="12.6" hidden="1">
      <c r="J441" s="65"/>
      <c r="K441" s="65"/>
      <c r="L441" s="65"/>
      <c r="M441" s="65"/>
      <c r="N441" s="65"/>
    </row>
    <row r="442" spans="10:14" ht="12.6" hidden="1">
      <c r="J442" s="65"/>
      <c r="K442" s="65"/>
      <c r="L442" s="65"/>
      <c r="M442" s="65"/>
      <c r="N442" s="65"/>
    </row>
    <row r="443" spans="10:14" ht="12.6" hidden="1">
      <c r="J443" s="65"/>
      <c r="K443" s="65"/>
      <c r="L443" s="65"/>
      <c r="M443" s="65"/>
      <c r="N443" s="65"/>
    </row>
    <row r="444" spans="10:14" ht="12.6" hidden="1">
      <c r="J444" s="65"/>
      <c r="K444" s="65"/>
      <c r="L444" s="65"/>
      <c r="M444" s="65"/>
      <c r="N444" s="65"/>
    </row>
    <row r="445" spans="10:14" ht="12.6" hidden="1">
      <c r="J445" s="65"/>
      <c r="K445" s="65"/>
      <c r="L445" s="65"/>
      <c r="M445" s="65"/>
      <c r="N445" s="65"/>
    </row>
    <row r="446" spans="10:14" ht="12.6" hidden="1">
      <c r="J446" s="65"/>
      <c r="K446" s="65"/>
      <c r="L446" s="65"/>
      <c r="M446" s="65"/>
      <c r="N446" s="65"/>
    </row>
    <row r="447" spans="10:14" ht="12.6" hidden="1">
      <c r="J447" s="65"/>
      <c r="K447" s="65"/>
      <c r="L447" s="65"/>
      <c r="M447" s="65"/>
      <c r="N447" s="65"/>
    </row>
    <row r="448" spans="10:14" ht="12.6" hidden="1">
      <c r="J448" s="65"/>
      <c r="K448" s="65"/>
      <c r="L448" s="65"/>
      <c r="M448" s="65"/>
      <c r="N448" s="65"/>
    </row>
    <row r="449" spans="10:14" ht="12.6" hidden="1">
      <c r="J449" s="65"/>
      <c r="K449" s="65"/>
      <c r="L449" s="65"/>
      <c r="M449" s="65"/>
      <c r="N449" s="65"/>
    </row>
    <row r="450" spans="10:14" ht="12.6" hidden="1">
      <c r="J450" s="65"/>
      <c r="K450" s="65"/>
      <c r="L450" s="65"/>
      <c r="M450" s="65"/>
      <c r="N450" s="65"/>
    </row>
    <row r="451" spans="10:14" ht="12.6" hidden="1">
      <c r="J451" s="65"/>
      <c r="K451" s="65"/>
      <c r="L451" s="65"/>
      <c r="M451" s="65"/>
      <c r="N451" s="65"/>
    </row>
    <row r="452" spans="10:14" ht="12.6" hidden="1">
      <c r="J452" s="65"/>
      <c r="K452" s="65"/>
      <c r="L452" s="65"/>
      <c r="M452" s="65"/>
      <c r="N452" s="65"/>
    </row>
    <row r="453" spans="10:14" ht="12.6" hidden="1">
      <c r="J453" s="65"/>
      <c r="K453" s="65"/>
      <c r="L453" s="65"/>
      <c r="M453" s="65"/>
      <c r="N453" s="65"/>
    </row>
    <row r="454" spans="10:14" ht="12.6" hidden="1">
      <c r="J454" s="65"/>
      <c r="K454" s="65"/>
      <c r="L454" s="65"/>
      <c r="M454" s="65"/>
      <c r="N454" s="65"/>
    </row>
    <row r="455" spans="10:14" ht="12.6" hidden="1">
      <c r="J455" s="65"/>
      <c r="K455" s="65"/>
      <c r="L455" s="65"/>
      <c r="M455" s="65"/>
      <c r="N455" s="65"/>
    </row>
    <row r="456" spans="10:14" ht="12.6" hidden="1">
      <c r="J456" s="65"/>
      <c r="K456" s="65"/>
      <c r="L456" s="65"/>
      <c r="M456" s="65"/>
      <c r="N456" s="65"/>
    </row>
    <row r="457" spans="10:14" ht="12.6" hidden="1">
      <c r="J457" s="65"/>
      <c r="K457" s="65"/>
      <c r="L457" s="65"/>
      <c r="M457" s="65"/>
      <c r="N457" s="65"/>
    </row>
    <row r="458" spans="10:14" ht="12.6" hidden="1">
      <c r="J458" s="65"/>
      <c r="K458" s="65"/>
      <c r="L458" s="65"/>
      <c r="M458" s="65"/>
      <c r="N458" s="65"/>
    </row>
    <row r="459" spans="10:14" ht="12.6" hidden="1">
      <c r="J459" s="65"/>
      <c r="K459" s="65"/>
      <c r="L459" s="65"/>
      <c r="M459" s="65"/>
      <c r="N459" s="65"/>
    </row>
    <row r="460" spans="10:14" ht="12.6" hidden="1">
      <c r="J460" s="65"/>
      <c r="K460" s="65"/>
      <c r="L460" s="65"/>
      <c r="M460" s="65"/>
      <c r="N460" s="65"/>
    </row>
    <row r="461" spans="10:14" ht="12.6" hidden="1">
      <c r="J461" s="65"/>
      <c r="K461" s="65"/>
      <c r="L461" s="65"/>
      <c r="M461" s="65"/>
      <c r="N461" s="65"/>
    </row>
    <row r="462" spans="10:14" ht="12.6" hidden="1">
      <c r="J462" s="65"/>
      <c r="K462" s="65"/>
      <c r="L462" s="65"/>
      <c r="M462" s="65"/>
      <c r="N462" s="65"/>
    </row>
    <row r="463" spans="10:14" ht="12.6" hidden="1">
      <c r="J463" s="65"/>
      <c r="K463" s="65"/>
      <c r="L463" s="65"/>
      <c r="M463" s="65"/>
      <c r="N463" s="65"/>
    </row>
    <row r="464" spans="10:14" ht="12.6" hidden="1">
      <c r="J464" s="65"/>
      <c r="K464" s="65"/>
      <c r="L464" s="65"/>
      <c r="M464" s="65"/>
      <c r="N464" s="65"/>
    </row>
    <row r="465" spans="10:14" ht="12.6" hidden="1">
      <c r="J465" s="65"/>
      <c r="K465" s="65"/>
      <c r="L465" s="65"/>
      <c r="M465" s="65"/>
      <c r="N465" s="65"/>
    </row>
    <row r="466" spans="10:14" ht="12.6" hidden="1">
      <c r="J466" s="65"/>
      <c r="K466" s="65"/>
      <c r="L466" s="65"/>
      <c r="M466" s="65"/>
      <c r="N466" s="65"/>
    </row>
    <row r="467" spans="10:14" ht="12.6" hidden="1">
      <c r="J467" s="65"/>
      <c r="K467" s="65"/>
      <c r="L467" s="65"/>
      <c r="M467" s="65"/>
      <c r="N467" s="65"/>
    </row>
    <row r="468" spans="10:14" ht="12.6" hidden="1">
      <c r="J468" s="65"/>
      <c r="K468" s="65"/>
      <c r="L468" s="65"/>
      <c r="M468" s="65"/>
      <c r="N468" s="65"/>
    </row>
    <row r="469" spans="10:14" ht="12.6" hidden="1">
      <c r="J469" s="65"/>
      <c r="K469" s="65"/>
      <c r="L469" s="65"/>
      <c r="M469" s="65"/>
      <c r="N469" s="65"/>
    </row>
    <row r="470" spans="10:14" ht="12.6" hidden="1">
      <c r="J470" s="65"/>
      <c r="K470" s="65"/>
      <c r="L470" s="65"/>
      <c r="M470" s="65"/>
      <c r="N470" s="65"/>
    </row>
    <row r="471" spans="10:14" ht="12.6" hidden="1">
      <c r="J471" s="65"/>
      <c r="K471" s="65"/>
      <c r="L471" s="65"/>
      <c r="M471" s="65"/>
      <c r="N471" s="65"/>
    </row>
    <row r="472" spans="10:14" ht="12.6" hidden="1">
      <c r="J472" s="65"/>
      <c r="K472" s="65"/>
      <c r="L472" s="65"/>
      <c r="M472" s="65"/>
      <c r="N472" s="65"/>
    </row>
    <row r="473" spans="10:14" ht="12.6" hidden="1">
      <c r="J473" s="65"/>
      <c r="K473" s="65"/>
      <c r="L473" s="65"/>
      <c r="M473" s="65"/>
      <c r="N473" s="65"/>
    </row>
    <row r="474" spans="10:14" ht="12.6" hidden="1">
      <c r="J474" s="65"/>
      <c r="K474" s="65"/>
      <c r="L474" s="65"/>
      <c r="M474" s="65"/>
      <c r="N474" s="65"/>
    </row>
    <row r="475" spans="10:14" ht="12.6" hidden="1">
      <c r="J475" s="65"/>
      <c r="K475" s="65"/>
      <c r="L475" s="65"/>
      <c r="M475" s="65"/>
      <c r="N475" s="65"/>
    </row>
    <row r="476" spans="10:14" ht="12.6" hidden="1">
      <c r="J476" s="65"/>
      <c r="K476" s="65"/>
      <c r="L476" s="65"/>
      <c r="M476" s="65"/>
      <c r="N476" s="65"/>
    </row>
    <row r="477" spans="10:14" ht="12.6" hidden="1">
      <c r="J477" s="65"/>
      <c r="K477" s="65"/>
      <c r="L477" s="65"/>
      <c r="M477" s="65"/>
      <c r="N477" s="65"/>
    </row>
    <row r="478" spans="10:14" ht="12.6" hidden="1">
      <c r="J478" s="65"/>
      <c r="K478" s="65"/>
      <c r="L478" s="65"/>
      <c r="M478" s="65"/>
      <c r="N478" s="65"/>
    </row>
    <row r="479" spans="10:14" ht="12.6" hidden="1">
      <c r="J479" s="65"/>
      <c r="K479" s="65"/>
      <c r="L479" s="65"/>
      <c r="M479" s="65"/>
      <c r="N479" s="65"/>
    </row>
    <row r="480" spans="10:14" ht="12.6" hidden="1">
      <c r="J480" s="65"/>
      <c r="K480" s="65"/>
      <c r="L480" s="65"/>
      <c r="M480" s="65"/>
      <c r="N480" s="65"/>
    </row>
    <row r="481" spans="10:14" ht="12.6" hidden="1">
      <c r="J481" s="65"/>
      <c r="K481" s="65"/>
      <c r="L481" s="65"/>
      <c r="M481" s="65"/>
      <c r="N481" s="65"/>
    </row>
    <row r="482" spans="10:14" ht="12.6" hidden="1">
      <c r="J482" s="65"/>
      <c r="K482" s="65"/>
      <c r="L482" s="65"/>
      <c r="M482" s="65"/>
      <c r="N482" s="65"/>
    </row>
    <row r="483" spans="10:14" ht="12.6" hidden="1">
      <c r="J483" s="65"/>
      <c r="K483" s="65"/>
      <c r="L483" s="65"/>
      <c r="M483" s="65"/>
      <c r="N483" s="65"/>
    </row>
    <row r="484" spans="10:14" ht="12.6" hidden="1">
      <c r="J484" s="65"/>
      <c r="K484" s="65"/>
      <c r="L484" s="65"/>
      <c r="M484" s="65"/>
      <c r="N484" s="65"/>
    </row>
    <row r="485" spans="10:14" ht="12.6" hidden="1">
      <c r="J485" s="65"/>
      <c r="K485" s="65"/>
      <c r="L485" s="65"/>
      <c r="M485" s="65"/>
      <c r="N485" s="65"/>
    </row>
    <row r="486" spans="10:14" ht="12.6" hidden="1">
      <c r="J486" s="65"/>
      <c r="K486" s="65"/>
      <c r="L486" s="65"/>
      <c r="M486" s="65"/>
      <c r="N486" s="65"/>
    </row>
    <row r="487" spans="10:14" ht="12.6" hidden="1">
      <c r="J487" s="65"/>
      <c r="K487" s="65"/>
      <c r="L487" s="65"/>
      <c r="M487" s="65"/>
      <c r="N487" s="65"/>
    </row>
    <row r="488" spans="10:14" ht="12.6" hidden="1">
      <c r="J488" s="65"/>
      <c r="K488" s="65"/>
      <c r="L488" s="65"/>
      <c r="M488" s="65"/>
      <c r="N488" s="65"/>
    </row>
    <row r="489" spans="10:14" ht="12.6" hidden="1">
      <c r="J489" s="65"/>
      <c r="K489" s="65"/>
      <c r="L489" s="65"/>
      <c r="M489" s="65"/>
      <c r="N489" s="65"/>
    </row>
    <row r="490" spans="10:14" ht="12.6" hidden="1">
      <c r="J490" s="65"/>
      <c r="K490" s="65"/>
      <c r="L490" s="65"/>
      <c r="M490" s="65"/>
      <c r="N490" s="65"/>
    </row>
    <row r="491" spans="10:14" ht="12.6" hidden="1">
      <c r="J491" s="65"/>
      <c r="K491" s="65"/>
      <c r="L491" s="65"/>
      <c r="M491" s="65"/>
      <c r="N491" s="65"/>
    </row>
    <row r="492" spans="10:14" ht="12.6" hidden="1">
      <c r="J492" s="65"/>
      <c r="K492" s="65"/>
      <c r="L492" s="65"/>
      <c r="M492" s="65"/>
      <c r="N492" s="65"/>
    </row>
    <row r="493" spans="10:14" ht="12.6" hidden="1">
      <c r="J493" s="65"/>
      <c r="K493" s="65"/>
      <c r="L493" s="65"/>
      <c r="M493" s="65"/>
      <c r="N493" s="65"/>
    </row>
    <row r="494" spans="10:14" ht="12.6" hidden="1">
      <c r="J494" s="65"/>
      <c r="K494" s="65"/>
      <c r="L494" s="65"/>
      <c r="M494" s="65"/>
      <c r="N494" s="65"/>
    </row>
    <row r="495" spans="10:14" ht="12.6" hidden="1">
      <c r="J495" s="65"/>
      <c r="K495" s="65"/>
      <c r="L495" s="65"/>
      <c r="M495" s="65"/>
      <c r="N495" s="65"/>
    </row>
    <row r="496" spans="10:14" ht="12.6" hidden="1">
      <c r="J496" s="65"/>
      <c r="K496" s="65"/>
      <c r="L496" s="65"/>
      <c r="M496" s="65"/>
      <c r="N496" s="65"/>
    </row>
    <row r="497" spans="10:14" ht="12.6" hidden="1">
      <c r="J497" s="65"/>
      <c r="K497" s="65"/>
      <c r="L497" s="65"/>
      <c r="M497" s="65"/>
      <c r="N497" s="65"/>
    </row>
    <row r="498" spans="10:14" ht="12.6" hidden="1">
      <c r="J498" s="65"/>
      <c r="K498" s="65"/>
      <c r="L498" s="65"/>
      <c r="M498" s="65"/>
      <c r="N498" s="65"/>
    </row>
    <row r="499" spans="10:14" ht="12.6" hidden="1">
      <c r="J499" s="65"/>
      <c r="K499" s="65"/>
      <c r="L499" s="65"/>
      <c r="M499" s="65"/>
      <c r="N499" s="65"/>
    </row>
    <row r="500" spans="10:14" ht="12.6" hidden="1">
      <c r="J500" s="65"/>
      <c r="K500" s="65"/>
      <c r="L500" s="65"/>
      <c r="M500" s="65"/>
      <c r="N500" s="65"/>
    </row>
    <row r="501" spans="10:14" ht="12.6" hidden="1">
      <c r="J501" s="65"/>
      <c r="K501" s="65"/>
      <c r="L501" s="65"/>
      <c r="M501" s="65"/>
      <c r="N501" s="65"/>
    </row>
    <row r="502" spans="10:14" ht="12.6" hidden="1">
      <c r="J502" s="65"/>
      <c r="K502" s="65"/>
      <c r="L502" s="65"/>
      <c r="M502" s="65"/>
      <c r="N502" s="65"/>
    </row>
    <row r="503" spans="10:14" ht="12.6" hidden="1">
      <c r="J503" s="65"/>
      <c r="K503" s="65"/>
      <c r="L503" s="65"/>
      <c r="M503" s="65"/>
      <c r="N503" s="65"/>
    </row>
    <row r="504" spans="10:14" ht="12.6" hidden="1">
      <c r="J504" s="65"/>
      <c r="K504" s="65"/>
      <c r="L504" s="65"/>
      <c r="M504" s="65"/>
      <c r="N504" s="65"/>
    </row>
    <row r="505" spans="10:14" ht="12.6" hidden="1">
      <c r="J505" s="65"/>
      <c r="K505" s="65"/>
      <c r="L505" s="65"/>
      <c r="M505" s="65"/>
      <c r="N505" s="65"/>
    </row>
    <row r="506" spans="10:14" ht="12.6" hidden="1">
      <c r="J506" s="65"/>
      <c r="K506" s="65"/>
      <c r="L506" s="65"/>
      <c r="M506" s="65"/>
      <c r="N506" s="65"/>
    </row>
    <row r="507" spans="10:14" ht="12.6" hidden="1">
      <c r="J507" s="65"/>
      <c r="K507" s="65"/>
      <c r="L507" s="65"/>
      <c r="M507" s="65"/>
      <c r="N507" s="65"/>
    </row>
    <row r="508" spans="10:14" ht="12.6" hidden="1">
      <c r="J508" s="65"/>
      <c r="K508" s="65"/>
      <c r="L508" s="65"/>
      <c r="M508" s="65"/>
      <c r="N508" s="65"/>
    </row>
    <row r="509" spans="10:14" ht="12.6" hidden="1">
      <c r="J509" s="65"/>
      <c r="K509" s="65"/>
      <c r="L509" s="65"/>
      <c r="M509" s="65"/>
      <c r="N509" s="65"/>
    </row>
    <row r="510" spans="10:14" ht="12.6" hidden="1">
      <c r="J510" s="65"/>
      <c r="K510" s="65"/>
      <c r="L510" s="65"/>
      <c r="M510" s="65"/>
      <c r="N510" s="65"/>
    </row>
    <row r="511" spans="10:14" ht="12.6" hidden="1">
      <c r="J511" s="65"/>
      <c r="K511" s="65"/>
      <c r="L511" s="65"/>
      <c r="M511" s="65"/>
      <c r="N511" s="65"/>
    </row>
    <row r="512" spans="10:14" ht="12.6" hidden="1">
      <c r="J512" s="65"/>
      <c r="K512" s="65"/>
      <c r="L512" s="65"/>
      <c r="M512" s="65"/>
      <c r="N512" s="65"/>
    </row>
    <row r="513" spans="10:14" ht="12.6" hidden="1">
      <c r="J513" s="65"/>
      <c r="K513" s="65"/>
      <c r="L513" s="65"/>
      <c r="M513" s="65"/>
      <c r="N513" s="65"/>
    </row>
    <row r="514" spans="10:14" ht="12.6" hidden="1">
      <c r="J514" s="65"/>
      <c r="K514" s="65"/>
      <c r="L514" s="65"/>
      <c r="M514" s="65"/>
      <c r="N514" s="65"/>
    </row>
    <row r="515" spans="10:14" ht="12.6" hidden="1">
      <c r="J515" s="65"/>
      <c r="K515" s="65"/>
      <c r="L515" s="65"/>
      <c r="M515" s="65"/>
      <c r="N515" s="65"/>
    </row>
    <row r="516" spans="10:14" ht="12.6" hidden="1">
      <c r="J516" s="65"/>
      <c r="K516" s="65"/>
      <c r="L516" s="65"/>
      <c r="M516" s="65"/>
      <c r="N516" s="65"/>
    </row>
    <row r="517" spans="10:14" ht="12.6" hidden="1">
      <c r="J517" s="65"/>
      <c r="K517" s="65"/>
      <c r="L517" s="65"/>
      <c r="M517" s="65"/>
      <c r="N517" s="65"/>
    </row>
    <row r="518" spans="10:14" ht="12.6" hidden="1">
      <c r="J518" s="65"/>
      <c r="K518" s="65"/>
      <c r="L518" s="65"/>
      <c r="M518" s="65"/>
      <c r="N518" s="65"/>
    </row>
    <row r="519" spans="10:14" ht="12.6" hidden="1">
      <c r="J519" s="65"/>
      <c r="K519" s="65"/>
      <c r="L519" s="65"/>
      <c r="M519" s="65"/>
      <c r="N519" s="65"/>
    </row>
    <row r="520" spans="10:14" ht="12.6" hidden="1">
      <c r="J520" s="65"/>
      <c r="K520" s="65"/>
      <c r="L520" s="65"/>
      <c r="M520" s="65"/>
      <c r="N520" s="65"/>
    </row>
    <row r="521" spans="10:14" ht="12.6" hidden="1">
      <c r="J521" s="65"/>
      <c r="K521" s="65"/>
      <c r="L521" s="65"/>
      <c r="M521" s="65"/>
      <c r="N521" s="65"/>
    </row>
    <row r="522" spans="10:14" ht="12.6" hidden="1">
      <c r="J522" s="65"/>
      <c r="K522" s="65"/>
      <c r="L522" s="65"/>
      <c r="M522" s="65"/>
      <c r="N522" s="65"/>
    </row>
    <row r="523" spans="10:14" ht="12.6" hidden="1">
      <c r="J523" s="65"/>
      <c r="K523" s="65"/>
      <c r="L523" s="65"/>
      <c r="M523" s="65"/>
      <c r="N523" s="65"/>
    </row>
    <row r="524" spans="10:14" ht="12.6" hidden="1">
      <c r="J524" s="65"/>
      <c r="K524" s="65"/>
      <c r="L524" s="65"/>
      <c r="M524" s="65"/>
      <c r="N524" s="65"/>
    </row>
    <row r="525" spans="10:14" ht="12.6" hidden="1">
      <c r="J525" s="65"/>
      <c r="K525" s="65"/>
      <c r="L525" s="65"/>
      <c r="M525" s="65"/>
      <c r="N525" s="65"/>
    </row>
    <row r="526" spans="10:14" ht="12.6" hidden="1">
      <c r="J526" s="65"/>
      <c r="K526" s="65"/>
      <c r="L526" s="65"/>
      <c r="M526" s="65"/>
      <c r="N526" s="65"/>
    </row>
    <row r="527" spans="10:14" ht="12.6" hidden="1">
      <c r="J527" s="65"/>
      <c r="K527" s="65"/>
      <c r="L527" s="65"/>
      <c r="M527" s="65"/>
      <c r="N527" s="65"/>
    </row>
    <row r="528" spans="10:14" ht="12.6" hidden="1">
      <c r="J528" s="65"/>
      <c r="K528" s="65"/>
      <c r="L528" s="65"/>
      <c r="M528" s="65"/>
      <c r="N528" s="65"/>
    </row>
    <row r="529" spans="10:14" ht="12.6" hidden="1">
      <c r="J529" s="65"/>
      <c r="K529" s="65"/>
      <c r="L529" s="65"/>
      <c r="M529" s="65"/>
      <c r="N529" s="65"/>
    </row>
    <row r="530" spans="10:14" ht="12.6" hidden="1">
      <c r="J530" s="65"/>
      <c r="K530" s="65"/>
      <c r="L530" s="65"/>
      <c r="M530" s="65"/>
      <c r="N530" s="65"/>
    </row>
    <row r="531" spans="10:14" ht="12.6" hidden="1">
      <c r="J531" s="65"/>
      <c r="K531" s="65"/>
      <c r="L531" s="65"/>
      <c r="M531" s="65"/>
      <c r="N531" s="65"/>
    </row>
    <row r="532" spans="10:14" ht="12.6" hidden="1">
      <c r="J532" s="65"/>
      <c r="K532" s="65"/>
      <c r="L532" s="65"/>
      <c r="M532" s="65"/>
      <c r="N532" s="65"/>
    </row>
    <row r="533" spans="10:14" ht="12.6" hidden="1">
      <c r="J533" s="65"/>
      <c r="K533" s="65"/>
      <c r="L533" s="65"/>
      <c r="M533" s="65"/>
      <c r="N533" s="65"/>
    </row>
    <row r="534" spans="10:14" ht="12.6" hidden="1">
      <c r="J534" s="65"/>
      <c r="K534" s="65"/>
      <c r="L534" s="65"/>
      <c r="M534" s="65"/>
      <c r="N534" s="65"/>
    </row>
    <row r="535" spans="10:14" ht="12.6" hidden="1">
      <c r="J535" s="65"/>
      <c r="K535" s="65"/>
      <c r="L535" s="65"/>
      <c r="M535" s="65"/>
      <c r="N535" s="65"/>
    </row>
    <row r="536" spans="10:14" ht="12.6" hidden="1">
      <c r="J536" s="65"/>
      <c r="K536" s="65"/>
      <c r="L536" s="65"/>
      <c r="M536" s="65"/>
      <c r="N536" s="65"/>
    </row>
    <row r="537" spans="10:14" ht="12.6" hidden="1">
      <c r="J537" s="65"/>
      <c r="K537" s="65"/>
      <c r="L537" s="65"/>
      <c r="M537" s="65"/>
      <c r="N537" s="65"/>
    </row>
    <row r="538" spans="10:14" ht="12.6" hidden="1">
      <c r="J538" s="65"/>
      <c r="K538" s="65"/>
      <c r="L538" s="65"/>
      <c r="M538" s="65"/>
      <c r="N538" s="65"/>
    </row>
    <row r="539" spans="10:14" ht="12.6" hidden="1">
      <c r="J539" s="65"/>
      <c r="K539" s="65"/>
      <c r="L539" s="65"/>
      <c r="M539" s="65"/>
      <c r="N539" s="65"/>
    </row>
    <row r="540" spans="10:14" ht="12.6" hidden="1">
      <c r="J540" s="65"/>
      <c r="K540" s="65"/>
      <c r="L540" s="65"/>
      <c r="M540" s="65"/>
      <c r="N540" s="65"/>
    </row>
    <row r="541" spans="10:14" ht="12.6" hidden="1">
      <c r="J541" s="65"/>
      <c r="K541" s="65"/>
      <c r="L541" s="65"/>
      <c r="M541" s="65"/>
      <c r="N541" s="65"/>
    </row>
    <row r="542" spans="10:14" ht="12.6" hidden="1">
      <c r="J542" s="65"/>
      <c r="K542" s="65"/>
      <c r="L542" s="65"/>
      <c r="M542" s="65"/>
      <c r="N542" s="65"/>
    </row>
    <row r="543" spans="10:14" ht="12.6" hidden="1">
      <c r="J543" s="65"/>
      <c r="K543" s="65"/>
      <c r="L543" s="65"/>
      <c r="M543" s="65"/>
      <c r="N543" s="65"/>
    </row>
    <row r="544" spans="10:14" ht="12.6" hidden="1">
      <c r="J544" s="65"/>
      <c r="K544" s="65"/>
      <c r="L544" s="65"/>
      <c r="M544" s="65"/>
      <c r="N544" s="65"/>
    </row>
    <row r="545" spans="10:14" ht="12.6" hidden="1">
      <c r="J545" s="65"/>
      <c r="K545" s="65"/>
      <c r="L545" s="65"/>
      <c r="M545" s="65"/>
      <c r="N545" s="65"/>
    </row>
    <row r="546" spans="10:14" ht="12.6" hidden="1">
      <c r="J546" s="65"/>
      <c r="K546" s="65"/>
      <c r="L546" s="65"/>
      <c r="M546" s="65"/>
      <c r="N546" s="65"/>
    </row>
    <row r="547" spans="10:14" ht="12.6" hidden="1">
      <c r="J547" s="65"/>
      <c r="K547" s="65"/>
      <c r="L547" s="65"/>
      <c r="M547" s="65"/>
      <c r="N547" s="65"/>
    </row>
    <row r="548" spans="10:14" ht="12.6" hidden="1">
      <c r="J548" s="65"/>
      <c r="K548" s="65"/>
      <c r="L548" s="65"/>
      <c r="M548" s="65"/>
      <c r="N548" s="65"/>
    </row>
    <row r="549" spans="10:14" ht="12.6" hidden="1">
      <c r="J549" s="65"/>
      <c r="K549" s="65"/>
      <c r="L549" s="65"/>
      <c r="M549" s="65"/>
      <c r="N549" s="65"/>
    </row>
    <row r="550" spans="10:14" ht="12.6" hidden="1">
      <c r="J550" s="65"/>
      <c r="K550" s="65"/>
      <c r="L550" s="65"/>
      <c r="M550" s="65"/>
      <c r="N550" s="65"/>
    </row>
    <row r="551" spans="10:14" ht="12.6" hidden="1">
      <c r="J551" s="65"/>
      <c r="K551" s="65"/>
      <c r="L551" s="65"/>
      <c r="M551" s="65"/>
      <c r="N551" s="65"/>
    </row>
    <row r="552" spans="10:14" ht="12.6" hidden="1">
      <c r="J552" s="65"/>
      <c r="K552" s="65"/>
      <c r="L552" s="65"/>
      <c r="M552" s="65"/>
      <c r="N552" s="65"/>
    </row>
    <row r="553" spans="10:14" ht="12.6" hidden="1">
      <c r="J553" s="65"/>
      <c r="K553" s="65"/>
      <c r="L553" s="65"/>
      <c r="M553" s="65"/>
      <c r="N553" s="65"/>
    </row>
    <row r="554" spans="10:14" ht="12.6" hidden="1">
      <c r="J554" s="65"/>
      <c r="K554" s="65"/>
      <c r="L554" s="65"/>
      <c r="M554" s="65"/>
      <c r="N554" s="65"/>
    </row>
    <row r="555" spans="10:14" ht="12.6" hidden="1">
      <c r="J555" s="65"/>
      <c r="K555" s="65"/>
      <c r="L555" s="65"/>
      <c r="M555" s="65"/>
      <c r="N555" s="65"/>
    </row>
    <row r="556" spans="10:14" ht="12.6" hidden="1">
      <c r="J556" s="65"/>
      <c r="K556" s="65"/>
      <c r="L556" s="65"/>
      <c r="M556" s="65"/>
      <c r="N556" s="65"/>
    </row>
    <row r="557" spans="10:14" ht="12.6" hidden="1">
      <c r="J557" s="65"/>
      <c r="K557" s="65"/>
      <c r="L557" s="65"/>
      <c r="M557" s="65"/>
      <c r="N557" s="65"/>
    </row>
    <row r="558" spans="10:14" ht="12.6" hidden="1">
      <c r="J558" s="65"/>
      <c r="K558" s="65"/>
      <c r="L558" s="65"/>
      <c r="M558" s="65"/>
      <c r="N558" s="65"/>
    </row>
    <row r="559" spans="10:14" ht="12.6" hidden="1">
      <c r="J559" s="65"/>
      <c r="K559" s="65"/>
      <c r="L559" s="65"/>
      <c r="M559" s="65"/>
      <c r="N559" s="65"/>
    </row>
    <row r="560" spans="10:14" ht="12.6" hidden="1">
      <c r="J560" s="65"/>
      <c r="K560" s="65"/>
      <c r="L560" s="65"/>
      <c r="M560" s="65"/>
      <c r="N560" s="65"/>
    </row>
    <row r="561" spans="10:14" ht="12.6" hidden="1">
      <c r="J561" s="65"/>
      <c r="K561" s="65"/>
      <c r="L561" s="65"/>
      <c r="M561" s="65"/>
      <c r="N561" s="65"/>
    </row>
    <row r="562" spans="10:14" ht="12.6" hidden="1">
      <c r="J562" s="65"/>
      <c r="K562" s="65"/>
      <c r="L562" s="65"/>
      <c r="M562" s="65"/>
      <c r="N562" s="65"/>
    </row>
    <row r="563" spans="10:14" ht="12.6" hidden="1">
      <c r="J563" s="65"/>
      <c r="K563" s="65"/>
      <c r="L563" s="65"/>
      <c r="M563" s="65"/>
      <c r="N563" s="65"/>
    </row>
    <row r="564" spans="10:14" ht="12.6" hidden="1">
      <c r="J564" s="65"/>
      <c r="K564" s="65"/>
      <c r="L564" s="65"/>
      <c r="M564" s="65"/>
      <c r="N564" s="65"/>
    </row>
    <row r="565" spans="10:14" ht="12.6" hidden="1">
      <c r="J565" s="65"/>
      <c r="K565" s="65"/>
      <c r="L565" s="65"/>
      <c r="M565" s="65"/>
      <c r="N565" s="65"/>
    </row>
    <row r="566" spans="10:14" ht="12.6" hidden="1">
      <c r="J566" s="65"/>
      <c r="K566" s="65"/>
      <c r="L566" s="65"/>
      <c r="M566" s="65"/>
      <c r="N566" s="65"/>
    </row>
    <row r="567" spans="10:14" ht="12.6" hidden="1">
      <c r="J567" s="65"/>
      <c r="K567" s="65"/>
      <c r="L567" s="65"/>
      <c r="M567" s="65"/>
      <c r="N567" s="65"/>
    </row>
    <row r="568" spans="10:14" ht="12.6" hidden="1">
      <c r="J568" s="65"/>
      <c r="K568" s="65"/>
      <c r="L568" s="65"/>
      <c r="M568" s="65"/>
      <c r="N568" s="65"/>
    </row>
    <row r="569" spans="10:14" ht="12.6" hidden="1">
      <c r="J569" s="65"/>
      <c r="K569" s="65"/>
      <c r="L569" s="65"/>
      <c r="M569" s="65"/>
      <c r="N569" s="65"/>
    </row>
    <row r="570" spans="10:14" ht="12.6" hidden="1">
      <c r="J570" s="65"/>
      <c r="K570" s="65"/>
      <c r="L570" s="65"/>
      <c r="M570" s="65"/>
      <c r="N570" s="65"/>
    </row>
    <row r="571" spans="10:14" ht="12.6" hidden="1">
      <c r="J571" s="65"/>
      <c r="K571" s="65"/>
      <c r="L571" s="65"/>
      <c r="M571" s="65"/>
      <c r="N571" s="65"/>
    </row>
    <row r="572" spans="10:14" ht="12.6" hidden="1">
      <c r="J572" s="65"/>
      <c r="K572" s="65"/>
      <c r="L572" s="65"/>
      <c r="M572" s="65"/>
      <c r="N572" s="65"/>
    </row>
    <row r="573" spans="10:14" ht="12.6" hidden="1">
      <c r="J573" s="65"/>
      <c r="K573" s="65"/>
      <c r="L573" s="65"/>
      <c r="M573" s="65"/>
      <c r="N573" s="65"/>
    </row>
    <row r="574" spans="10:14" ht="12.6" hidden="1">
      <c r="J574" s="65"/>
      <c r="K574" s="65"/>
      <c r="L574" s="65"/>
      <c r="M574" s="65"/>
      <c r="N574" s="65"/>
    </row>
    <row r="575" spans="10:14" ht="12.6" hidden="1">
      <c r="J575" s="65"/>
      <c r="K575" s="65"/>
      <c r="L575" s="65"/>
      <c r="M575" s="65"/>
      <c r="N575" s="65"/>
    </row>
    <row r="576" spans="10:14" ht="12.6" hidden="1">
      <c r="J576" s="65"/>
      <c r="K576" s="65"/>
      <c r="L576" s="65"/>
      <c r="M576" s="65"/>
      <c r="N576" s="65"/>
    </row>
    <row r="577" spans="10:14" ht="12.6" hidden="1">
      <c r="J577" s="65"/>
      <c r="K577" s="65"/>
      <c r="L577" s="65"/>
      <c r="M577" s="65"/>
      <c r="N577" s="65"/>
    </row>
    <row r="578" spans="10:14" ht="12.6" hidden="1">
      <c r="J578" s="65"/>
      <c r="K578" s="65"/>
      <c r="L578" s="65"/>
      <c r="M578" s="65"/>
      <c r="N578" s="65"/>
    </row>
    <row r="579" spans="10:14" ht="12.6" hidden="1">
      <c r="J579" s="65"/>
      <c r="K579" s="65"/>
      <c r="L579" s="65"/>
      <c r="M579" s="65"/>
      <c r="N579" s="65"/>
    </row>
    <row r="580" spans="10:14" ht="12.6" hidden="1">
      <c r="J580" s="65"/>
      <c r="K580" s="65"/>
      <c r="L580" s="65"/>
      <c r="M580" s="65"/>
      <c r="N580" s="65"/>
    </row>
    <row r="581" spans="10:14" ht="12.6" hidden="1">
      <c r="J581" s="65"/>
      <c r="K581" s="65"/>
      <c r="L581" s="65"/>
      <c r="M581" s="65"/>
      <c r="N581" s="65"/>
    </row>
    <row r="582" spans="10:14" ht="12.6" hidden="1">
      <c r="J582" s="65"/>
      <c r="K582" s="65"/>
      <c r="L582" s="65"/>
      <c r="M582" s="65"/>
      <c r="N582" s="65"/>
    </row>
    <row r="583" spans="10:14" ht="12.6" hidden="1">
      <c r="J583" s="65"/>
      <c r="K583" s="65"/>
      <c r="L583" s="65"/>
      <c r="M583" s="65"/>
      <c r="N583" s="65"/>
    </row>
    <row r="584" spans="10:14" ht="12.6" hidden="1">
      <c r="J584" s="65"/>
      <c r="K584" s="65"/>
      <c r="L584" s="65"/>
      <c r="M584" s="65"/>
      <c r="N584" s="65"/>
    </row>
    <row r="585" spans="10:14" ht="12.6" hidden="1">
      <c r="J585" s="65"/>
      <c r="K585" s="65"/>
      <c r="L585" s="65"/>
      <c r="M585" s="65"/>
      <c r="N585" s="65"/>
    </row>
    <row r="586" spans="10:14" ht="12.6" hidden="1">
      <c r="J586" s="65"/>
      <c r="K586" s="65"/>
      <c r="L586" s="65"/>
      <c r="M586" s="65"/>
      <c r="N586" s="65"/>
    </row>
    <row r="587" spans="10:14" ht="12.6" hidden="1"/>
    <row r="588" spans="10:14" ht="12.6" hidden="1"/>
  </sheetData>
  <mergeCells count="19">
    <mergeCell ref="U56:X56"/>
    <mergeCell ref="W90:Z90"/>
    <mergeCell ref="AD90:AG90"/>
    <mergeCell ref="C44:O45"/>
    <mergeCell ref="C46:F46"/>
    <mergeCell ref="G46:H46"/>
    <mergeCell ref="J46:M46"/>
    <mergeCell ref="N46:O46"/>
    <mergeCell ref="C56:H56"/>
    <mergeCell ref="J56:O56"/>
    <mergeCell ref="C10:F10"/>
    <mergeCell ref="G10:H10"/>
    <mergeCell ref="J10:M10"/>
    <mergeCell ref="N10:O10"/>
    <mergeCell ref="B3:O3"/>
    <mergeCell ref="B4:O4"/>
    <mergeCell ref="B5:O5"/>
    <mergeCell ref="C9:H9"/>
    <mergeCell ref="J9:O9"/>
  </mergeCells>
  <printOptions horizontalCentered="1" verticalCentered="1"/>
  <pageMargins left="0.19685039370078741" right="0.19685039370078741" top="0.78740157480314965" bottom="0.19685039370078741" header="0" footer="0"/>
  <pageSetup paperSize="9" scale="70" orientation="portrait" r:id="rId1"/>
  <headerFooter>
    <oddHeader xml:space="preserve">&amp;L
             &amp;G&amp;C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5" name="Drop Down 1">
              <controlPr defaultSize="0" autoLine="0" autoPict="0">
                <anchor moveWithCells="1">
                  <from>
                    <xdr:col>7</xdr:col>
                    <xdr:colOff>304800</xdr:colOff>
                    <xdr:row>6</xdr:row>
                    <xdr:rowOff>22860</xdr:rowOff>
                  </from>
                  <to>
                    <xdr:col>9</xdr:col>
                    <xdr:colOff>335280</xdr:colOff>
                    <xdr:row>6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569"/>
  <sheetViews>
    <sheetView showGridLines="0" showRowColHeaders="0" zoomScaleNormal="100" workbookViewId="0"/>
  </sheetViews>
  <sheetFormatPr baseColWidth="10" defaultColWidth="0" defaultRowHeight="12.75" customHeight="1" zeroHeight="1"/>
  <cols>
    <col min="1" max="1" width="1.453125" style="2" customWidth="1"/>
    <col min="2" max="2" width="37.36328125" style="2" customWidth="1"/>
    <col min="3" max="3" width="1.26953125" style="2" customWidth="1"/>
    <col min="4" max="5" width="12.08984375" style="2" customWidth="1"/>
    <col min="6" max="6" width="11" style="2" customWidth="1"/>
    <col min="7" max="7" width="1.26953125" style="2" customWidth="1"/>
    <col min="8" max="9" width="12.08984375" style="2" customWidth="1"/>
    <col min="10" max="10" width="11" style="2" customWidth="1"/>
    <col min="11" max="11" width="1.7265625" style="2" customWidth="1"/>
    <col min="12" max="12" width="20.26953125" style="2" hidden="1" customWidth="1"/>
    <col min="13" max="13" width="5.90625" style="2" hidden="1" customWidth="1"/>
    <col min="14" max="60" width="0" style="2" hidden="1" customWidth="1"/>
    <col min="61" max="16384" width="11" style="2" hidden="1"/>
  </cols>
  <sheetData>
    <row r="1" spans="2:60" ht="5.25" customHeight="1">
      <c r="B1" s="110"/>
      <c r="C1" s="110"/>
      <c r="D1" s="110"/>
      <c r="E1" s="110"/>
      <c r="F1" s="110"/>
      <c r="G1" s="110"/>
      <c r="H1" s="110"/>
      <c r="I1" s="110"/>
      <c r="J1" s="110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</row>
    <row r="2" spans="2:60" ht="12.6" customHeight="1">
      <c r="B2" s="111"/>
      <c r="C2" s="111"/>
      <c r="D2" s="111"/>
      <c r="E2" s="111"/>
      <c r="F2" s="111"/>
      <c r="G2" s="111"/>
      <c r="H2" s="111"/>
      <c r="I2" s="111"/>
      <c r="J2" s="111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</row>
    <row r="3" spans="2:60" ht="21" customHeight="1">
      <c r="B3" s="326" t="s">
        <v>154</v>
      </c>
      <c r="C3" s="326"/>
      <c r="D3" s="338"/>
      <c r="E3" s="338"/>
      <c r="F3" s="338"/>
      <c r="G3" s="338"/>
      <c r="H3" s="338"/>
      <c r="I3" s="338"/>
      <c r="J3" s="338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</row>
    <row r="4" spans="2:60" ht="21" customHeight="1">
      <c r="B4" s="326" t="s">
        <v>155</v>
      </c>
      <c r="C4" s="326"/>
      <c r="D4" s="326"/>
      <c r="E4" s="326"/>
      <c r="F4" s="326"/>
      <c r="G4" s="326"/>
      <c r="H4" s="326"/>
      <c r="I4" s="326"/>
      <c r="J4" s="326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</row>
    <row r="5" spans="2:60" ht="16.2" customHeight="1">
      <c r="B5" s="353" t="s">
        <v>77</v>
      </c>
      <c r="C5" s="353"/>
      <c r="D5" s="353"/>
      <c r="E5" s="353"/>
      <c r="F5" s="353"/>
      <c r="G5" s="353"/>
      <c r="H5" s="353"/>
      <c r="I5" s="353"/>
      <c r="J5" s="353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</row>
    <row r="6" spans="2:60" ht="10.95" customHeight="1" thickBot="1">
      <c r="B6" s="7"/>
      <c r="C6" s="7"/>
      <c r="D6" s="7"/>
      <c r="E6" s="7"/>
      <c r="F6" s="7"/>
      <c r="G6" s="7"/>
      <c r="H6" s="7"/>
      <c r="I6" s="7"/>
      <c r="J6" s="7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</row>
    <row r="7" spans="2:60" ht="18.899999999999999" customHeight="1" thickTop="1" thickBot="1">
      <c r="B7" s="7"/>
      <c r="C7" s="7"/>
      <c r="D7" s="113" t="s">
        <v>156</v>
      </c>
      <c r="E7" s="257" t="s">
        <v>189</v>
      </c>
      <c r="F7" s="213" t="s">
        <v>157</v>
      </c>
      <c r="G7"/>
      <c r="J7" s="7"/>
      <c r="K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</row>
    <row r="8" spans="2:60" ht="15.6" customHeight="1" thickTop="1">
      <c r="B8" s="7"/>
      <c r="C8" s="7"/>
      <c r="D8" s="7"/>
      <c r="E8" s="7"/>
      <c r="F8" s="7"/>
      <c r="G8" s="7"/>
      <c r="H8" s="214"/>
      <c r="I8" s="214"/>
      <c r="J8" s="214"/>
      <c r="K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</row>
    <row r="9" spans="2:60" ht="21" customHeight="1" thickBot="1">
      <c r="B9" s="7"/>
      <c r="C9" s="7"/>
      <c r="D9" s="343" t="s">
        <v>116</v>
      </c>
      <c r="E9" s="344" t="str">
        <f t="shared" ref="E9:J9" si="0">CONCATENATE("INFORME MENSUAL DE RECAUDACIÓN TRIBUTARIA. ",$H$10," ",$F$10)</f>
        <v>INFORME MENSUAL DE RECAUDACIÓN TRIBUTARIA. 2024 %</v>
      </c>
      <c r="F9" s="344" t="str">
        <f t="shared" si="0"/>
        <v>INFORME MENSUAL DE RECAUDACIÓN TRIBUTARIA. 2024 %</v>
      </c>
      <c r="G9" s="20"/>
      <c r="H9" s="343" t="s">
        <v>73</v>
      </c>
      <c r="I9" s="344" t="str">
        <f t="shared" si="0"/>
        <v>INFORME MENSUAL DE RECAUDACIÓN TRIBUTARIA. 2024 %</v>
      </c>
      <c r="J9" s="344" t="str">
        <f t="shared" si="0"/>
        <v>INFORME MENSUAL DE RECAUDACIÓN TRIBUTARIA. 2024 %</v>
      </c>
      <c r="K9" s="212"/>
      <c r="L9" s="6" t="s">
        <v>158</v>
      </c>
      <c r="M9" s="17">
        <v>29</v>
      </c>
      <c r="N9" s="17">
        <f>INDEX(Años,M9)</f>
        <v>2024</v>
      </c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2:60" ht="25.2" customHeight="1">
      <c r="B10" s="21"/>
      <c r="C10" s="21"/>
      <c r="D10" s="215">
        <f>Año_seleccionado_C.2.4</f>
        <v>2024</v>
      </c>
      <c r="E10" s="215">
        <f>Año_anterior_seleccionado_C.2.4</f>
        <v>2023</v>
      </c>
      <c r="F10" s="216" t="s">
        <v>118</v>
      </c>
      <c r="G10" s="216"/>
      <c r="H10" s="215">
        <f>Año_seleccionado_C.2.4</f>
        <v>2024</v>
      </c>
      <c r="I10" s="215">
        <f>Año_anterior_seleccionado_C.2.4</f>
        <v>2023</v>
      </c>
      <c r="J10" s="216" t="s">
        <v>118</v>
      </c>
      <c r="K10" s="212"/>
      <c r="L10" s="6" t="s">
        <v>159</v>
      </c>
      <c r="M10" s="17">
        <v>2</v>
      </c>
      <c r="N10" s="17" t="str">
        <f>INDEX(Meses,M10)</f>
        <v>FEBRUARY</v>
      </c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2:60" ht="24.9" customHeight="1">
      <c r="B11" s="180" t="s">
        <v>53</v>
      </c>
      <c r="C11" s="56"/>
      <c r="D11" s="248">
        <f>SUMIFS(IRPF_bruto,Años_datos,Año_seleccionado_C.2.4,Mes_datos,Mes_seleccionado_C.2.4)/1000</f>
        <v>8477.5429999999997</v>
      </c>
      <c r="E11" s="248">
        <f>SUMIFS(IRPF_bruto,Años_datos,Año_anterior_seleccionado_C.2.4,Mes_datos,Mes_seleccionado_C.2.4)/1000</f>
        <v>7666.9449999999997</v>
      </c>
      <c r="F11" s="217">
        <f t="shared" ref="F11:F18" si="1">IF(E11=0,"-",IF(ABS((D11-E11)/ABS(E11))*100&gt;=100,"-",IF(D11/E11&lt;0,"-",(D11-E11)/ABS(E11)*100)))</f>
        <v>10.572633558738193</v>
      </c>
      <c r="G11" s="218"/>
      <c r="H11" s="248">
        <f>SUMIFS(IRPF_bruto,Años_datos,Año_seleccionado_C.2.4,Datos_periodo,Periodo_seleccionado_C.2.4)/1000</f>
        <v>25606.062000000002</v>
      </c>
      <c r="I11" s="248">
        <f>SUMIFS(IRPF_bruto,Años_datos,Año_anterior_seleccionado_C.2.4,Datos_periodo,Periodo_seleccionado_C.2.4)/1000</f>
        <v>23752.223999999998</v>
      </c>
      <c r="J11" s="217">
        <f t="shared" ref="J11:J18" si="2">IF(I11=0,"-",IF(ABS((H11-I11)/ABS(I11))*100&gt;=100,"-",IF(H11/I11&lt;0,"-",(H11-I11)/ABS(I11)*100)))</f>
        <v>7.8049028166794123</v>
      </c>
      <c r="K11" s="212"/>
      <c r="L11" s="6" t="s">
        <v>160</v>
      </c>
      <c r="N11" s="8" t="str">
        <f>CONCATENATE("&lt;=",M10)</f>
        <v>&lt;=2</v>
      </c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2:60" ht="24.9" customHeight="1">
      <c r="B12" s="193" t="s">
        <v>161</v>
      </c>
      <c r="C12" s="193"/>
      <c r="D12" s="266">
        <f>SUMIFS(IRPF_trabajo_bruto,Años_datos,Año_seleccionado_C.2.4,Mes_datos,Mes_seleccionado_C.2.4)/1000</f>
        <v>6683.1779999999999</v>
      </c>
      <c r="E12" s="266">
        <f>SUMIFS(IRPF_trabajo_bruto,Años_datos,Año_anterior_seleccionado_C.2.4,Mes_datos,Mes_seleccionado_C.2.4)/1000</f>
        <v>6164.2209999999995</v>
      </c>
      <c r="F12" s="218">
        <f t="shared" si="1"/>
        <v>8.4188577924120551</v>
      </c>
      <c r="G12" s="218"/>
      <c r="H12" s="266">
        <f>SUMIFS(IRPF_trabajo_bruto,Años_datos,Año_seleccionado_C.2.4,Datos_periodo,Periodo_seleccionado_C.2.4)/1000</f>
        <v>21951.287</v>
      </c>
      <c r="I12" s="266">
        <f>SUMIFS(IRPF_trabajo_bruto,Años_datos,Año_anterior_seleccionado_C.2.4,Datos_periodo,Periodo_seleccionado_C.2.4)/1000</f>
        <v>20517.442999999999</v>
      </c>
      <c r="J12" s="218">
        <f t="shared" si="2"/>
        <v>6.9884146869568537</v>
      </c>
      <c r="K12" s="212"/>
      <c r="L12" s="6" t="s">
        <v>162</v>
      </c>
      <c r="M12" s="10"/>
      <c r="N12" s="11">
        <f>N9-1</f>
        <v>2023</v>
      </c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2:60" ht="24.9" customHeight="1">
      <c r="B13" s="219" t="s">
        <v>163</v>
      </c>
      <c r="C13" s="219"/>
      <c r="D13" s="262">
        <f>SUMIFS(IRPF_trabajo_AAPP,Años_datos,Año_seleccionado_C.2.4,Mes_datos,Mes_seleccionado_C.2.4)/1000</f>
        <v>2604.9830000000002</v>
      </c>
      <c r="E13" s="262">
        <f>SUMIFS(IRPF_trabajo_AAPP,Años_datos,Año_anterior_seleccionado_C.2.4,Mes_datos,Mes_seleccionado_C.2.4)/1000</f>
        <v>2411.8029999999999</v>
      </c>
      <c r="F13" s="220">
        <f t="shared" si="1"/>
        <v>8.0097752594221117</v>
      </c>
      <c r="G13" s="220"/>
      <c r="H13" s="262">
        <f>SUMIFS(IRPF_trabajo_AAPP,Años_datos,Año_seleccionado_C.2.4,Datos_periodo,Periodo_seleccionado_C.2.4)/1000</f>
        <v>5822.799</v>
      </c>
      <c r="I13" s="262">
        <f>SUMIFS(IRPF_trabajo_AAPP,Años_datos,Año_anterior_seleccionado_C.2.4,Datos_periodo,Periodo_seleccionado_C.2.4)/1000</f>
        <v>5408.3639999999996</v>
      </c>
      <c r="J13" s="220">
        <f t="shared" si="2"/>
        <v>7.6628533138671964</v>
      </c>
      <c r="K13" s="212"/>
      <c r="L13" s="171"/>
      <c r="M13" s="171"/>
      <c r="N13" s="171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2:60" ht="24.9" customHeight="1">
      <c r="B14" s="46" t="s">
        <v>164</v>
      </c>
      <c r="C14" s="46"/>
      <c r="D14" s="262">
        <f>SUMIFS(IRPF_trabajo_GE,Años_datos,Año_seleccionado_C.2.4,Mes_datos,Mes_seleccionado_C.2.4)/1000</f>
        <v>3859.9369999999999</v>
      </c>
      <c r="E14" s="262">
        <f>SUMIFS(IRPF_trabajo_GE,Años_datos,Año_anterior_seleccionado_C.2.4,Mes_datos,Mes_seleccionado_C.2.4)/1000</f>
        <v>3462.4749999999999</v>
      </c>
      <c r="F14" s="220">
        <f t="shared" si="1"/>
        <v>11.479129813211648</v>
      </c>
      <c r="G14" s="220"/>
      <c r="H14" s="262">
        <f>SUMIFS(IRPF_trabajo_GE,Años_datos,Año_seleccionado_C.2.4,Datos_periodo,Periodo_seleccionado_C.2.4)/1000</f>
        <v>9194.1380000000008</v>
      </c>
      <c r="I14" s="262">
        <f>SUMIFS(IRPF_trabajo_GE,Años_datos,Año_anterior_seleccionado_C.2.4,Datos_periodo,Periodo_seleccionado_C.2.4)/1000</f>
        <v>8392.2690000000002</v>
      </c>
      <c r="J14" s="220">
        <f t="shared" si="2"/>
        <v>9.554853401386449</v>
      </c>
      <c r="K14" s="212"/>
      <c r="L14"/>
      <c r="M14"/>
      <c r="N14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2:60" ht="24.9" customHeight="1">
      <c r="B15" s="46" t="s">
        <v>165</v>
      </c>
      <c r="C15" s="46"/>
      <c r="D15" s="262">
        <f>SUMIFS(IRPF_trabajo_Pymes,Años_datos,Año_seleccionado_C.2.4,Mes_datos,Mes_seleccionado_C.2.4)/1000</f>
        <v>177.297</v>
      </c>
      <c r="E15" s="262">
        <f>SUMIFS(IRPF_trabajo_Pymes,Años_datos,Año_anterior_seleccionado_C.2.4,Mes_datos,Mes_seleccionado_C.2.4)/1000</f>
        <v>192.333</v>
      </c>
      <c r="F15" s="220">
        <f t="shared" si="1"/>
        <v>-7.8176911918391543</v>
      </c>
      <c r="G15" s="220"/>
      <c r="H15" s="262">
        <f>SUMIFS(IRPF_trabajo_Pymes,Años_datos,Año_seleccionado_C.2.4,Datos_periodo,Periodo_seleccionado_C.2.4)/1000</f>
        <v>6854.8379999999997</v>
      </c>
      <c r="I15" s="262">
        <f>SUMIFS(IRPF_trabajo_Pymes,Años_datos,Año_anterior_seleccionado_C.2.4,Datos_periodo,Periodo_seleccionado_C.2.4)/1000</f>
        <v>6530.277</v>
      </c>
      <c r="J15" s="220">
        <f t="shared" si="2"/>
        <v>4.9700954492435727</v>
      </c>
      <c r="K15" s="212"/>
      <c r="L15"/>
      <c r="M15"/>
      <c r="N15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2:60" ht="24.9" customHeight="1">
      <c r="B16" s="46" t="s">
        <v>166</v>
      </c>
      <c r="C16" s="46"/>
      <c r="D16" s="262">
        <f>D12-D13-D14-D15</f>
        <v>40.960999999999814</v>
      </c>
      <c r="E16" s="262">
        <f>E12-E13-E14-E15</f>
        <v>97.609999999999758</v>
      </c>
      <c r="F16" s="220">
        <f t="shared" si="1"/>
        <v>-58.036061878905933</v>
      </c>
      <c r="G16" s="220"/>
      <c r="H16" s="262">
        <f>H12-H13-H14-H15</f>
        <v>79.512000000000626</v>
      </c>
      <c r="I16" s="262">
        <f>I12-I13-I14-I15</f>
        <v>186.53299999999945</v>
      </c>
      <c r="J16" s="220">
        <f t="shared" si="2"/>
        <v>-57.37376228334886</v>
      </c>
      <c r="K16" s="212"/>
      <c r="L16"/>
      <c r="M16"/>
      <c r="N16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2:60" ht="21.9" customHeight="1">
      <c r="B17" s="193" t="s">
        <v>167</v>
      </c>
      <c r="C17" s="193"/>
      <c r="D17" s="266">
        <f>SUMIFS(IRPF_RDeclaracAnual_bruto,Años_datos,Año_seleccionado_C.2.4,Mes_datos,Mes_seleccionado_C.2.4)/1000</f>
        <v>153.29400000000001</v>
      </c>
      <c r="E17" s="266">
        <f>SUMIFS(IRPF_RDeclaracAnual_bruto,Años_datos,Año_anterior_seleccionado_C.2.4,Mes_datos,Mes_seleccionado_C.2.4)/1000</f>
        <v>137.12799999999999</v>
      </c>
      <c r="F17" s="218">
        <f t="shared" si="1"/>
        <v>11.788985473426306</v>
      </c>
      <c r="G17" s="218"/>
      <c r="H17" s="266">
        <f>SUMIFS(IRPF_RDeclaracAnual_bruto,Años_datos,Año_seleccionado_C.2.4,Datos_periodo,Periodo_seleccionado_C.2.4)/1000</f>
        <v>316.92399999999998</v>
      </c>
      <c r="I17" s="266">
        <f>SUMIFS(IRPF_RDeclaracAnual_bruto,Años_datos,Año_anterior_seleccionado_C.2.4,Datos_periodo,Periodo_seleccionado_C.2.4)/1000</f>
        <v>295.54000000000002</v>
      </c>
      <c r="J17" s="218">
        <f t="shared" si="2"/>
        <v>7.2355687893347618</v>
      </c>
      <c r="K17" s="212"/>
      <c r="L17"/>
      <c r="M17"/>
      <c r="N17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2:60" ht="21.9" customHeight="1">
      <c r="B18" s="193" t="s">
        <v>168</v>
      </c>
      <c r="C18" s="193"/>
      <c r="D18" s="266">
        <f>SUMIFS(IRPF_Liq_Admon_bruto,Años_datos,Año_seleccionado_C.2.4,Mes_datos,Mes_seleccionado_C.2.4)/1000</f>
        <v>77.673000000000002</v>
      </c>
      <c r="E18" s="266">
        <f>SUMIFS(IRPF_Liq_Admon_bruto,Años_datos,Año_anterior_seleccionado_C.2.4,Mes_datos,Mes_seleccionado_C.2.4)/1000</f>
        <v>62.433</v>
      </c>
      <c r="F18" s="218">
        <f t="shared" si="1"/>
        <v>24.41016769977416</v>
      </c>
      <c r="G18" s="218"/>
      <c r="H18" s="266">
        <f>SUMIFS(IRPF_Liq_Admon_bruto,Años_datos,Año_seleccionado_C.2.4,Datos_periodo,Periodo_seleccionado_C.2.4)/1000</f>
        <v>135.17099999999999</v>
      </c>
      <c r="I18" s="266">
        <f>SUMIFS(IRPF_Liq_Admon_bruto,Años_datos,Año_anterior_seleccionado_C.2.4,Datos_periodo,Periodo_seleccionado_C.2.4)/1000</f>
        <v>202.471</v>
      </c>
      <c r="J18" s="218">
        <f t="shared" si="2"/>
        <v>-33.239328101308338</v>
      </c>
      <c r="K18" s="212"/>
      <c r="L18"/>
      <c r="M18"/>
      <c r="N18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2:60" ht="18" customHeight="1">
      <c r="B19" s="221"/>
      <c r="C19" s="221"/>
      <c r="D19" s="222"/>
      <c r="E19" s="222"/>
      <c r="F19" s="223"/>
      <c r="G19" s="223"/>
      <c r="H19" s="222"/>
      <c r="I19" s="222"/>
      <c r="J19" s="223"/>
      <c r="K19" s="212"/>
      <c r="L19"/>
      <c r="M19"/>
      <c r="N19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2:60" s="185" customFormat="1" ht="24.9" customHeight="1">
      <c r="B20" s="180" t="s">
        <v>54</v>
      </c>
      <c r="C20" s="56"/>
      <c r="D20" s="248">
        <f>SUMIFS(IS_bruto,Años_datos,Año_seleccionado_C.2.4,Mes_datos,Mes_seleccionado_C.2.4)/1000</f>
        <v>550.05799999999999</v>
      </c>
      <c r="E20" s="248">
        <f>SUMIFS(IS_bruto,Años_datos,Año_anterior_seleccionado_C.2.4,Mes_datos,Mes_seleccionado_C.2.4)/1000</f>
        <v>405.24599999999998</v>
      </c>
      <c r="F20" s="217">
        <f>IF(E20=0,"-",IF(ABS((D20-E20)/ABS(E20))*100&gt;=100,"-",IF(D20/E20&lt;0,"-",(D20-E20)/ABS(E20)*100)))</f>
        <v>35.734344077424581</v>
      </c>
      <c r="G20" s="218"/>
      <c r="H20" s="248">
        <f>SUMIFS(IS_bruto,Años_datos,Año_seleccionado_C.2.4,Datos_periodo,Periodo_seleccionado_C.2.4)/1000</f>
        <v>1458.346</v>
      </c>
      <c r="I20" s="248">
        <f>SUMIFS(IS_bruto,Años_datos,Año_anterior_seleccionado_C.2.4,Datos_periodo,Periodo_seleccionado_C.2.4)/1000</f>
        <v>1269.0219999999999</v>
      </c>
      <c r="J20" s="217">
        <f>IF(I20=0,"-",IF(ABS((H20-I20)/ABS(I20))*100&gt;=100,"-",IF(H20/I20&lt;0,"-",(H20-I20)/ABS(I20)*100)))</f>
        <v>14.918890295046113</v>
      </c>
      <c r="K20" s="212"/>
      <c r="L20"/>
      <c r="M20"/>
      <c r="N20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2:60" ht="21.9" customHeight="1">
      <c r="B21" s="193" t="s">
        <v>167</v>
      </c>
      <c r="C21" s="193"/>
      <c r="D21" s="266">
        <f>SUMIFS(IS_bruto_RDeclaracAnual,Años_datos,Año_seleccionado_C.2.4,Mes_datos,Mes_seleccionado_C.2.4)/1000</f>
        <v>173.34399999999999</v>
      </c>
      <c r="E21" s="266">
        <f>SUMIFS(IS_bruto_RDeclaracAnual,Años_datos,Año_anterior_seleccionado_C.2.4,Mes_datos,Mes_seleccionado_C.2.4)/1000</f>
        <v>193.023</v>
      </c>
      <c r="F21" s="218">
        <f>IF(E21=0,"-",IF(ABS((D21-E21)/ABS(E21))*100&gt;=100,"-",IF(D21/E21&lt;0,"-",(D21-E21)/ABS(E21)*100)))</f>
        <v>-10.195158089968555</v>
      </c>
      <c r="G21" s="218"/>
      <c r="H21" s="266">
        <f>SUMIFS(IS_bruto_RDeclaracAnual,Años_datos,Año_seleccionado_C.2.4,Datos_periodo,Periodo_seleccionado_C.2.4)/1000</f>
        <v>340.18099999999998</v>
      </c>
      <c r="I21" s="266">
        <f>SUMIFS(IS_bruto_RDeclaracAnual,Años_datos,Año_anterior_seleccionado_C.2.4,Datos_periodo,Periodo_seleccionado_C.2.4)/1000</f>
        <v>359.71499999999997</v>
      </c>
      <c r="J21" s="218">
        <f>IF(I21=0,"-",IF(ABS((H21-I21)/ABS(I21))*100&gt;=100,"-",IF(H21/I21&lt;0,"-",(H21-I21)/ABS(I21)*100)))</f>
        <v>-5.4304101858415672</v>
      </c>
      <c r="K21" s="212"/>
      <c r="L21"/>
      <c r="M21"/>
      <c r="N21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2:60" ht="21.9" customHeight="1">
      <c r="B22" s="193" t="s">
        <v>168</v>
      </c>
      <c r="C22" s="193"/>
      <c r="D22" s="266">
        <f>SUMIFS(IS_LiquidacAdmon_bruto,Años_datos,Año_seleccionado_C.2.4,Mes_datos,Mes_seleccionado_C.2.4)/1000</f>
        <v>168.911</v>
      </c>
      <c r="E22" s="266">
        <f>SUMIFS(IS_LiquidacAdmon_bruto,Años_datos,Año_anterior_seleccionado_C.2.4,Mes_datos,Mes_seleccionado_C.2.4)/1000</f>
        <v>79.05</v>
      </c>
      <c r="F22" s="218" t="str">
        <f>IF(E22=0,"-",IF(ABS((D22-E22)/ABS(E22))*100&gt;=100,"-",IF(D22/E22&lt;0,"-",(D22-E22)/ABS(E22)*100)))</f>
        <v>-</v>
      </c>
      <c r="G22" s="218"/>
      <c r="H22" s="266">
        <f>SUMIFS(IS_LiquidacAdmon_bruto,Años_datos,Año_seleccionado_C.2.4,Datos_periodo,Periodo_seleccionado_C.2.4)/1000</f>
        <v>222.191</v>
      </c>
      <c r="I22" s="266">
        <f>SUMIFS(IS_LiquidacAdmon_bruto,Años_datos,Año_anterior_seleccionado_C.2.4,Datos_periodo,Periodo_seleccionado_C.2.4)/1000</f>
        <v>157.65799999999999</v>
      </c>
      <c r="J22" s="218">
        <f>IF(I22=0,"-",IF(ABS((H22-I22)/ABS(I22))*100&gt;=100,"-",IF(H22/I22&lt;0,"-",(H22-I22)/ABS(I22)*100)))</f>
        <v>40.932271118497013</v>
      </c>
      <c r="K22" s="212"/>
      <c r="L22"/>
      <c r="M22"/>
      <c r="N2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2:60" ht="18" customHeight="1">
      <c r="B23" s="224"/>
      <c r="C23" s="224"/>
      <c r="D23" s="225"/>
      <c r="E23" s="225"/>
      <c r="F23" s="223"/>
      <c r="G23" s="223"/>
      <c r="H23" s="225"/>
      <c r="I23" s="225"/>
      <c r="J23" s="223"/>
      <c r="K23" s="212"/>
      <c r="L23"/>
      <c r="M23"/>
      <c r="N23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2:60" s="185" customFormat="1" ht="24.9" customHeight="1">
      <c r="B24" s="180" t="s">
        <v>85</v>
      </c>
      <c r="C24" s="56"/>
      <c r="D24" s="248">
        <f>SUMIFS(IVA_bruto,Años_datos,Año_seleccionado_C.2.4,Mes_datos,Mes_seleccionado_C.2.4)/1000</f>
        <v>17750.638999999999</v>
      </c>
      <c r="E24" s="248">
        <f>SUMIFS(IVA_bruto,Años_datos,Año_anterior_seleccionado_C.2.4,Mes_datos,Mes_seleccionado_C.2.4)/1000</f>
        <v>17350.026999999998</v>
      </c>
      <c r="F24" s="217">
        <f>IF(E24=0,"-",IF(ABS((D24-E24)/ABS(E24))*100&gt;=100,"-",IF(D24/E24&lt;0,"-",(D24-E24)/ABS(E24)*100)))</f>
        <v>2.3089992885890096</v>
      </c>
      <c r="G24" s="218"/>
      <c r="H24" s="248">
        <f>SUMIFS(IVA_bruto,Años_datos,Año_seleccionado_C.2.4,Datos_periodo,Periodo_seleccionado_C.2.4)/1000</f>
        <v>25209.171999999999</v>
      </c>
      <c r="I24" s="248">
        <f>SUMIFS(IVA_bruto,Años_datos,Año_anterior_seleccionado_C.2.4,Datos_periodo,Periodo_seleccionado_C.2.4)/1000</f>
        <v>24690.028999999999</v>
      </c>
      <c r="J24" s="217">
        <f>IF(I24=0,"-",IF(ABS((H24-I24)/ABS(I24))*100&gt;=100,"-",IF(H24/I24&lt;0,"-",(H24-I24)/ABS(I24)*100)))</f>
        <v>2.1026423257745064</v>
      </c>
      <c r="K24" s="212"/>
      <c r="L24"/>
      <c r="M24"/>
      <c r="N24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2:60" ht="21.9" customHeight="1">
      <c r="B25" s="193" t="s">
        <v>169</v>
      </c>
      <c r="C25" s="193"/>
      <c r="D25" s="266">
        <f>SUMIFS(IVA_importaciones_bruto,Años_datos,Año_seleccionado_C.2.4,Mes_datos,Mes_seleccionado_C.2.4)/1000</f>
        <v>1491.902</v>
      </c>
      <c r="E25" s="266">
        <f>SUMIFS(IVA_importaciones_bruto,Años_datos,Año_anterior_seleccionado_C.2.4,Mes_datos,Mes_seleccionado_C.2.4)/1000</f>
        <v>1804.604</v>
      </c>
      <c r="F25" s="27">
        <f>IF(E25=0,"-",IF(ABS((D25-E25)/ABS(E25))*100&gt;=100,"-",IF(D25/E25&lt;0,"-",(D25-E25)/ABS(E25)*100)))</f>
        <v>-17.328012128976773</v>
      </c>
      <c r="G25" s="27"/>
      <c r="H25" s="266">
        <f>SUMIFS(IVA_importaciones_bruto,Años_datos,Año_seleccionado_C.2.4,Datos_periodo,Periodo_seleccionado_C.2.4)/1000</f>
        <v>3429.29</v>
      </c>
      <c r="I25" s="266">
        <f>SUMIFS(IVA_importaciones_bruto,Años_datos,Año_anterior_seleccionado_C.2.4,Datos_periodo,Periodo_seleccionado_C.2.4)/1000</f>
        <v>3937.422</v>
      </c>
      <c r="J25" s="218">
        <f>IF(I25=0,"-",IF(ABS((H25-I25)/ABS(I25))*100&gt;=100,"-",IF(H25/I25&lt;0,"-",(H25-I25)/ABS(I25)*100)))</f>
        <v>-12.905195328313807</v>
      </c>
      <c r="K25" s="212"/>
      <c r="L25"/>
      <c r="M25"/>
      <c r="N25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2:60" ht="21.9" customHeight="1">
      <c r="B26" s="193" t="s">
        <v>170</v>
      </c>
      <c r="C26" s="193"/>
      <c r="D26" s="266">
        <f>SUMIFS(IVA_grandes_empresas,Años_datos,Año_seleccionado_C.2.4,Mes_datos,Mes_seleccionado_C.2.4)/1000</f>
        <v>6937.8360000000002</v>
      </c>
      <c r="E26" s="266">
        <f>SUMIFS(IVA_grandes_empresas,Años_datos,Año_anterior_seleccionado_C.2.4,Mes_datos,Mes_seleccionado_C.2.4)/1000</f>
        <v>6652.9740000000002</v>
      </c>
      <c r="F26" s="27">
        <f>IF(E26=0,"-",IF(ABS((D26-E26)/ABS(E26))*100&gt;=100,"-",IF(D26/E26&lt;0,"-",(D26-E26)/ABS(E26)*100)))</f>
        <v>4.2817242334029872</v>
      </c>
      <c r="G26" s="27"/>
      <c r="H26" s="266">
        <f>SUMIFS(IVA_grandes_empresas,Años_datos,Año_seleccionado_C.2.4,Datos_periodo,Periodo_seleccionado_C.2.4)/1000</f>
        <v>11446.183000000001</v>
      </c>
      <c r="I26" s="266">
        <f>SUMIFS(IVA_grandes_empresas,Años_datos,Año_anterior_seleccionado_C.2.4,Datos_periodo,Periodo_seleccionado_C.2.4)/1000</f>
        <v>10904.142</v>
      </c>
      <c r="J26" s="218">
        <f>IF(I26=0,"-",IF(ABS((H26-I26)/ABS(I26))*100&gt;=100,"-",IF(H26/I26&lt;0,"-",(H26-I26)/ABS(I26)*100)))</f>
        <v>4.9709642445962379</v>
      </c>
      <c r="K26" s="212"/>
      <c r="L26"/>
      <c r="M26"/>
      <c r="N26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2:60" ht="21.9" customHeight="1">
      <c r="B27" s="193" t="s">
        <v>171</v>
      </c>
      <c r="C27" s="193"/>
      <c r="D27" s="266">
        <f>SUMIFS(IVA_pymes,Años_datos,Año_seleccionado_C.2.4,Mes_datos,Mes_seleccionado_C.2.4)/1000</f>
        <v>8697.9699999999993</v>
      </c>
      <c r="E27" s="266">
        <f>SUMIFS(IVA_pymes,Años_datos,Año_anterior_seleccionado_C.2.4,Mes_datos,Mes_seleccionado_C.2.4)/1000</f>
        <v>8409.74</v>
      </c>
      <c r="F27" s="27">
        <f>IF(E27=0,"-",IF(ABS((D27-E27)/ABS(E27))*100&gt;=100,"-",IF(D27/E27&lt;0,"-",(D27-E27)/ABS(E27)*100)))</f>
        <v>3.4273354467557802</v>
      </c>
      <c r="G27" s="27"/>
      <c r="H27" s="266">
        <f>SUMIFS(IVA_pymes,Años_datos,Año_seleccionado_C.2.4,Datos_periodo,Periodo_seleccionado_C.2.4)/1000</f>
        <v>9161.6470000000008</v>
      </c>
      <c r="I27" s="266">
        <f>SUMIFS(IVA_pymes,Años_datos,Año_anterior_seleccionado_C.2.4,Datos_periodo,Periodo_seleccionado_C.2.4)/1000</f>
        <v>8855.348</v>
      </c>
      <c r="J27" s="218">
        <f>IF(I27=0,"-",IF(ABS((H27-I27)/ABS(I27))*100&gt;=100,"-",IF(H27/I27&lt;0,"-",(H27-I27)/ABS(I27)*100)))</f>
        <v>3.4589154486080154</v>
      </c>
      <c r="K27" s="212"/>
      <c r="L27"/>
      <c r="M27"/>
      <c r="N27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2:60" ht="21.9" customHeight="1">
      <c r="B28" s="193" t="s">
        <v>172</v>
      </c>
      <c r="C28" s="193"/>
      <c r="D28" s="266">
        <f>SUMIFS(IVA_bruto_otros_ingresos,Años_datos,Año_seleccionado_C.2.4,Mes_datos,Mes_seleccionado_C.2.4)/1000</f>
        <v>622.93100000000004</v>
      </c>
      <c r="E28" s="266">
        <f>SUMIFS(IVA_bruto_otros_ingresos,Años_datos,Año_anterior_seleccionado_C.2.4,Mes_datos,Mes_seleccionado_C.2.4)/1000</f>
        <v>482.709</v>
      </c>
      <c r="F28" s="27">
        <f>IF(E28=0,"-",IF(ABS((D28-E28)/ABS(E28))*100&gt;=100,"-",IF(D28/E28&lt;0,"-",(D28-E28)/ABS(E28)*100)))</f>
        <v>29.048971533574065</v>
      </c>
      <c r="G28" s="27"/>
      <c r="H28" s="266">
        <f>SUMIFS(IVA_bruto_otros_ingresos,Años_datos,Año_seleccionado_C.2.4,Datos_periodo,Periodo_seleccionado_C.2.4)/1000</f>
        <v>1172.0519999999999</v>
      </c>
      <c r="I28" s="266">
        <f>SUMIFS(IVA_bruto_otros_ingresos,Años_datos,Año_anterior_seleccionado_C.2.4,Datos_periodo,Periodo_seleccionado_C.2.4)/1000</f>
        <v>993.11699999999996</v>
      </c>
      <c r="J28" s="218">
        <f>IF(I28=0,"-",IF(ABS((H28-I28)/ABS(I28))*100&gt;=100,"-",IF(H28/I28&lt;0,"-",(H28-I28)/ABS(I28)*100)))</f>
        <v>18.017514552665993</v>
      </c>
      <c r="K28" s="212"/>
      <c r="L28"/>
      <c r="M28"/>
      <c r="N28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2:60" ht="18" customHeight="1">
      <c r="B29" s="53"/>
      <c r="C29" s="53"/>
      <c r="D29" s="53"/>
      <c r="E29" s="53"/>
      <c r="F29" s="53"/>
      <c r="G29" s="53"/>
      <c r="H29" s="53"/>
      <c r="I29" s="53"/>
      <c r="J29" s="53"/>
      <c r="K29" s="212"/>
      <c r="L29"/>
      <c r="M29"/>
      <c r="N29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2:60" s="185" customFormat="1" ht="24.9" customHeight="1">
      <c r="B30" s="180" t="s">
        <v>61</v>
      </c>
      <c r="C30" s="56"/>
      <c r="D30" s="248">
        <f>SUMIFS(IIEE_bruto_total,Años_datos,Año_seleccionado_C.2.4,Mes_datos,Mes_seleccionado_C.2.4)/1000</f>
        <v>1815.194</v>
      </c>
      <c r="E30" s="248">
        <f>SUMIFS(IIEE_bruto_total,Años_datos,Año_anterior_seleccionado_C.2.4,Mes_datos,Mes_seleccionado_C.2.4)/1000</f>
        <v>1461.4010000000001</v>
      </c>
      <c r="F30" s="217">
        <f t="shared" ref="F30:F38" si="3">IF(E30=0,"-",IF(ABS((D30-E30)/ABS(E30))*100&gt;=100,"-",IF(D30/E30&lt;0,"-",(D30-E30)/ABS(E30)*100)))</f>
        <v>24.209166409493346</v>
      </c>
      <c r="G30" s="218"/>
      <c r="H30" s="248">
        <f>SUMIFS(IIEE_bruto_total,Años_datos,Año_seleccionado_C.2.4,Datos_periodo,Periodo_seleccionado_C.2.4)/1000</f>
        <v>3468.462</v>
      </c>
      <c r="I30" s="248">
        <f>SUMIFS(IIEE_bruto_total,Años_datos,Año_anterior_seleccionado_C.2.4,Datos_periodo,Periodo_seleccionado_C.2.4)/1000</f>
        <v>3140.1750000000002</v>
      </c>
      <c r="J30" s="217">
        <f t="shared" ref="J30:J38" si="4">IF(I30=0,"-",IF(ABS((H30-I30)/ABS(I30))*100&gt;=100,"-",IF(H30/I30&lt;0,"-",(H30-I30)/ABS(I30)*100)))</f>
        <v>10.454417349351543</v>
      </c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2:60" s="185" customFormat="1" ht="21.75" customHeight="1">
      <c r="B31" s="193" t="s">
        <v>173</v>
      </c>
      <c r="C31" s="56"/>
      <c r="D31" s="266">
        <f>SUMIFS(IIEE_bruto_alcohol,Años_datos,Año_seleccionado_C.2.4,Mes_datos,Mes_seleccionado_C.2.4)/1000</f>
        <v>97.04</v>
      </c>
      <c r="E31" s="266">
        <f>SUMIFS(IIEE_bruto_alcohol,Años_datos,Año_anterior_seleccionado_C.2.4,Mes_datos,Mes_seleccionado_C.2.4)/1000</f>
        <v>100.601</v>
      </c>
      <c r="F31" s="27">
        <f t="shared" si="3"/>
        <v>-3.5397262452659444</v>
      </c>
      <c r="G31" s="27"/>
      <c r="H31" s="266">
        <f>SUMIFS(IIEE_bruto_alcohol,Años_datos,Año_seleccionado_C.2.4,Datos_periodo,Periodo_seleccionado_C.2.4)/1000</f>
        <v>162.30199999999999</v>
      </c>
      <c r="I31" s="266">
        <f>SUMIFS(IIEE_bruto_alcohol,Años_datos,Año_anterior_seleccionado_C.2.4,Datos_periodo,Periodo_seleccionado_C.2.4)/1000</f>
        <v>164.94200000000001</v>
      </c>
      <c r="J31" s="182">
        <f t="shared" si="4"/>
        <v>-1.600562622012595</v>
      </c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2:60" s="185" customFormat="1" ht="21.75" customHeight="1">
      <c r="B32" s="193" t="s">
        <v>174</v>
      </c>
      <c r="C32" s="56"/>
      <c r="D32" s="266">
        <f>SUMIFS(IIEE_bruto_cerveza,Años_datos,Año_seleccionado_C.2.4,Mes_datos,Mes_seleccionado_C.2.4)/1000</f>
        <v>28.626000000000001</v>
      </c>
      <c r="E32" s="266">
        <f>SUMIFS(IIEE_bruto_cerveza,Años_datos,Año_anterior_seleccionado_C.2.4,Mes_datos,Mes_seleccionado_C.2.4)/1000</f>
        <v>29.626999999999999</v>
      </c>
      <c r="F32" s="27">
        <f t="shared" si="3"/>
        <v>-3.3786748573935861</v>
      </c>
      <c r="G32" s="27"/>
      <c r="H32" s="266">
        <f>SUMIFS(IIEE_bruto_cerveza,Años_datos,Año_seleccionado_C.2.4,Datos_periodo,Periodo_seleccionado_C.2.4)/1000</f>
        <v>58.134999999999998</v>
      </c>
      <c r="I32" s="266">
        <f>SUMIFS(IIEE_bruto_cerveza,Años_datos,Año_anterior_seleccionado_C.2.4,Datos_periodo,Periodo_seleccionado_C.2.4)/1000</f>
        <v>57.3</v>
      </c>
      <c r="J32" s="182">
        <f t="shared" si="4"/>
        <v>1.4572425828970348</v>
      </c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2:60" s="185" customFormat="1" ht="21.75" customHeight="1">
      <c r="B33" s="193" t="s">
        <v>175</v>
      </c>
      <c r="C33" s="56"/>
      <c r="D33" s="266">
        <f>SUMIFS(IIEE_bruto_hidrocarburos,Años_datos,Año_seleccionado_C.2.4,Mes_datos,Mes_seleccionado_C.2.4)/1000</f>
        <v>967.88400000000001</v>
      </c>
      <c r="E33" s="266">
        <f>SUMIFS(IIEE_bruto_hidrocarburos,Años_datos,Año_anterior_seleccionado_C.2.4,Mes_datos,Mes_seleccionado_C.2.4)/1000</f>
        <v>853.85500000000002</v>
      </c>
      <c r="F33" s="27">
        <f t="shared" si="3"/>
        <v>13.354609389182004</v>
      </c>
      <c r="G33" s="27"/>
      <c r="H33" s="266">
        <f>SUMIFS(IIEE_bruto_hidrocarburos,Años_datos,Año_seleccionado_C.2.4,Datos_periodo,Periodo_seleccionado_C.2.4)/1000</f>
        <v>1965.36</v>
      </c>
      <c r="I33" s="266">
        <f>SUMIFS(IIEE_bruto_hidrocarburos,Años_datos,Año_anterior_seleccionado_C.2.4,Datos_periodo,Periodo_seleccionado_C.2.4)/1000</f>
        <v>1924.097</v>
      </c>
      <c r="J33" s="182">
        <f t="shared" si="4"/>
        <v>2.1445384510240348</v>
      </c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2:60" s="185" customFormat="1" ht="21.75" customHeight="1">
      <c r="B34" s="193" t="s">
        <v>176</v>
      </c>
      <c r="C34" s="56"/>
      <c r="D34" s="266">
        <f>SUMIFS(IIEE_bruto_tabaco,Años_datos,Año_seleccionado_C.2.4,Mes_datos,Mes_seleccionado_C.2.4)/1000</f>
        <v>592.99800000000005</v>
      </c>
      <c r="E34" s="266">
        <f>SUMIFS(IIEE_bruto_tabaco,Años_datos,Año_anterior_seleccionado_C.2.4,Mes_datos,Mes_seleccionado_C.2.4)/1000</f>
        <v>415.44200000000001</v>
      </c>
      <c r="F34" s="27">
        <f t="shared" si="3"/>
        <v>42.739058641158103</v>
      </c>
      <c r="G34" s="27"/>
      <c r="H34" s="266">
        <f>SUMIFS(IIEE_bruto_tabaco,Años_datos,Año_seleccionado_C.2.4,Datos_periodo,Periodo_seleccionado_C.2.4)/1000</f>
        <v>1070.817</v>
      </c>
      <c r="I34" s="266">
        <f>SUMIFS(IIEE_bruto_tabaco,Años_datos,Año_anterior_seleccionado_C.2.4,Datos_periodo,Periodo_seleccionado_C.2.4)/1000</f>
        <v>901.26300000000003</v>
      </c>
      <c r="J34" s="182">
        <f t="shared" si="4"/>
        <v>18.812932518033023</v>
      </c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2:60" s="185" customFormat="1" ht="21.75" customHeight="1">
      <c r="B35" s="193" t="s">
        <v>177</v>
      </c>
      <c r="C35" s="56"/>
      <c r="D35" s="266">
        <f>SUMIFS(IIEE_bruto_electricidad,Años_datos,Año_seleccionado_C.2.4,Mes_datos,Mes_seleccionado_C.2.4)/1000</f>
        <v>67.638000000000005</v>
      </c>
      <c r="E35" s="266">
        <f>SUMIFS(IIEE_bruto_electricidad,Años_datos,Año_anterior_seleccionado_C.2.4,Mes_datos,Mes_seleccionado_C.2.4)/1000</f>
        <v>16.539000000000001</v>
      </c>
      <c r="F35" s="27" t="str">
        <f t="shared" si="3"/>
        <v>-</v>
      </c>
      <c r="G35" s="27"/>
      <c r="H35" s="266">
        <f>SUMIFS(IIEE_bruto_electricidad,Años_datos,Año_seleccionado_C.2.4,Datos_periodo,Periodo_seleccionado_C.2.4)/1000</f>
        <v>82.575000000000003</v>
      </c>
      <c r="I35" s="266">
        <f>SUMIFS(IIEE_bruto_electricidad,Años_datos,Año_anterior_seleccionado_C.2.4,Datos_periodo,Periodo_seleccionado_C.2.4)/1000</f>
        <v>34.582000000000001</v>
      </c>
      <c r="J35" s="182" t="str">
        <f t="shared" si="4"/>
        <v>-</v>
      </c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2:60" s="185" customFormat="1" ht="21.75" customHeight="1">
      <c r="B36" s="193" t="s">
        <v>624</v>
      </c>
      <c r="C36" s="56"/>
      <c r="D36" s="266">
        <f>SUMIFS(IIEE_bruto_plasticos,Años_datos,Año_seleccionado_C.2.4,Mes_datos,Mes_seleccionado_C.2.4)/1000</f>
        <v>54.026000000000003</v>
      </c>
      <c r="E36" s="266">
        <f>SUMIFS(IIEE_bruto_plasticos,Años_datos,Año_anterior_seleccionado_C.2.4,Mes_datos,Mes_seleccionado_C.2.4)/1000</f>
        <v>41.481999999999999</v>
      </c>
      <c r="F36" s="27">
        <f t="shared" ref="F36" si="5">IF(E36=0,"-",IF(ABS((D36-E36)/ABS(E36))*100&gt;=100,"-",IF(D36/E36&lt;0,"-",(D36-E36)/ABS(E36)*100)))</f>
        <v>30.239622004724954</v>
      </c>
      <c r="G36" s="27"/>
      <c r="H36" s="266">
        <f>SUMIFS(IIEE_bruto_plasticos,Años_datos,Año_seleccionado_C.2.4,Datos_periodo,Periodo_seleccionado_C.2.4)/1000</f>
        <v>111.19499999999999</v>
      </c>
      <c r="I36" s="266">
        <f>SUMIFS(IIEE_bruto_plasticos,Años_datos,Año_anterior_seleccionado_C.2.4,Datos_periodo,Periodo_seleccionado_C.2.4)/1000</f>
        <v>42.470999999999997</v>
      </c>
      <c r="J36" s="182" t="str">
        <f t="shared" ref="J36" si="6">IF(I36=0,"-",IF(ABS((H36-I36)/ABS(I36))*100&gt;=100,"-",IF(H36/I36&lt;0,"-",(H36-I36)/ABS(I36)*100)))</f>
        <v>-</v>
      </c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2:60" s="185" customFormat="1" ht="21.75" customHeight="1">
      <c r="B37" s="193" t="s">
        <v>178</v>
      </c>
      <c r="C37" s="56"/>
      <c r="D37" s="266">
        <f>SUMIFS(IIEE_bruto_carbon,Años_datos,Año_seleccionado_C.2.4,Mes_datos,Mes_seleccionado_C.2.4)/1000</f>
        <v>3.0019999999999998</v>
      </c>
      <c r="E37" s="266">
        <f>SUMIFS(IIEE_bruto_carbon,Años_datos,Año_anterior_seleccionado_C.2.4,Mes_datos,Mes_seleccionado_C.2.4)/1000</f>
        <v>0</v>
      </c>
      <c r="F37" s="27" t="str">
        <f t="shared" si="3"/>
        <v>-</v>
      </c>
      <c r="G37" s="27"/>
      <c r="H37" s="266">
        <f>SUMIFS(IIEE_bruto_carbon,Años_datos,Año_seleccionado_C.2.4,Datos_periodo,Periodo_seleccionado_C.2.4)/1000</f>
        <v>12.839</v>
      </c>
      <c r="I37" s="266">
        <f>SUMIFS(IIEE_bruto_carbon,Años_datos,Año_anterior_seleccionado_C.2.4,Datos_periodo,Periodo_seleccionado_C.2.4)/1000</f>
        <v>10.528</v>
      </c>
      <c r="J37" s="182">
        <f t="shared" si="4"/>
        <v>21.950987841945288</v>
      </c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2:60" s="185" customFormat="1" ht="21.75" customHeight="1">
      <c r="B38" s="193" t="s">
        <v>179</v>
      </c>
      <c r="C38" s="56"/>
      <c r="D38" s="266">
        <f>D30-SUM(D31:D37)</f>
        <v>3.9800000000000182</v>
      </c>
      <c r="E38" s="266">
        <f>E30-SUM(E31:E37)</f>
        <v>3.8550000000000182</v>
      </c>
      <c r="F38" s="27">
        <f t="shared" si="3"/>
        <v>3.2425421530479746</v>
      </c>
      <c r="G38" s="27"/>
      <c r="H38" s="266">
        <f>H30-SUM(H31:H37)</f>
        <v>5.2390000000000327</v>
      </c>
      <c r="I38" s="266">
        <f>I30-SUM(I31:I37)</f>
        <v>4.9920000000006439</v>
      </c>
      <c r="J38" s="182">
        <f t="shared" si="4"/>
        <v>4.9479166666537848</v>
      </c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2:60" ht="16.5" customHeight="1">
      <c r="B39" s="193"/>
      <c r="C39" s="193"/>
      <c r="D39" s="225"/>
      <c r="E39" s="225"/>
      <c r="F39" s="223"/>
      <c r="G39" s="223"/>
      <c r="H39" s="225"/>
      <c r="I39" s="225"/>
      <c r="J39" s="223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2:60" s="185" customFormat="1" ht="21.75" customHeight="1">
      <c r="B40" s="180" t="s">
        <v>180</v>
      </c>
      <c r="C40" s="56"/>
      <c r="D40" s="248">
        <f>D42-D11-D20-D24-D30</f>
        <v>1066.7990000000023</v>
      </c>
      <c r="E40" s="248">
        <f>E42-E11-E20-E24-E30</f>
        <v>1020.908000000001</v>
      </c>
      <c r="F40" s="217">
        <f>IF(E40=0,"-",IF(ABS((D40-E40)/ABS(E40))*100&gt;=100,"-",IF(D40/E40&lt;0,"-",(D40-E40)/ABS(E40)*100)))</f>
        <v>4.4951161123236538</v>
      </c>
      <c r="G40" s="218"/>
      <c r="H40" s="248">
        <f>H42-H11-H20-H24-H30</f>
        <v>2257.6939999999954</v>
      </c>
      <c r="I40" s="248">
        <f>I42-I11-I20-I24-I30</f>
        <v>2203.9610000000021</v>
      </c>
      <c r="J40" s="217">
        <f>IF(I40=0,"-",IF(ABS((H40-I40)/ABS(I40))*100&gt;=100,"-",IF(H40/I40&lt;0,"-",(H40-I40)/ABS(I40)*100)))</f>
        <v>2.4380195475325244</v>
      </c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2:60" ht="18" customHeight="1">
      <c r="B41" s="226"/>
      <c r="C41" s="226"/>
      <c r="D41" s="22"/>
      <c r="E41" s="22"/>
      <c r="F41" s="227"/>
      <c r="G41" s="227"/>
      <c r="H41" s="22"/>
      <c r="I41" s="22"/>
      <c r="J41" s="227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2:60" ht="25.2" customHeight="1">
      <c r="B42" s="187" t="s">
        <v>181</v>
      </c>
      <c r="C42" s="188"/>
      <c r="D42" s="256">
        <f>SUMIFS(Ingresos_totales_brutos,Años_datos,Año_seleccionado_C.2.4,Mes_datos,Mes_seleccionado_C.2.4)/1000</f>
        <v>29660.233</v>
      </c>
      <c r="E42" s="256">
        <f>SUMIFS(Ingresos_totales_brutos,Años_datos,Año_anterior_seleccionado_C.2.4,Mes_datos,Mes_seleccionado_C.2.4)/1000</f>
        <v>27904.526999999998</v>
      </c>
      <c r="F42" s="228">
        <f>IF(E42=0,"-",IF(ABS((D42-E42)/ABS(E42))*100&gt;=100,"-",IF(D42/E42&lt;0,"-",(D42-E42)/ABS(E42)*100)))</f>
        <v>6.291832146088705</v>
      </c>
      <c r="G42" s="218"/>
      <c r="H42" s="256">
        <f>SUMIFS(Ingresos_totales_brutos,Años_datos,Año_seleccionado_C.2.4,Datos_periodo,Periodo_seleccionado_C.2.4)/1000</f>
        <v>57999.735999999997</v>
      </c>
      <c r="I42" s="256">
        <f>SUMIFS(Ingresos_totales_brutos,Años_datos,Año_anterior_seleccionado_C.2.4,Datos_periodo,Periodo_seleccionado_C.2.4)/1000</f>
        <v>55055.411</v>
      </c>
      <c r="J42" s="228">
        <f>IF(I42=0,"-",IF(ABS((H42-I42)/ABS(I42))*100&gt;=100,"-",IF(H42/I42&lt;0,"-",(H42-I42)/ABS(I42)*100)))</f>
        <v>5.347930287905756</v>
      </c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2:60" ht="15" customHeight="1">
      <c r="B43" s="229"/>
      <c r="C43" s="229"/>
      <c r="D43" s="229"/>
      <c r="E43" s="229"/>
      <c r="F43" s="229"/>
      <c r="G43" s="229"/>
      <c r="H43" s="229"/>
      <c r="I43" s="229"/>
      <c r="J43" s="229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2:60" ht="15" customHeight="1">
      <c r="B44" s="229"/>
      <c r="C44" s="229"/>
      <c r="D44" s="229"/>
      <c r="E44" s="229"/>
      <c r="F44" s="229"/>
      <c r="G44" s="229"/>
      <c r="H44" s="229"/>
      <c r="I44" s="229"/>
      <c r="J44" s="229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2:60" ht="15" customHeight="1">
      <c r="B45" s="230"/>
      <c r="C45" s="230"/>
      <c r="D45" s="231"/>
      <c r="E45" s="231"/>
      <c r="F45" s="231"/>
      <c r="G45" s="231"/>
      <c r="H45" s="231"/>
      <c r="I45" s="231"/>
      <c r="J45" s="231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2:60" ht="15" customHeight="1">
      <c r="B46" s="232"/>
      <c r="C46" s="232"/>
      <c r="D46" s="232"/>
      <c r="E46" s="232"/>
      <c r="F46" s="232"/>
      <c r="G46" s="232"/>
      <c r="H46" s="232"/>
      <c r="I46" s="232"/>
      <c r="J46" s="23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2:60" ht="25.95" customHeight="1">
      <c r="B47" s="155" t="str">
        <f>CONCATENATE("TAX REVENUE MONTHLY REPORT. ",Mes_seleccionado_C.2.4," ",Año_seleccionado_C.2.4)</f>
        <v>TAX REVENUE MONTHLY REPORT. FEBRUARY 2024</v>
      </c>
      <c r="C47" s="233"/>
      <c r="D47" s="206"/>
      <c r="E47" s="206"/>
      <c r="F47" s="206"/>
      <c r="G47" s="206"/>
      <c r="H47" s="207"/>
      <c r="I47" s="207"/>
      <c r="J47" s="162" t="s">
        <v>234</v>
      </c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2:60" ht="14.25" hidden="1" customHeight="1">
      <c r="B48" s="163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2:60" ht="15" hidden="1">
      <c r="B49" s="163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2:60" ht="15" hidden="1"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2:60" ht="15" hidden="1"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2:60" ht="15" hidden="1">
      <c r="B52" s="212"/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2:60" ht="15" hidden="1"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2:60" ht="15" hidden="1">
      <c r="B54" s="212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2:60" ht="15" hidden="1"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2:60" ht="15" hidden="1">
      <c r="B56" s="212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2:60" ht="15" hidden="1">
      <c r="B57" s="212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2:60" ht="15" hidden="1">
      <c r="B58" s="212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2:60" ht="15" hidden="1">
      <c r="B59" s="212"/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2:60" ht="15" hidden="1">
      <c r="B60" s="212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2:60" ht="15" hidden="1">
      <c r="B61" s="212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2:60" ht="15" hidden="1"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2:60" ht="15" hidden="1"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2:60" ht="15" hidden="1"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2:60" ht="15" hidden="1"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2:60" ht="15" hidden="1"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2:60" ht="15" hidden="1"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2:60" ht="15" hidden="1"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2:60" ht="15" hidden="1"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2:60" ht="15" hidden="1"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2:60" ht="15" hidden="1">
      <c r="B71" s="212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2:60" ht="15" hidden="1"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2:60" ht="15" hidden="1">
      <c r="B73" s="212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2:60" ht="15" hidden="1">
      <c r="B74" s="212"/>
      <c r="C74" s="212"/>
      <c r="D74" s="212"/>
      <c r="E74" s="212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2:60" ht="15" hidden="1">
      <c r="B75" s="212"/>
      <c r="C75" s="212"/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2:60" ht="15" hidden="1">
      <c r="B76" s="212"/>
      <c r="C76" s="212"/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2:60" ht="15" hidden="1">
      <c r="B77" s="212"/>
      <c r="C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2:60" ht="15" hidden="1">
      <c r="B78" s="212"/>
      <c r="C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2:60" ht="15" hidden="1">
      <c r="B79" s="212"/>
      <c r="C79" s="212"/>
      <c r="D79" s="212"/>
      <c r="E79" s="212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2:60" ht="15" hidden="1">
      <c r="B80" s="212"/>
      <c r="C80" s="212"/>
      <c r="D80" s="212"/>
      <c r="E80" s="212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2:60" ht="15" hidden="1">
      <c r="B81" s="212"/>
      <c r="C81" s="212"/>
      <c r="D81" s="212"/>
      <c r="E81" s="212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2:60" ht="15" hidden="1"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2:60" ht="15" hidden="1"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2:60" ht="15" hidden="1">
      <c r="B84" s="212"/>
      <c r="C84" s="212"/>
      <c r="D84" s="212"/>
      <c r="E84" s="212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2:60" ht="15" hidden="1">
      <c r="B85" s="212"/>
      <c r="C85" s="212"/>
      <c r="D85" s="212"/>
      <c r="E85" s="212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2:60" ht="15" hidden="1">
      <c r="B86" s="212"/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2:60" ht="15" hidden="1">
      <c r="B87" s="212"/>
      <c r="C87" s="212"/>
      <c r="D87" s="212"/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  <c r="AA87" s="212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2:60" ht="15" hidden="1">
      <c r="B88" s="212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2:60" ht="15" hidden="1"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2:60" ht="15" hidden="1">
      <c r="B90" s="212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2:60" ht="15" hidden="1"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2:60" ht="15" hidden="1">
      <c r="B92" s="212"/>
      <c r="C92" s="212"/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2:60" ht="15" hidden="1">
      <c r="B93" s="212"/>
      <c r="C93" s="212"/>
      <c r="D93" s="212"/>
      <c r="E93" s="212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2:60" ht="15" hidden="1"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2:60" ht="15" hidden="1"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2:60" ht="15" hidden="1"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2:60" ht="15" hidden="1"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2:60" ht="15" hidden="1"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2:60" ht="15" hidden="1">
      <c r="B99" s="212"/>
      <c r="C99" s="212"/>
      <c r="D99" s="212"/>
      <c r="E99" s="212"/>
      <c r="F99" s="212"/>
      <c r="G99" s="212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2:60" ht="15" hidden="1">
      <c r="B100" s="212"/>
      <c r="C100" s="212"/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2:60" ht="15" hidden="1">
      <c r="B101" s="212"/>
      <c r="C101" s="212"/>
      <c r="D101" s="212"/>
      <c r="E101" s="212"/>
      <c r="F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2:60" ht="15" hidden="1"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2:60" ht="15" hidden="1">
      <c r="B103" s="212"/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2:60" ht="15" hidden="1">
      <c r="B104" s="212"/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2:60" ht="15" hidden="1"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2:60" ht="15" hidden="1">
      <c r="B106" s="212"/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2:60" ht="15" hidden="1">
      <c r="B107" s="212"/>
      <c r="C107" s="212"/>
      <c r="D107" s="212"/>
      <c r="E107" s="212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2:60" ht="15" hidden="1">
      <c r="B108" s="212"/>
      <c r="C108" s="212"/>
      <c r="D108" s="212"/>
      <c r="E108" s="212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2:60" ht="15" hidden="1">
      <c r="B109" s="212"/>
      <c r="C109" s="212"/>
      <c r="D109" s="212"/>
      <c r="E109" s="212"/>
      <c r="F109" s="212"/>
      <c r="G109" s="212"/>
      <c r="H109" s="212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12"/>
      <c r="AG109" s="212"/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2:60" ht="15" hidden="1">
      <c r="B110" s="212"/>
      <c r="C110" s="212"/>
      <c r="D110" s="212"/>
      <c r="E110" s="212"/>
      <c r="F110" s="212"/>
      <c r="G110" s="212"/>
      <c r="H110" s="212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2:60" ht="15" hidden="1">
      <c r="B111" s="212"/>
      <c r="C111" s="212"/>
      <c r="D111" s="212"/>
      <c r="E111" s="212"/>
      <c r="F111" s="212"/>
      <c r="G111" s="212"/>
      <c r="H111" s="212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212"/>
      <c r="AG111" s="212"/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2:60" ht="15" hidden="1">
      <c r="B112" s="212"/>
      <c r="C112" s="212"/>
      <c r="D112" s="212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2:60" ht="15" hidden="1">
      <c r="B113" s="212"/>
      <c r="C113" s="212"/>
      <c r="D113" s="212"/>
      <c r="E113" s="212"/>
      <c r="F113" s="212"/>
      <c r="G113" s="212"/>
      <c r="H113" s="21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212"/>
      <c r="AG113" s="212"/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2:60" ht="15" hidden="1">
      <c r="B114" s="212"/>
      <c r="C114" s="212"/>
      <c r="D114" s="212"/>
      <c r="E114" s="212"/>
      <c r="F114" s="212"/>
      <c r="G114" s="212"/>
      <c r="H114" s="21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2:60" ht="15" hidden="1">
      <c r="B115" s="212"/>
      <c r="C115" s="212"/>
      <c r="D115" s="212"/>
      <c r="E115" s="212"/>
      <c r="F115" s="212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2:60" ht="15" hidden="1">
      <c r="B116" s="212"/>
      <c r="C116" s="212"/>
      <c r="D116" s="212"/>
      <c r="E116" s="212"/>
      <c r="F116" s="212"/>
      <c r="G116" s="212"/>
      <c r="H116" s="212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2:60" ht="15" hidden="1">
      <c r="B117" s="212"/>
      <c r="C117" s="212"/>
      <c r="D117" s="212"/>
      <c r="E117" s="212"/>
      <c r="F117" s="212"/>
      <c r="G117" s="212"/>
      <c r="H117" s="212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2:60" ht="15" hidden="1">
      <c r="B118" s="212"/>
      <c r="C118" s="212"/>
      <c r="D118" s="212"/>
      <c r="E118" s="212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2:60" ht="15" hidden="1">
      <c r="B119" s="212"/>
      <c r="C119" s="212"/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2:60" ht="15" hidden="1">
      <c r="B120" s="212"/>
      <c r="C120" s="212"/>
      <c r="D120" s="212"/>
      <c r="E120" s="212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2:60" ht="15" hidden="1">
      <c r="B121" s="212"/>
      <c r="C121" s="212"/>
      <c r="D121" s="212"/>
      <c r="E121" s="212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2:60" ht="15" hidden="1"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2:60" ht="15" hidden="1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2:60" ht="15" hidden="1"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2:60" ht="15" hidden="1"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2:60" ht="15" hidden="1"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2:60" ht="15" hidden="1"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2:60" ht="15" hidden="1"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2:60" ht="15" hidden="1"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2:60" ht="15" hidden="1"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2:60" ht="15" hidden="1"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2:60" ht="15" hidden="1"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2:60" ht="15" hidden="1"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2:60" ht="15" hidden="1"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2:60" ht="15" hidden="1"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2:60" ht="15" hidden="1"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2:60" ht="15" hidden="1"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2:60" ht="15" hidden="1"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2:60" ht="15" hidden="1"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2:60" ht="15" hidden="1"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2:60" ht="15" hidden="1"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2:60" ht="15" hidden="1"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2:60" ht="15" hidden="1"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2:60" ht="15" hidden="1"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2:60" ht="15" hidden="1"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2:60" ht="15" hidden="1">
      <c r="B146" s="212"/>
      <c r="C146" s="212"/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2:60" ht="15" hidden="1"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2:60" ht="15" hidden="1">
      <c r="B148" s="212"/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2:60" ht="15" hidden="1">
      <c r="B149" s="212"/>
      <c r="C149" s="212"/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2:60" ht="15" hidden="1"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2:60" ht="15" hidden="1"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2:60" ht="15" hidden="1"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2:60" ht="15" hidden="1"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2:60" ht="15" hidden="1"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2:60" ht="15" hidden="1">
      <c r="B155" s="212"/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2:60" ht="15" hidden="1"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2:60" ht="15" hidden="1">
      <c r="B157" s="212"/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2:60" ht="15" hidden="1">
      <c r="B158" s="212"/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2:60" ht="15" hidden="1">
      <c r="B159" s="212"/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2:60" ht="15" hidden="1"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2:60" ht="15" hidden="1"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2:60" ht="15" hidden="1"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2:60" ht="15" hidden="1">
      <c r="B163" s="212"/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2:60" ht="15" hidden="1"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2:60" ht="15" hidden="1">
      <c r="B165" s="212"/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2:60" ht="15" hidden="1"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2:60" ht="15" hidden="1">
      <c r="B167" s="212"/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2:60" ht="15" hidden="1">
      <c r="B168" s="212"/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2:60" ht="15" hidden="1">
      <c r="B169" s="212"/>
      <c r="C169" s="212"/>
      <c r="D169" s="212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2:60" ht="15" hidden="1">
      <c r="B170" s="212"/>
      <c r="C170" s="212"/>
      <c r="D170" s="212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2:60" ht="15" hidden="1">
      <c r="B171" s="212"/>
      <c r="C171" s="212"/>
      <c r="D171" s="212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2:60" ht="15" hidden="1">
      <c r="B172" s="212"/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2:60" ht="15" hidden="1">
      <c r="B173" s="212"/>
      <c r="C173" s="212"/>
      <c r="D173" s="212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2:60" ht="15" hidden="1"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2:60" ht="15" hidden="1">
      <c r="B175" s="212"/>
      <c r="C175" s="212"/>
      <c r="D175" s="21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2:60" ht="15" hidden="1">
      <c r="B176" s="212"/>
      <c r="C176" s="212"/>
      <c r="D176" s="21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2:60" ht="15" hidden="1"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2:60" ht="15" hidden="1">
      <c r="B178" s="212"/>
      <c r="C178" s="212"/>
      <c r="D178" s="21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2:60" ht="15" hidden="1">
      <c r="B179" s="212"/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2:60" ht="15" hidden="1">
      <c r="B180" s="212"/>
      <c r="C180" s="212"/>
      <c r="D180" s="21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12"/>
      <c r="AE180" s="212"/>
      <c r="AF180" s="212"/>
      <c r="AG180" s="212"/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2:60" ht="15" hidden="1">
      <c r="B181" s="212"/>
      <c r="C181" s="212"/>
      <c r="D181" s="21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2:60" ht="15" hidden="1">
      <c r="B182" s="212"/>
      <c r="C182" s="212"/>
      <c r="D182" s="21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12"/>
      <c r="AE182" s="212"/>
      <c r="AF182" s="212"/>
      <c r="AG182" s="212"/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2:60" ht="15" hidden="1">
      <c r="B183" s="212"/>
      <c r="C183" s="212"/>
      <c r="D183" s="21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2:60" ht="15" hidden="1">
      <c r="B184" s="212"/>
      <c r="C184" s="212"/>
      <c r="D184" s="21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2"/>
      <c r="AG184" s="212"/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2:60" ht="15" hidden="1"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12"/>
      <c r="AG185" s="212"/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2:60" ht="15" hidden="1">
      <c r="B186" s="212"/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2"/>
      <c r="AG186" s="212"/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2:60" ht="15" hidden="1"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2:60" ht="15" hidden="1"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2:60" ht="15" hidden="1">
      <c r="B189" s="212"/>
      <c r="C189" s="212"/>
      <c r="D189" s="212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2:60" ht="15" hidden="1">
      <c r="B190" s="212"/>
      <c r="C190" s="212"/>
      <c r="D190" s="212"/>
      <c r="E190" s="212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2:60" ht="15" hidden="1">
      <c r="B191" s="212"/>
      <c r="C191" s="212"/>
      <c r="D191" s="212"/>
      <c r="E191" s="212"/>
      <c r="F191" s="212"/>
      <c r="G191" s="212"/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2:60" ht="15" hidden="1">
      <c r="B192" s="212"/>
      <c r="C192" s="212"/>
      <c r="D192" s="212"/>
      <c r="E192" s="212"/>
      <c r="F192" s="212"/>
      <c r="G192" s="212"/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2:60" ht="15" hidden="1">
      <c r="B193" s="212"/>
      <c r="C193" s="212"/>
      <c r="D193" s="212"/>
      <c r="E193" s="212"/>
      <c r="F193" s="212"/>
      <c r="G193" s="212"/>
      <c r="H193" s="212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2:60" ht="15" hidden="1">
      <c r="B194" s="212"/>
      <c r="C194" s="212"/>
      <c r="D194" s="212"/>
      <c r="E194" s="212"/>
      <c r="F194" s="212"/>
      <c r="G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2:60" ht="15" hidden="1"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2:60" ht="15" hidden="1"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2:60" ht="15" hidden="1">
      <c r="B197" s="212"/>
      <c r="C197" s="212"/>
      <c r="D197" s="212"/>
      <c r="E197" s="212"/>
      <c r="F197" s="212"/>
      <c r="G197" s="212"/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  <c r="AA197" s="212"/>
      <c r="AB197" s="212"/>
      <c r="AC197" s="212"/>
      <c r="AD197" s="212"/>
      <c r="AE197" s="212"/>
      <c r="AF197" s="212"/>
      <c r="AG197" s="212"/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2:60" ht="15" hidden="1">
      <c r="B198" s="212"/>
      <c r="C198" s="212"/>
      <c r="D198" s="212"/>
      <c r="E198" s="212"/>
      <c r="F198" s="212"/>
      <c r="G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2:60" ht="15" hidden="1">
      <c r="B199" s="212"/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2:60" ht="15" hidden="1"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2:60" ht="15" hidden="1"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2:60" ht="15" hidden="1">
      <c r="B202" s="212"/>
      <c r="C202" s="212"/>
      <c r="D202" s="212"/>
      <c r="E202" s="212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2:60" ht="15" hidden="1">
      <c r="B203" s="212"/>
      <c r="C203" s="212"/>
      <c r="D203" s="212"/>
      <c r="E203" s="212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2:60" ht="15" hidden="1">
      <c r="B204" s="212"/>
      <c r="C204" s="212"/>
      <c r="D204" s="212"/>
      <c r="E204" s="212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2:60" ht="15" hidden="1">
      <c r="B205" s="212"/>
      <c r="C205" s="212"/>
      <c r="D205" s="212"/>
      <c r="E205" s="212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2:60" ht="15" hidden="1">
      <c r="B206" s="212"/>
      <c r="C206" s="212"/>
      <c r="D206" s="212"/>
      <c r="E206" s="212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2:60" ht="15" hidden="1">
      <c r="B207" s="212"/>
      <c r="C207" s="212"/>
      <c r="D207" s="212"/>
      <c r="E207" s="212"/>
      <c r="F207" s="212"/>
      <c r="G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2:60" ht="15" hidden="1">
      <c r="B208" s="212"/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2:60" ht="15" hidden="1">
      <c r="B209" s="212"/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2:60" ht="15" hidden="1">
      <c r="B210" s="212"/>
      <c r="C210" s="212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2:60" ht="15" hidden="1">
      <c r="B211" s="212"/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2:60" ht="15" hidden="1"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2:60" ht="15" hidden="1"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2:60" ht="15" hidden="1">
      <c r="B214" s="212"/>
      <c r="C214" s="212"/>
      <c r="D214" s="212"/>
      <c r="E214" s="212"/>
      <c r="F214" s="212"/>
      <c r="G214" s="212"/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2:60" ht="15" hidden="1">
      <c r="B215" s="212"/>
      <c r="C215" s="212"/>
      <c r="D215" s="212"/>
      <c r="E215" s="212"/>
      <c r="F215" s="212"/>
      <c r="G215" s="212"/>
      <c r="H215" s="212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2:60" ht="15" hidden="1">
      <c r="B216" s="212"/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2:60" ht="15" hidden="1">
      <c r="B217" s="212"/>
      <c r="C217" s="212"/>
      <c r="D217" s="212"/>
      <c r="E217" s="212"/>
      <c r="F217" s="212"/>
      <c r="G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2:60" ht="15" hidden="1">
      <c r="B218" s="212"/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2:60" ht="15" hidden="1">
      <c r="B219" s="212"/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2:60" ht="15" hidden="1">
      <c r="B220" s="212"/>
      <c r="C220" s="212"/>
      <c r="D220" s="212"/>
      <c r="E220" s="212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2:60" ht="15" hidden="1">
      <c r="B221" s="212"/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2:60" ht="15" hidden="1">
      <c r="B222" s="212"/>
      <c r="C222" s="212"/>
      <c r="D222" s="212"/>
      <c r="E222" s="212"/>
      <c r="F222" s="212"/>
      <c r="G222" s="212"/>
      <c r="H222" s="212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2:60" ht="15" hidden="1"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2:60" ht="15" hidden="1">
      <c r="B224" s="212"/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2:60" ht="15" hidden="1">
      <c r="B225" s="212"/>
      <c r="C225" s="212"/>
      <c r="D225" s="212"/>
      <c r="E225" s="212"/>
      <c r="F225" s="212"/>
      <c r="G225" s="212"/>
      <c r="H225" s="212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2:60" ht="15" hidden="1"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2:60" ht="15" hidden="1">
      <c r="B227" s="212"/>
      <c r="C227" s="212"/>
      <c r="D227" s="212"/>
      <c r="E227" s="212"/>
      <c r="F227" s="212"/>
      <c r="G227" s="212"/>
      <c r="H227" s="212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2:60" ht="15" hidden="1">
      <c r="B228" s="212"/>
      <c r="C228" s="212"/>
      <c r="D228" s="212"/>
      <c r="E228" s="212"/>
      <c r="F228" s="212"/>
      <c r="G228" s="212"/>
      <c r="H228" s="212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2:60" ht="15" hidden="1">
      <c r="B229" s="212"/>
      <c r="C229" s="212"/>
      <c r="D229" s="212"/>
      <c r="E229" s="212"/>
      <c r="F229" s="212"/>
      <c r="G229" s="212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2:60" ht="15" hidden="1">
      <c r="B230" s="212"/>
      <c r="C230" s="212"/>
      <c r="D230" s="212"/>
      <c r="E230" s="212"/>
      <c r="F230" s="212"/>
      <c r="G230" s="212"/>
      <c r="H230" s="212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2:60" ht="15" hidden="1">
      <c r="B231" s="212"/>
      <c r="C231" s="212"/>
      <c r="D231" s="212"/>
      <c r="E231" s="212"/>
      <c r="F231" s="212"/>
      <c r="G231" s="212"/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2:60" ht="15" hidden="1">
      <c r="B232" s="212"/>
      <c r="C232" s="212"/>
      <c r="D232" s="212"/>
      <c r="E232" s="212"/>
      <c r="F232" s="212"/>
      <c r="G232" s="212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2:60" ht="15" hidden="1">
      <c r="B233" s="212"/>
      <c r="C233" s="212"/>
      <c r="D233" s="212"/>
      <c r="E233" s="212"/>
      <c r="F233" s="212"/>
      <c r="G233" s="212"/>
      <c r="H233" s="212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2:60" ht="15" hidden="1">
      <c r="B234" s="212"/>
      <c r="C234" s="212"/>
      <c r="D234" s="212"/>
      <c r="E234" s="212"/>
      <c r="F234" s="212"/>
      <c r="G234" s="212"/>
      <c r="H234" s="212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2:60" ht="15" hidden="1">
      <c r="B235" s="212"/>
      <c r="C235" s="212"/>
      <c r="D235" s="212"/>
      <c r="E235" s="212"/>
      <c r="F235" s="212"/>
      <c r="G235" s="212"/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2:60" ht="15" hidden="1">
      <c r="B236" s="212"/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2:60" ht="15" hidden="1">
      <c r="B237" s="212"/>
      <c r="C237" s="212"/>
      <c r="D237" s="212"/>
      <c r="E237" s="212"/>
      <c r="F237" s="212"/>
      <c r="G237" s="212"/>
      <c r="H237" s="212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2:60" ht="15" hidden="1">
      <c r="B238" s="212"/>
      <c r="C238" s="212"/>
      <c r="D238" s="212"/>
      <c r="E238" s="212"/>
      <c r="F238" s="212"/>
      <c r="G238" s="212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2:60" ht="15" hidden="1"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  <c r="AA239" s="212"/>
      <c r="AB239" s="212"/>
      <c r="AC239" s="212"/>
      <c r="AD239" s="212"/>
      <c r="AE239" s="212"/>
      <c r="AF239" s="212"/>
      <c r="AG239" s="212"/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2:60" ht="15" hidden="1">
      <c r="B240" s="212"/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2:60" ht="15" hidden="1">
      <c r="B241" s="212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2:60" ht="15" hidden="1">
      <c r="B242" s="212"/>
      <c r="C242" s="212"/>
      <c r="D242" s="212"/>
      <c r="E242" s="212"/>
      <c r="F242" s="212"/>
      <c r="G242" s="212"/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2:60" ht="15" hidden="1">
      <c r="B243" s="212"/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2:60" ht="15" hidden="1">
      <c r="B244" s="212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2:60" ht="15" hidden="1">
      <c r="B245" s="212"/>
      <c r="C245" s="212"/>
      <c r="D245" s="212"/>
      <c r="E245" s="212"/>
      <c r="F245" s="212"/>
      <c r="G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2:60" ht="15" hidden="1">
      <c r="B246" s="212"/>
      <c r="C246" s="212"/>
      <c r="D246" s="212"/>
      <c r="E246" s="212"/>
      <c r="F246" s="212"/>
      <c r="G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2:60" ht="15" hidden="1"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2:60" ht="15" hidden="1"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2:60" ht="15" hidden="1">
      <c r="B249" s="212"/>
      <c r="C249" s="212"/>
      <c r="D249" s="212"/>
      <c r="E249" s="212"/>
      <c r="F249" s="212"/>
      <c r="G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2:60" ht="15" hidden="1">
      <c r="B250" s="212"/>
      <c r="C250" s="212"/>
      <c r="D250" s="212"/>
      <c r="E250" s="212"/>
      <c r="F250" s="212"/>
      <c r="G250" s="212"/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2:60" ht="15" hidden="1">
      <c r="B251" s="212"/>
      <c r="C251" s="212"/>
      <c r="D251" s="212"/>
      <c r="E251" s="212"/>
      <c r="F251" s="212"/>
      <c r="G251" s="212"/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2:60" ht="15" hidden="1"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2:60" ht="15" hidden="1">
      <c r="B253" s="212"/>
      <c r="C253" s="212"/>
      <c r="D253" s="212"/>
      <c r="E253" s="212"/>
      <c r="F253" s="212"/>
      <c r="G253" s="212"/>
      <c r="H253" s="212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2:60" ht="15" hidden="1"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2:60" ht="15" hidden="1"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2:60" ht="15" hidden="1"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2:10" ht="15" hidden="1">
      <c r="B257" s="212"/>
      <c r="C257" s="212"/>
      <c r="D257" s="212"/>
      <c r="E257" s="212"/>
      <c r="F257" s="212"/>
      <c r="G257" s="212"/>
      <c r="H257" s="212"/>
      <c r="I257" s="212"/>
      <c r="J257" s="212"/>
    </row>
    <row r="258" spans="2:10" ht="15" hidden="1">
      <c r="B258" s="212"/>
      <c r="C258" s="212"/>
      <c r="D258" s="212"/>
      <c r="E258" s="212"/>
      <c r="F258" s="212"/>
      <c r="G258" s="212"/>
      <c r="H258" s="212"/>
      <c r="I258" s="212"/>
      <c r="J258" s="212"/>
    </row>
    <row r="259" spans="2:10" ht="15" hidden="1">
      <c r="B259" s="212"/>
      <c r="C259" s="212"/>
      <c r="D259" s="212"/>
      <c r="E259" s="212"/>
      <c r="F259" s="212"/>
      <c r="G259" s="212"/>
      <c r="H259" s="212"/>
      <c r="I259" s="212"/>
      <c r="J259" s="212"/>
    </row>
    <row r="260" spans="2:10" ht="15" hidden="1">
      <c r="B260" s="212"/>
      <c r="C260" s="212"/>
      <c r="D260" s="212"/>
      <c r="E260" s="212"/>
      <c r="F260" s="212"/>
      <c r="G260" s="212"/>
      <c r="H260" s="212"/>
      <c r="I260" s="212"/>
      <c r="J260" s="212"/>
    </row>
    <row r="261" spans="2:10" ht="15" hidden="1">
      <c r="B261" s="212"/>
      <c r="C261" s="212"/>
      <c r="D261" s="212"/>
      <c r="E261" s="212"/>
      <c r="F261" s="212"/>
      <c r="G261" s="212"/>
      <c r="H261" s="212"/>
      <c r="I261" s="212"/>
      <c r="J261" s="212"/>
    </row>
    <row r="262" spans="2:10" ht="15" hidden="1">
      <c r="B262" s="212"/>
      <c r="C262" s="212"/>
      <c r="D262" s="212"/>
      <c r="E262" s="212"/>
      <c r="F262" s="212"/>
      <c r="G262" s="212"/>
      <c r="H262" s="212"/>
      <c r="I262" s="212"/>
      <c r="J262" s="212"/>
    </row>
    <row r="263" spans="2:10" ht="15" hidden="1">
      <c r="B263" s="212"/>
      <c r="C263" s="212"/>
      <c r="D263" s="212"/>
      <c r="E263" s="212"/>
      <c r="F263" s="212"/>
      <c r="G263" s="212"/>
      <c r="H263" s="212"/>
      <c r="I263" s="212"/>
      <c r="J263" s="212"/>
    </row>
    <row r="264" spans="2:10" ht="15" hidden="1">
      <c r="B264" s="212"/>
      <c r="C264" s="212"/>
      <c r="D264" s="212"/>
      <c r="E264" s="212"/>
      <c r="F264" s="212"/>
      <c r="G264" s="212"/>
      <c r="H264" s="212"/>
      <c r="I264" s="212"/>
      <c r="J264" s="212"/>
    </row>
    <row r="265" spans="2:10" ht="12.6" hidden="1">
      <c r="H265" s="65"/>
      <c r="I265" s="65"/>
      <c r="J265" s="65"/>
    </row>
    <row r="266" spans="2:10" ht="12.6" hidden="1">
      <c r="H266" s="65"/>
      <c r="I266" s="65"/>
      <c r="J266" s="65"/>
    </row>
    <row r="267" spans="2:10" ht="12.6" hidden="1">
      <c r="H267" s="65"/>
      <c r="I267" s="65"/>
      <c r="J267" s="65"/>
    </row>
    <row r="268" spans="2:10" ht="12.6" hidden="1">
      <c r="H268" s="65"/>
      <c r="I268" s="65"/>
      <c r="J268" s="65"/>
    </row>
    <row r="269" spans="2:10" ht="12.6" hidden="1">
      <c r="H269" s="65"/>
      <c r="I269" s="65"/>
      <c r="J269" s="65"/>
    </row>
    <row r="270" spans="2:10" ht="12.6" hidden="1">
      <c r="H270" s="65"/>
      <c r="I270" s="65"/>
      <c r="J270" s="65"/>
    </row>
    <row r="271" spans="2:10" ht="12.6" hidden="1">
      <c r="H271" s="65"/>
      <c r="I271" s="65"/>
      <c r="J271" s="65"/>
    </row>
    <row r="272" spans="2:10" ht="12.6" hidden="1">
      <c r="H272" s="65"/>
      <c r="I272" s="65"/>
      <c r="J272" s="65"/>
    </row>
    <row r="273" spans="8:10" ht="12.6" hidden="1">
      <c r="H273" s="65"/>
      <c r="I273" s="65"/>
      <c r="J273" s="65"/>
    </row>
    <row r="274" spans="8:10" ht="12.6" hidden="1">
      <c r="H274" s="65"/>
      <c r="I274" s="65"/>
      <c r="J274" s="65"/>
    </row>
    <row r="275" spans="8:10" ht="12.6" hidden="1">
      <c r="H275" s="65"/>
      <c r="I275" s="65"/>
      <c r="J275" s="65"/>
    </row>
    <row r="276" spans="8:10" ht="12.6" hidden="1">
      <c r="H276" s="65"/>
      <c r="I276" s="65"/>
      <c r="J276" s="65"/>
    </row>
    <row r="277" spans="8:10" ht="12.6" hidden="1">
      <c r="H277" s="65"/>
      <c r="I277" s="65"/>
      <c r="J277" s="65"/>
    </row>
    <row r="278" spans="8:10" ht="12.6" hidden="1">
      <c r="H278" s="65"/>
      <c r="I278" s="65"/>
      <c r="J278" s="65"/>
    </row>
    <row r="279" spans="8:10" ht="12.6" hidden="1">
      <c r="H279" s="65"/>
      <c r="I279" s="65"/>
      <c r="J279" s="65"/>
    </row>
    <row r="280" spans="8:10" ht="12.6" hidden="1">
      <c r="H280" s="65"/>
      <c r="I280" s="65"/>
      <c r="J280" s="65"/>
    </row>
    <row r="281" spans="8:10" ht="12.6" hidden="1">
      <c r="H281" s="65"/>
      <c r="I281" s="65"/>
      <c r="J281" s="65"/>
    </row>
    <row r="282" spans="8:10" ht="12.6" hidden="1">
      <c r="H282" s="65"/>
      <c r="I282" s="65"/>
      <c r="J282" s="65"/>
    </row>
    <row r="283" spans="8:10" ht="12.6" hidden="1">
      <c r="H283" s="65"/>
      <c r="I283" s="65"/>
      <c r="J283" s="65"/>
    </row>
    <row r="284" spans="8:10" ht="12.6" hidden="1">
      <c r="H284" s="65"/>
      <c r="I284" s="65"/>
      <c r="J284" s="65"/>
    </row>
    <row r="285" spans="8:10" ht="12.6" hidden="1">
      <c r="H285" s="65"/>
      <c r="I285" s="65"/>
      <c r="J285" s="65"/>
    </row>
    <row r="286" spans="8:10" ht="12.6" hidden="1">
      <c r="H286" s="65"/>
      <c r="I286" s="65"/>
      <c r="J286" s="65"/>
    </row>
    <row r="287" spans="8:10" ht="12.6" hidden="1">
      <c r="H287" s="65"/>
      <c r="I287" s="65"/>
      <c r="J287" s="65"/>
    </row>
    <row r="288" spans="8:10" ht="12.6" hidden="1">
      <c r="H288" s="65"/>
      <c r="I288" s="65"/>
      <c r="J288" s="65"/>
    </row>
    <row r="289" spans="8:10" ht="12.6" hidden="1">
      <c r="H289" s="65"/>
      <c r="I289" s="65"/>
      <c r="J289" s="65"/>
    </row>
    <row r="290" spans="8:10" ht="12.6" hidden="1">
      <c r="H290" s="65"/>
      <c r="I290" s="65"/>
      <c r="J290" s="65"/>
    </row>
    <row r="291" spans="8:10" ht="12.6" hidden="1">
      <c r="H291" s="65"/>
      <c r="I291" s="65"/>
      <c r="J291" s="65"/>
    </row>
    <row r="292" spans="8:10" ht="12.6" hidden="1">
      <c r="H292" s="65"/>
      <c r="I292" s="65"/>
      <c r="J292" s="65"/>
    </row>
    <row r="293" spans="8:10" ht="12.6" hidden="1">
      <c r="H293" s="65"/>
      <c r="I293" s="65"/>
      <c r="J293" s="65"/>
    </row>
    <row r="294" spans="8:10" ht="12.6" hidden="1">
      <c r="H294" s="65"/>
      <c r="I294" s="65"/>
      <c r="J294" s="65"/>
    </row>
    <row r="295" spans="8:10" ht="12.6" hidden="1">
      <c r="H295" s="65"/>
      <c r="I295" s="65"/>
      <c r="J295" s="65"/>
    </row>
    <row r="296" spans="8:10" ht="12.6" hidden="1">
      <c r="H296" s="65"/>
      <c r="I296" s="65"/>
      <c r="J296" s="65"/>
    </row>
    <row r="297" spans="8:10" ht="12.6" hidden="1">
      <c r="H297" s="65"/>
      <c r="I297" s="65"/>
      <c r="J297" s="65"/>
    </row>
    <row r="298" spans="8:10" ht="12.6" hidden="1">
      <c r="H298" s="65"/>
      <c r="I298" s="65"/>
      <c r="J298" s="65"/>
    </row>
    <row r="299" spans="8:10" ht="12.6" hidden="1">
      <c r="H299" s="65"/>
      <c r="I299" s="65"/>
      <c r="J299" s="65"/>
    </row>
    <row r="300" spans="8:10" ht="12.6" hidden="1">
      <c r="H300" s="65"/>
      <c r="I300" s="65"/>
      <c r="J300" s="65"/>
    </row>
    <row r="301" spans="8:10" ht="12.6" hidden="1">
      <c r="H301" s="65"/>
      <c r="I301" s="65"/>
      <c r="J301" s="65"/>
    </row>
    <row r="302" spans="8:10" ht="12.6" hidden="1">
      <c r="H302" s="65"/>
      <c r="I302" s="65"/>
      <c r="J302" s="65"/>
    </row>
    <row r="303" spans="8:10" ht="12.6" hidden="1">
      <c r="H303" s="65"/>
      <c r="I303" s="65"/>
      <c r="J303" s="65"/>
    </row>
    <row r="304" spans="8:10" ht="12.6" hidden="1">
      <c r="H304" s="65"/>
      <c r="I304" s="65"/>
      <c r="J304" s="65"/>
    </row>
    <row r="305" spans="8:10" ht="12.6" hidden="1">
      <c r="H305" s="65"/>
      <c r="I305" s="65"/>
      <c r="J305" s="65"/>
    </row>
    <row r="306" spans="8:10" ht="12.6" hidden="1">
      <c r="H306" s="65"/>
      <c r="I306" s="65"/>
      <c r="J306" s="65"/>
    </row>
    <row r="307" spans="8:10" ht="12.6" hidden="1">
      <c r="H307" s="65"/>
      <c r="I307" s="65"/>
      <c r="J307" s="65"/>
    </row>
    <row r="308" spans="8:10" ht="12.6" hidden="1">
      <c r="H308" s="65"/>
      <c r="I308" s="65"/>
      <c r="J308" s="65"/>
    </row>
    <row r="309" spans="8:10" ht="12.6" hidden="1">
      <c r="H309" s="65"/>
      <c r="I309" s="65"/>
      <c r="J309" s="65"/>
    </row>
    <row r="310" spans="8:10" ht="12.6" hidden="1">
      <c r="H310" s="65"/>
      <c r="I310" s="65"/>
      <c r="J310" s="65"/>
    </row>
    <row r="311" spans="8:10" ht="12.6" hidden="1">
      <c r="H311" s="65"/>
      <c r="I311" s="65"/>
      <c r="J311" s="65"/>
    </row>
    <row r="312" spans="8:10" ht="12.6" hidden="1">
      <c r="H312" s="65"/>
      <c r="I312" s="65"/>
      <c r="J312" s="65"/>
    </row>
    <row r="313" spans="8:10" ht="12.6" hidden="1">
      <c r="H313" s="65"/>
      <c r="I313" s="65"/>
      <c r="J313" s="65"/>
    </row>
    <row r="314" spans="8:10" ht="12.6" hidden="1">
      <c r="H314" s="65"/>
      <c r="I314" s="65"/>
      <c r="J314" s="65"/>
    </row>
    <row r="315" spans="8:10" ht="12.6" hidden="1">
      <c r="H315" s="65"/>
      <c r="I315" s="65"/>
      <c r="J315" s="65"/>
    </row>
    <row r="316" spans="8:10" ht="12.6" hidden="1">
      <c r="H316" s="65"/>
      <c r="I316" s="65"/>
      <c r="J316" s="65"/>
    </row>
    <row r="317" spans="8:10" ht="12.6" hidden="1">
      <c r="H317" s="65"/>
      <c r="I317" s="65"/>
      <c r="J317" s="65"/>
    </row>
    <row r="318" spans="8:10" ht="12.6" hidden="1">
      <c r="H318" s="65"/>
      <c r="I318" s="65"/>
      <c r="J318" s="65"/>
    </row>
    <row r="319" spans="8:10" ht="12.6" hidden="1">
      <c r="H319" s="65"/>
      <c r="I319" s="65"/>
      <c r="J319" s="65"/>
    </row>
    <row r="320" spans="8:10" ht="12.6" hidden="1">
      <c r="H320" s="65"/>
      <c r="I320" s="65"/>
      <c r="J320" s="65"/>
    </row>
    <row r="321" spans="8:10" ht="12.6" hidden="1">
      <c r="H321" s="65"/>
      <c r="I321" s="65"/>
      <c r="J321" s="65"/>
    </row>
    <row r="322" spans="8:10" ht="12.6" hidden="1">
      <c r="H322" s="65"/>
      <c r="I322" s="65"/>
      <c r="J322" s="65"/>
    </row>
    <row r="323" spans="8:10" ht="12.6" hidden="1">
      <c r="H323" s="65"/>
      <c r="I323" s="65"/>
      <c r="J323" s="65"/>
    </row>
    <row r="324" spans="8:10" ht="12.6" hidden="1">
      <c r="H324" s="65"/>
      <c r="I324" s="65"/>
      <c r="J324" s="65"/>
    </row>
    <row r="325" spans="8:10" ht="12.6" hidden="1">
      <c r="H325" s="65"/>
      <c r="I325" s="65"/>
      <c r="J325" s="65"/>
    </row>
    <row r="326" spans="8:10" ht="12.6" hidden="1">
      <c r="H326" s="65"/>
      <c r="I326" s="65"/>
      <c r="J326" s="65"/>
    </row>
    <row r="327" spans="8:10" ht="12.6" hidden="1">
      <c r="H327" s="65"/>
      <c r="I327" s="65"/>
      <c r="J327" s="65"/>
    </row>
    <row r="328" spans="8:10" ht="12.6" hidden="1">
      <c r="H328" s="65"/>
      <c r="I328" s="65"/>
      <c r="J328" s="65"/>
    </row>
    <row r="329" spans="8:10" ht="12.6" hidden="1">
      <c r="H329" s="65"/>
      <c r="I329" s="65"/>
      <c r="J329" s="65"/>
    </row>
    <row r="330" spans="8:10" ht="12.6" hidden="1">
      <c r="H330" s="65"/>
      <c r="I330" s="65"/>
      <c r="J330" s="65"/>
    </row>
    <row r="331" spans="8:10" ht="12.6" hidden="1">
      <c r="H331" s="65"/>
      <c r="I331" s="65"/>
      <c r="J331" s="65"/>
    </row>
    <row r="332" spans="8:10" ht="12.6" hidden="1">
      <c r="H332" s="65"/>
      <c r="I332" s="65"/>
      <c r="J332" s="65"/>
    </row>
    <row r="333" spans="8:10" ht="12.6" hidden="1">
      <c r="H333" s="65"/>
      <c r="I333" s="65"/>
      <c r="J333" s="65"/>
    </row>
    <row r="334" spans="8:10" ht="12.6" hidden="1">
      <c r="H334" s="65"/>
      <c r="I334" s="65"/>
      <c r="J334" s="65"/>
    </row>
    <row r="335" spans="8:10" ht="12.6" hidden="1">
      <c r="H335" s="65"/>
      <c r="I335" s="65"/>
      <c r="J335" s="65"/>
    </row>
    <row r="336" spans="8:10" ht="12.6" hidden="1">
      <c r="H336" s="65"/>
      <c r="I336" s="65"/>
      <c r="J336" s="65"/>
    </row>
    <row r="337" spans="8:10" ht="12.6" hidden="1">
      <c r="H337" s="65"/>
      <c r="I337" s="65"/>
      <c r="J337" s="65"/>
    </row>
    <row r="338" spans="8:10" ht="12.6" hidden="1">
      <c r="H338" s="65"/>
      <c r="I338" s="65"/>
      <c r="J338" s="65"/>
    </row>
    <row r="339" spans="8:10" ht="12.6" hidden="1">
      <c r="H339" s="65"/>
      <c r="I339" s="65"/>
      <c r="J339" s="65"/>
    </row>
    <row r="340" spans="8:10" ht="12.6" hidden="1">
      <c r="H340" s="65"/>
      <c r="I340" s="65"/>
      <c r="J340" s="65"/>
    </row>
    <row r="341" spans="8:10" ht="12.6" hidden="1">
      <c r="H341" s="65"/>
      <c r="I341" s="65"/>
      <c r="J341" s="65"/>
    </row>
    <row r="342" spans="8:10" ht="12.6" hidden="1">
      <c r="H342" s="65"/>
      <c r="I342" s="65"/>
      <c r="J342" s="65"/>
    </row>
    <row r="343" spans="8:10" ht="12.6" hidden="1">
      <c r="H343" s="65"/>
      <c r="I343" s="65"/>
      <c r="J343" s="65"/>
    </row>
    <row r="344" spans="8:10" ht="12.6" hidden="1">
      <c r="H344" s="65"/>
      <c r="I344" s="65"/>
      <c r="J344" s="65"/>
    </row>
    <row r="345" spans="8:10" ht="12.6" hidden="1">
      <c r="H345" s="65"/>
      <c r="I345" s="65"/>
      <c r="J345" s="65"/>
    </row>
    <row r="346" spans="8:10" ht="12.6" hidden="1">
      <c r="H346" s="65"/>
      <c r="I346" s="65"/>
      <c r="J346" s="65"/>
    </row>
    <row r="347" spans="8:10" ht="12.6" hidden="1">
      <c r="H347" s="65"/>
      <c r="I347" s="65"/>
      <c r="J347" s="65"/>
    </row>
    <row r="348" spans="8:10" ht="12.6" hidden="1">
      <c r="H348" s="65"/>
      <c r="I348" s="65"/>
      <c r="J348" s="65"/>
    </row>
    <row r="349" spans="8:10" ht="12.6" hidden="1">
      <c r="H349" s="65"/>
      <c r="I349" s="65"/>
      <c r="J349" s="65"/>
    </row>
    <row r="350" spans="8:10" ht="12.6" hidden="1">
      <c r="H350" s="65"/>
      <c r="I350" s="65"/>
      <c r="J350" s="65"/>
    </row>
    <row r="351" spans="8:10" ht="12.6" hidden="1">
      <c r="H351" s="65"/>
      <c r="I351" s="65"/>
      <c r="J351" s="65"/>
    </row>
    <row r="352" spans="8:10" ht="12.6" hidden="1">
      <c r="H352" s="65"/>
      <c r="I352" s="65"/>
      <c r="J352" s="65"/>
    </row>
    <row r="353" spans="8:10" ht="12.6" hidden="1">
      <c r="H353" s="65"/>
      <c r="I353" s="65"/>
      <c r="J353" s="65"/>
    </row>
    <row r="354" spans="8:10" ht="12.6" hidden="1">
      <c r="H354" s="65"/>
      <c r="I354" s="65"/>
      <c r="J354" s="65"/>
    </row>
    <row r="355" spans="8:10" ht="12.6" hidden="1">
      <c r="H355" s="65"/>
      <c r="I355" s="65"/>
      <c r="J355" s="65"/>
    </row>
    <row r="356" spans="8:10" ht="12.6" hidden="1">
      <c r="H356" s="65"/>
      <c r="I356" s="65"/>
      <c r="J356" s="65"/>
    </row>
    <row r="357" spans="8:10" ht="12.6" hidden="1">
      <c r="H357" s="65"/>
      <c r="I357" s="65"/>
      <c r="J357" s="65"/>
    </row>
    <row r="358" spans="8:10" ht="12.6" hidden="1">
      <c r="H358" s="65"/>
      <c r="I358" s="65"/>
      <c r="J358" s="65"/>
    </row>
    <row r="359" spans="8:10" ht="12.6" hidden="1">
      <c r="H359" s="65"/>
      <c r="I359" s="65"/>
      <c r="J359" s="65"/>
    </row>
    <row r="360" spans="8:10" ht="12.6" hidden="1">
      <c r="H360" s="65"/>
      <c r="I360" s="65"/>
      <c r="J360" s="65"/>
    </row>
    <row r="361" spans="8:10" ht="12.6" hidden="1">
      <c r="H361" s="65"/>
      <c r="I361" s="65"/>
      <c r="J361" s="65"/>
    </row>
    <row r="362" spans="8:10" ht="12.6" hidden="1">
      <c r="H362" s="65"/>
      <c r="I362" s="65"/>
      <c r="J362" s="65"/>
    </row>
    <row r="363" spans="8:10" ht="12.6" hidden="1">
      <c r="H363" s="65"/>
      <c r="I363" s="65"/>
      <c r="J363" s="65"/>
    </row>
    <row r="364" spans="8:10" ht="12.6" hidden="1">
      <c r="H364" s="65"/>
      <c r="I364" s="65"/>
      <c r="J364" s="65"/>
    </row>
    <row r="365" spans="8:10" ht="12.6" hidden="1">
      <c r="H365" s="65"/>
      <c r="I365" s="65"/>
      <c r="J365" s="65"/>
    </row>
    <row r="366" spans="8:10" ht="12.6" hidden="1">
      <c r="H366" s="65"/>
      <c r="I366" s="65"/>
      <c r="J366" s="65"/>
    </row>
    <row r="367" spans="8:10" ht="12.6" hidden="1">
      <c r="H367" s="65"/>
      <c r="I367" s="65"/>
      <c r="J367" s="65"/>
    </row>
    <row r="368" spans="8:10" ht="12.6" hidden="1">
      <c r="H368" s="65"/>
      <c r="I368" s="65"/>
      <c r="J368" s="65"/>
    </row>
    <row r="369" spans="8:10" ht="12.6" hidden="1">
      <c r="H369" s="65"/>
      <c r="I369" s="65"/>
      <c r="J369" s="65"/>
    </row>
    <row r="370" spans="8:10" ht="12.6" hidden="1">
      <c r="H370" s="65"/>
      <c r="I370" s="65"/>
      <c r="J370" s="65"/>
    </row>
    <row r="371" spans="8:10" ht="12.6" hidden="1">
      <c r="H371" s="65"/>
      <c r="I371" s="65"/>
      <c r="J371" s="65"/>
    </row>
    <row r="372" spans="8:10" ht="12.6" hidden="1">
      <c r="H372" s="65"/>
      <c r="I372" s="65"/>
      <c r="J372" s="65"/>
    </row>
    <row r="373" spans="8:10" ht="12.6" hidden="1">
      <c r="H373" s="65"/>
      <c r="I373" s="65"/>
      <c r="J373" s="65"/>
    </row>
    <row r="374" spans="8:10" ht="12.6" hidden="1">
      <c r="H374" s="65"/>
      <c r="I374" s="65"/>
      <c r="J374" s="65"/>
    </row>
    <row r="375" spans="8:10" ht="12.6" hidden="1">
      <c r="H375" s="65"/>
      <c r="I375" s="65"/>
      <c r="J375" s="65"/>
    </row>
    <row r="376" spans="8:10" ht="12.6" hidden="1">
      <c r="H376" s="65"/>
      <c r="I376" s="65"/>
      <c r="J376" s="65"/>
    </row>
    <row r="377" spans="8:10" ht="12.6" hidden="1">
      <c r="H377" s="65"/>
      <c r="I377" s="65"/>
      <c r="J377" s="65"/>
    </row>
    <row r="378" spans="8:10" ht="12.6" hidden="1">
      <c r="H378" s="65"/>
      <c r="I378" s="65"/>
      <c r="J378" s="65"/>
    </row>
    <row r="379" spans="8:10" ht="12.6" hidden="1">
      <c r="H379" s="65"/>
      <c r="I379" s="65"/>
      <c r="J379" s="65"/>
    </row>
    <row r="380" spans="8:10" ht="12.6" hidden="1">
      <c r="H380" s="65"/>
      <c r="I380" s="65"/>
      <c r="J380" s="65"/>
    </row>
    <row r="381" spans="8:10" ht="12.6" hidden="1">
      <c r="H381" s="65"/>
      <c r="I381" s="65"/>
      <c r="J381" s="65"/>
    </row>
    <row r="382" spans="8:10" ht="12.6" hidden="1">
      <c r="H382" s="65"/>
      <c r="I382" s="65"/>
      <c r="J382" s="65"/>
    </row>
    <row r="383" spans="8:10" ht="12.6" hidden="1">
      <c r="H383" s="65"/>
      <c r="I383" s="65"/>
      <c r="J383" s="65"/>
    </row>
    <row r="384" spans="8:10" ht="12.6" hidden="1">
      <c r="H384" s="65"/>
      <c r="I384" s="65"/>
      <c r="J384" s="65"/>
    </row>
    <row r="385" spans="8:10" ht="12.6" hidden="1">
      <c r="H385" s="65"/>
      <c r="I385" s="65"/>
      <c r="J385" s="65"/>
    </row>
    <row r="386" spans="8:10" ht="12.6" hidden="1">
      <c r="H386" s="65"/>
      <c r="I386" s="65"/>
      <c r="J386" s="65"/>
    </row>
    <row r="387" spans="8:10" ht="12.6" hidden="1">
      <c r="H387" s="65"/>
      <c r="I387" s="65"/>
      <c r="J387" s="65"/>
    </row>
    <row r="388" spans="8:10" ht="12.6" hidden="1">
      <c r="H388" s="65"/>
      <c r="I388" s="65"/>
      <c r="J388" s="65"/>
    </row>
    <row r="389" spans="8:10" ht="12.6" hidden="1">
      <c r="H389" s="65"/>
      <c r="I389" s="65"/>
      <c r="J389" s="65"/>
    </row>
    <row r="390" spans="8:10" ht="12.6" hidden="1">
      <c r="H390" s="65"/>
      <c r="I390" s="65"/>
      <c r="J390" s="65"/>
    </row>
    <row r="391" spans="8:10" ht="12.6" hidden="1">
      <c r="H391" s="65"/>
      <c r="I391" s="65"/>
      <c r="J391" s="65"/>
    </row>
    <row r="392" spans="8:10" ht="12.6" hidden="1">
      <c r="H392" s="65"/>
      <c r="I392" s="65"/>
      <c r="J392" s="65"/>
    </row>
    <row r="393" spans="8:10" ht="12.6" hidden="1">
      <c r="H393" s="65"/>
      <c r="I393" s="65"/>
      <c r="J393" s="65"/>
    </row>
    <row r="394" spans="8:10" ht="12.6" hidden="1">
      <c r="H394" s="65"/>
      <c r="I394" s="65"/>
      <c r="J394" s="65"/>
    </row>
    <row r="395" spans="8:10" ht="12.6" hidden="1">
      <c r="H395" s="65"/>
      <c r="I395" s="65"/>
      <c r="J395" s="65"/>
    </row>
    <row r="396" spans="8:10" ht="12.6" hidden="1">
      <c r="H396" s="65"/>
      <c r="I396" s="65"/>
      <c r="J396" s="65"/>
    </row>
    <row r="397" spans="8:10" ht="12.6" hidden="1">
      <c r="H397" s="65"/>
      <c r="I397" s="65"/>
      <c r="J397" s="65"/>
    </row>
    <row r="398" spans="8:10" ht="12.6" hidden="1">
      <c r="H398" s="65"/>
      <c r="I398" s="65"/>
      <c r="J398" s="65"/>
    </row>
    <row r="399" spans="8:10" ht="12.6" hidden="1">
      <c r="H399" s="65"/>
      <c r="I399" s="65"/>
      <c r="J399" s="65"/>
    </row>
    <row r="400" spans="8:10" ht="12.6" hidden="1">
      <c r="H400" s="65"/>
      <c r="I400" s="65"/>
      <c r="J400" s="65"/>
    </row>
    <row r="401" spans="8:10" ht="12.6" hidden="1">
      <c r="H401" s="65"/>
      <c r="I401" s="65"/>
      <c r="J401" s="65"/>
    </row>
    <row r="402" spans="8:10" ht="12.6" hidden="1">
      <c r="H402" s="65"/>
      <c r="I402" s="65"/>
      <c r="J402" s="65"/>
    </row>
    <row r="403" spans="8:10" ht="12.6" hidden="1">
      <c r="H403" s="65"/>
      <c r="I403" s="65"/>
      <c r="J403" s="65"/>
    </row>
    <row r="404" spans="8:10" ht="12.6" hidden="1">
      <c r="H404" s="65"/>
      <c r="I404" s="65"/>
      <c r="J404" s="65"/>
    </row>
    <row r="405" spans="8:10" ht="12.6" hidden="1">
      <c r="H405" s="65"/>
      <c r="I405" s="65"/>
      <c r="J405" s="65"/>
    </row>
    <row r="406" spans="8:10" ht="12.6" hidden="1">
      <c r="H406" s="65"/>
      <c r="I406" s="65"/>
      <c r="J406" s="65"/>
    </row>
    <row r="407" spans="8:10" ht="12.6" hidden="1">
      <c r="H407" s="65"/>
      <c r="I407" s="65"/>
      <c r="J407" s="65"/>
    </row>
    <row r="408" spans="8:10" ht="12.6" hidden="1">
      <c r="H408" s="65"/>
      <c r="I408" s="65"/>
      <c r="J408" s="65"/>
    </row>
    <row r="409" spans="8:10" ht="12.6" hidden="1">
      <c r="H409" s="65"/>
      <c r="I409" s="65"/>
      <c r="J409" s="65"/>
    </row>
    <row r="410" spans="8:10" ht="12.6" hidden="1">
      <c r="H410" s="65"/>
      <c r="I410" s="65"/>
      <c r="J410" s="65"/>
    </row>
    <row r="411" spans="8:10" ht="12.6" hidden="1">
      <c r="H411" s="65"/>
      <c r="I411" s="65"/>
      <c r="J411" s="65"/>
    </row>
    <row r="412" spans="8:10" ht="12.6" hidden="1">
      <c r="H412" s="65"/>
      <c r="I412" s="65"/>
      <c r="J412" s="65"/>
    </row>
    <row r="413" spans="8:10" ht="12.6" hidden="1">
      <c r="H413" s="65"/>
      <c r="I413" s="65"/>
      <c r="J413" s="65"/>
    </row>
    <row r="414" spans="8:10" ht="12.6" hidden="1">
      <c r="H414" s="65"/>
      <c r="I414" s="65"/>
      <c r="J414" s="65"/>
    </row>
    <row r="415" spans="8:10" ht="12.6" hidden="1">
      <c r="H415" s="65"/>
      <c r="I415" s="65"/>
      <c r="J415" s="65"/>
    </row>
    <row r="416" spans="8:10" ht="12.6" hidden="1">
      <c r="H416" s="65"/>
      <c r="I416" s="65"/>
      <c r="J416" s="65"/>
    </row>
    <row r="417" spans="8:10" ht="12.6" hidden="1">
      <c r="H417" s="65"/>
      <c r="I417" s="65"/>
      <c r="J417" s="65"/>
    </row>
    <row r="418" spans="8:10" ht="12.6" hidden="1">
      <c r="H418" s="65"/>
      <c r="I418" s="65"/>
      <c r="J418" s="65"/>
    </row>
    <row r="419" spans="8:10" ht="12.6" hidden="1">
      <c r="H419" s="65"/>
      <c r="I419" s="65"/>
      <c r="J419" s="65"/>
    </row>
    <row r="420" spans="8:10" ht="12.6" hidden="1">
      <c r="H420" s="65"/>
      <c r="I420" s="65"/>
      <c r="J420" s="65"/>
    </row>
    <row r="421" spans="8:10" ht="12.6" hidden="1">
      <c r="H421" s="65"/>
      <c r="I421" s="65"/>
      <c r="J421" s="65"/>
    </row>
    <row r="422" spans="8:10" ht="12.6" hidden="1">
      <c r="H422" s="65"/>
      <c r="I422" s="65"/>
      <c r="J422" s="65"/>
    </row>
    <row r="423" spans="8:10" ht="12.6" hidden="1">
      <c r="H423" s="65"/>
      <c r="I423" s="65"/>
      <c r="J423" s="65"/>
    </row>
    <row r="424" spans="8:10" ht="12.6" hidden="1">
      <c r="H424" s="65"/>
      <c r="I424" s="65"/>
      <c r="J424" s="65"/>
    </row>
    <row r="425" spans="8:10" ht="12.6" hidden="1">
      <c r="H425" s="65"/>
      <c r="I425" s="65"/>
      <c r="J425" s="65"/>
    </row>
    <row r="426" spans="8:10" ht="12.6" hidden="1">
      <c r="H426" s="65"/>
      <c r="I426" s="65"/>
      <c r="J426" s="65"/>
    </row>
    <row r="427" spans="8:10" ht="12.6" hidden="1">
      <c r="H427" s="65"/>
      <c r="I427" s="65"/>
      <c r="J427" s="65"/>
    </row>
    <row r="428" spans="8:10" ht="12.6" hidden="1">
      <c r="H428" s="65"/>
      <c r="I428" s="65"/>
      <c r="J428" s="65"/>
    </row>
    <row r="429" spans="8:10" ht="12.6" hidden="1">
      <c r="H429" s="65"/>
      <c r="I429" s="65"/>
      <c r="J429" s="65"/>
    </row>
    <row r="430" spans="8:10" ht="12.6" hidden="1">
      <c r="H430" s="65"/>
      <c r="I430" s="65"/>
      <c r="J430" s="65"/>
    </row>
    <row r="431" spans="8:10" ht="12.6" hidden="1">
      <c r="H431" s="65"/>
      <c r="I431" s="65"/>
      <c r="J431" s="65"/>
    </row>
    <row r="432" spans="8:10" ht="12.6" hidden="1">
      <c r="H432" s="65"/>
      <c r="I432" s="65"/>
      <c r="J432" s="65"/>
    </row>
    <row r="433" spans="8:10" ht="12.6" hidden="1">
      <c r="H433" s="65"/>
      <c r="I433" s="65"/>
      <c r="J433" s="65"/>
    </row>
    <row r="434" spans="8:10" ht="12.6" hidden="1">
      <c r="H434" s="65"/>
      <c r="I434" s="65"/>
      <c r="J434" s="65"/>
    </row>
    <row r="435" spans="8:10" ht="12.6" hidden="1">
      <c r="H435" s="65"/>
      <c r="I435" s="65"/>
      <c r="J435" s="65"/>
    </row>
    <row r="436" spans="8:10" ht="12.6" hidden="1">
      <c r="H436" s="65"/>
      <c r="I436" s="65"/>
      <c r="J436" s="65"/>
    </row>
    <row r="437" spans="8:10" ht="12.6" hidden="1">
      <c r="H437" s="65"/>
      <c r="I437" s="65"/>
      <c r="J437" s="65"/>
    </row>
    <row r="438" spans="8:10" ht="12.6" hidden="1">
      <c r="H438" s="65"/>
      <c r="I438" s="65"/>
      <c r="J438" s="65"/>
    </row>
    <row r="439" spans="8:10" ht="12.6" hidden="1">
      <c r="H439" s="65"/>
      <c r="I439" s="65"/>
      <c r="J439" s="65"/>
    </row>
    <row r="440" spans="8:10" ht="12.6" hidden="1">
      <c r="H440" s="65"/>
      <c r="I440" s="65"/>
      <c r="J440" s="65"/>
    </row>
    <row r="441" spans="8:10" ht="12.6" hidden="1">
      <c r="H441" s="65"/>
      <c r="I441" s="65"/>
      <c r="J441" s="65"/>
    </row>
    <row r="442" spans="8:10" ht="12.6" hidden="1">
      <c r="H442" s="65"/>
      <c r="I442" s="65"/>
      <c r="J442" s="65"/>
    </row>
    <row r="443" spans="8:10" ht="12.6" hidden="1">
      <c r="H443" s="65"/>
      <c r="I443" s="65"/>
      <c r="J443" s="65"/>
    </row>
    <row r="444" spans="8:10" ht="12.6" hidden="1">
      <c r="H444" s="65"/>
      <c r="I444" s="65"/>
      <c r="J444" s="65"/>
    </row>
    <row r="445" spans="8:10" ht="12.6" hidden="1">
      <c r="H445" s="65"/>
      <c r="I445" s="65"/>
      <c r="J445" s="65"/>
    </row>
    <row r="446" spans="8:10" ht="12.6" hidden="1">
      <c r="H446" s="65"/>
      <c r="I446" s="65"/>
      <c r="J446" s="65"/>
    </row>
    <row r="447" spans="8:10" ht="12.6" hidden="1">
      <c r="H447" s="65"/>
      <c r="I447" s="65"/>
      <c r="J447" s="65"/>
    </row>
    <row r="448" spans="8:10" ht="12.6" hidden="1">
      <c r="H448" s="65"/>
      <c r="I448" s="65"/>
      <c r="J448" s="65"/>
    </row>
    <row r="449" spans="8:10" ht="12.6" hidden="1">
      <c r="H449" s="65"/>
      <c r="I449" s="65"/>
      <c r="J449" s="65"/>
    </row>
    <row r="450" spans="8:10" ht="12.6" hidden="1">
      <c r="H450" s="65"/>
      <c r="I450" s="65"/>
      <c r="J450" s="65"/>
    </row>
    <row r="451" spans="8:10" ht="12.6" hidden="1">
      <c r="H451" s="65"/>
      <c r="I451" s="65"/>
      <c r="J451" s="65"/>
    </row>
    <row r="452" spans="8:10" ht="12.6" hidden="1">
      <c r="H452" s="65"/>
      <c r="I452" s="65"/>
      <c r="J452" s="65"/>
    </row>
    <row r="453" spans="8:10" ht="12.6" hidden="1">
      <c r="H453" s="65"/>
      <c r="I453" s="65"/>
      <c r="J453" s="65"/>
    </row>
    <row r="454" spans="8:10" ht="12.6" hidden="1">
      <c r="H454" s="65"/>
      <c r="I454" s="65"/>
      <c r="J454" s="65"/>
    </row>
    <row r="455" spans="8:10" ht="12.6" hidden="1">
      <c r="H455" s="65"/>
      <c r="I455" s="65"/>
      <c r="J455" s="65"/>
    </row>
    <row r="456" spans="8:10" ht="12.6" hidden="1">
      <c r="H456" s="65"/>
      <c r="I456" s="65"/>
      <c r="J456" s="65"/>
    </row>
    <row r="457" spans="8:10" ht="12.6" hidden="1">
      <c r="H457" s="65"/>
      <c r="I457" s="65"/>
      <c r="J457" s="65"/>
    </row>
    <row r="458" spans="8:10" ht="12.6" hidden="1">
      <c r="H458" s="65"/>
      <c r="I458" s="65"/>
      <c r="J458" s="65"/>
    </row>
    <row r="459" spans="8:10" ht="12.6" hidden="1">
      <c r="H459" s="65"/>
      <c r="I459" s="65"/>
      <c r="J459" s="65"/>
    </row>
    <row r="460" spans="8:10" ht="12.6" hidden="1">
      <c r="H460" s="65"/>
      <c r="I460" s="65"/>
      <c r="J460" s="65"/>
    </row>
    <row r="461" spans="8:10" ht="12.6" hidden="1">
      <c r="H461" s="65"/>
      <c r="I461" s="65"/>
      <c r="J461" s="65"/>
    </row>
    <row r="462" spans="8:10" ht="12.6" hidden="1">
      <c r="H462" s="65"/>
      <c r="I462" s="65"/>
      <c r="J462" s="65"/>
    </row>
    <row r="463" spans="8:10" ht="12.6" hidden="1">
      <c r="H463" s="65"/>
      <c r="I463" s="65"/>
      <c r="J463" s="65"/>
    </row>
    <row r="464" spans="8:10" ht="12.6" hidden="1">
      <c r="H464" s="65"/>
      <c r="I464" s="65"/>
      <c r="J464" s="65"/>
    </row>
    <row r="465" spans="8:10" ht="12.6" hidden="1">
      <c r="H465" s="65"/>
      <c r="I465" s="65"/>
      <c r="J465" s="65"/>
    </row>
    <row r="466" spans="8:10" ht="12.6" hidden="1">
      <c r="H466" s="65"/>
      <c r="I466" s="65"/>
      <c r="J466" s="65"/>
    </row>
    <row r="467" spans="8:10" ht="12.6" hidden="1">
      <c r="H467" s="65"/>
      <c r="I467" s="65"/>
      <c r="J467" s="65"/>
    </row>
    <row r="468" spans="8:10" ht="12.6" hidden="1">
      <c r="H468" s="65"/>
      <c r="I468" s="65"/>
      <c r="J468" s="65"/>
    </row>
    <row r="469" spans="8:10" ht="12.6" hidden="1">
      <c r="H469" s="65"/>
      <c r="I469" s="65"/>
      <c r="J469" s="65"/>
    </row>
    <row r="470" spans="8:10" ht="12.6" hidden="1">
      <c r="H470" s="65"/>
      <c r="I470" s="65"/>
      <c r="J470" s="65"/>
    </row>
    <row r="471" spans="8:10" ht="12.6" hidden="1">
      <c r="H471" s="65"/>
      <c r="I471" s="65"/>
      <c r="J471" s="65"/>
    </row>
    <row r="472" spans="8:10" ht="12.6" hidden="1">
      <c r="H472" s="65"/>
      <c r="I472" s="65"/>
      <c r="J472" s="65"/>
    </row>
    <row r="473" spans="8:10" ht="12.6" hidden="1">
      <c r="H473" s="65"/>
      <c r="I473" s="65"/>
      <c r="J473" s="65"/>
    </row>
    <row r="474" spans="8:10" ht="12.6" hidden="1">
      <c r="H474" s="65"/>
      <c r="I474" s="65"/>
      <c r="J474" s="65"/>
    </row>
    <row r="475" spans="8:10" ht="12.6" hidden="1">
      <c r="H475" s="65"/>
      <c r="I475" s="65"/>
      <c r="J475" s="65"/>
    </row>
    <row r="476" spans="8:10" ht="12.6" hidden="1">
      <c r="H476" s="65"/>
      <c r="I476" s="65"/>
      <c r="J476" s="65"/>
    </row>
    <row r="477" spans="8:10" ht="12.6" hidden="1">
      <c r="H477" s="65"/>
      <c r="I477" s="65"/>
      <c r="J477" s="65"/>
    </row>
    <row r="478" spans="8:10" ht="12.6" hidden="1">
      <c r="H478" s="65"/>
      <c r="I478" s="65"/>
      <c r="J478" s="65"/>
    </row>
    <row r="479" spans="8:10" ht="12.6" hidden="1">
      <c r="H479" s="65"/>
      <c r="I479" s="65"/>
      <c r="J479" s="65"/>
    </row>
    <row r="480" spans="8:10" ht="12.6" hidden="1">
      <c r="H480" s="65"/>
      <c r="I480" s="65"/>
      <c r="J480" s="65"/>
    </row>
    <row r="481" spans="8:10" ht="12.6" hidden="1">
      <c r="H481" s="65"/>
      <c r="I481" s="65"/>
      <c r="J481" s="65"/>
    </row>
    <row r="482" spans="8:10" ht="12.6" hidden="1">
      <c r="H482" s="65"/>
      <c r="I482" s="65"/>
      <c r="J482" s="65"/>
    </row>
    <row r="483" spans="8:10" ht="12.6" hidden="1">
      <c r="H483" s="65"/>
      <c r="I483" s="65"/>
      <c r="J483" s="65"/>
    </row>
    <row r="484" spans="8:10" ht="12.6" hidden="1">
      <c r="H484" s="65"/>
      <c r="I484" s="65"/>
      <c r="J484" s="65"/>
    </row>
    <row r="485" spans="8:10" ht="12.6" hidden="1">
      <c r="H485" s="65"/>
      <c r="I485" s="65"/>
      <c r="J485" s="65"/>
    </row>
    <row r="486" spans="8:10" ht="12.6" hidden="1">
      <c r="H486" s="65"/>
      <c r="I486" s="65"/>
      <c r="J486" s="65"/>
    </row>
    <row r="487" spans="8:10" ht="12.6" hidden="1">
      <c r="H487" s="65"/>
      <c r="I487" s="65"/>
      <c r="J487" s="65"/>
    </row>
    <row r="488" spans="8:10" ht="12.6" hidden="1">
      <c r="H488" s="65"/>
      <c r="I488" s="65"/>
      <c r="J488" s="65"/>
    </row>
    <row r="489" spans="8:10" ht="12.6" hidden="1">
      <c r="H489" s="65"/>
      <c r="I489" s="65"/>
      <c r="J489" s="65"/>
    </row>
    <row r="490" spans="8:10" ht="12.6" hidden="1">
      <c r="H490" s="65"/>
      <c r="I490" s="65"/>
      <c r="J490" s="65"/>
    </row>
    <row r="491" spans="8:10" ht="12.6" hidden="1">
      <c r="H491" s="65"/>
      <c r="I491" s="65"/>
      <c r="J491" s="65"/>
    </row>
    <row r="492" spans="8:10" ht="12.6" hidden="1">
      <c r="H492" s="65"/>
      <c r="I492" s="65"/>
      <c r="J492" s="65"/>
    </row>
    <row r="493" spans="8:10" ht="12.6" hidden="1">
      <c r="H493" s="65"/>
      <c r="I493" s="65"/>
      <c r="J493" s="65"/>
    </row>
    <row r="494" spans="8:10" ht="12.6" hidden="1">
      <c r="H494" s="65"/>
      <c r="I494" s="65"/>
      <c r="J494" s="65"/>
    </row>
    <row r="495" spans="8:10" ht="12.6" hidden="1">
      <c r="H495" s="65"/>
      <c r="I495" s="65"/>
      <c r="J495" s="65"/>
    </row>
    <row r="496" spans="8:10" ht="12.6" hidden="1">
      <c r="H496" s="65"/>
      <c r="I496" s="65"/>
      <c r="J496" s="65"/>
    </row>
    <row r="497" spans="8:10" ht="12.6" hidden="1">
      <c r="H497" s="65"/>
      <c r="I497" s="65"/>
      <c r="J497" s="65"/>
    </row>
    <row r="498" spans="8:10" ht="12.6" hidden="1">
      <c r="H498" s="65"/>
      <c r="I498" s="65"/>
      <c r="J498" s="65"/>
    </row>
    <row r="499" spans="8:10" ht="12.6" hidden="1">
      <c r="H499" s="65"/>
      <c r="I499" s="65"/>
      <c r="J499" s="65"/>
    </row>
    <row r="500" spans="8:10" ht="12.6" hidden="1">
      <c r="H500" s="65"/>
      <c r="I500" s="65"/>
      <c r="J500" s="65"/>
    </row>
    <row r="501" spans="8:10" ht="12.6" hidden="1">
      <c r="H501" s="65"/>
      <c r="I501" s="65"/>
      <c r="J501" s="65"/>
    </row>
    <row r="502" spans="8:10" ht="12.6" hidden="1">
      <c r="H502" s="65"/>
      <c r="I502" s="65"/>
      <c r="J502" s="65"/>
    </row>
    <row r="503" spans="8:10" ht="12.6" hidden="1">
      <c r="H503" s="65"/>
      <c r="I503" s="65"/>
      <c r="J503" s="65"/>
    </row>
    <row r="504" spans="8:10" ht="12.6" hidden="1">
      <c r="H504" s="65"/>
      <c r="I504" s="65"/>
      <c r="J504" s="65"/>
    </row>
    <row r="505" spans="8:10" ht="12.6" hidden="1">
      <c r="H505" s="65"/>
      <c r="I505" s="65"/>
      <c r="J505" s="65"/>
    </row>
    <row r="506" spans="8:10" ht="12.6" hidden="1">
      <c r="H506" s="65"/>
      <c r="I506" s="65"/>
      <c r="J506" s="65"/>
    </row>
    <row r="507" spans="8:10" ht="12.6" hidden="1">
      <c r="H507" s="65"/>
      <c r="I507" s="65"/>
      <c r="J507" s="65"/>
    </row>
    <row r="508" spans="8:10" ht="12.6" hidden="1">
      <c r="H508" s="65"/>
      <c r="I508" s="65"/>
      <c r="J508" s="65"/>
    </row>
    <row r="509" spans="8:10" ht="12.6" hidden="1">
      <c r="H509" s="65"/>
      <c r="I509" s="65"/>
      <c r="J509" s="65"/>
    </row>
    <row r="510" spans="8:10" ht="12.6" hidden="1">
      <c r="H510" s="65"/>
      <c r="I510" s="65"/>
      <c r="J510" s="65"/>
    </row>
    <row r="511" spans="8:10" ht="12.6" hidden="1">
      <c r="H511" s="65"/>
      <c r="I511" s="65"/>
      <c r="J511" s="65"/>
    </row>
    <row r="512" spans="8:10" ht="12.6" hidden="1">
      <c r="H512" s="65"/>
      <c r="I512" s="65"/>
      <c r="J512" s="65"/>
    </row>
    <row r="513" spans="8:10" ht="12.6" hidden="1">
      <c r="H513" s="65"/>
      <c r="I513" s="65"/>
      <c r="J513" s="65"/>
    </row>
    <row r="514" spans="8:10" ht="12.6" hidden="1">
      <c r="H514" s="65"/>
      <c r="I514" s="65"/>
      <c r="J514" s="65"/>
    </row>
    <row r="515" spans="8:10" ht="12.6" hidden="1">
      <c r="H515" s="65"/>
      <c r="I515" s="65"/>
      <c r="J515" s="65"/>
    </row>
    <row r="516" spans="8:10" ht="12.6" hidden="1">
      <c r="H516" s="65"/>
      <c r="I516" s="65"/>
      <c r="J516" s="65"/>
    </row>
    <row r="517" spans="8:10" ht="12.6" hidden="1">
      <c r="H517" s="65"/>
      <c r="I517" s="65"/>
      <c r="J517" s="65"/>
    </row>
    <row r="518" spans="8:10" ht="12.6" hidden="1">
      <c r="H518" s="65"/>
      <c r="I518" s="65"/>
      <c r="J518" s="65"/>
    </row>
    <row r="519" spans="8:10" ht="12.6" hidden="1">
      <c r="H519" s="65"/>
      <c r="I519" s="65"/>
      <c r="J519" s="65"/>
    </row>
    <row r="520" spans="8:10" ht="12.6" hidden="1">
      <c r="H520" s="65"/>
      <c r="I520" s="65"/>
      <c r="J520" s="65"/>
    </row>
    <row r="521" spans="8:10" ht="12.6" hidden="1">
      <c r="H521" s="65"/>
      <c r="I521" s="65"/>
      <c r="J521" s="65"/>
    </row>
    <row r="522" spans="8:10" ht="12.6" hidden="1">
      <c r="H522" s="65"/>
      <c r="I522" s="65"/>
      <c r="J522" s="65"/>
    </row>
    <row r="523" spans="8:10" ht="12.6" hidden="1">
      <c r="H523" s="65"/>
      <c r="I523" s="65"/>
      <c r="J523" s="65"/>
    </row>
    <row r="524" spans="8:10" ht="12.6" hidden="1">
      <c r="H524" s="65"/>
      <c r="I524" s="65"/>
      <c r="J524" s="65"/>
    </row>
    <row r="525" spans="8:10" ht="12.6" hidden="1">
      <c r="H525" s="65"/>
      <c r="I525" s="65"/>
      <c r="J525" s="65"/>
    </row>
    <row r="526" spans="8:10" ht="12.6" hidden="1">
      <c r="H526" s="65"/>
      <c r="I526" s="65"/>
      <c r="J526" s="65"/>
    </row>
    <row r="527" spans="8:10" ht="12.6" hidden="1">
      <c r="H527" s="65"/>
      <c r="I527" s="65"/>
      <c r="J527" s="65"/>
    </row>
    <row r="528" spans="8:10" ht="12.6" hidden="1">
      <c r="H528" s="65"/>
      <c r="I528" s="65"/>
      <c r="J528" s="65"/>
    </row>
    <row r="529" spans="8:10" ht="12.6" hidden="1">
      <c r="H529" s="65"/>
      <c r="I529" s="65"/>
      <c r="J529" s="65"/>
    </row>
    <row r="530" spans="8:10" ht="12.6" hidden="1">
      <c r="H530" s="65"/>
      <c r="I530" s="65"/>
      <c r="J530" s="65"/>
    </row>
    <row r="531" spans="8:10" ht="12.6" hidden="1">
      <c r="H531" s="65"/>
      <c r="I531" s="65"/>
      <c r="J531" s="65"/>
    </row>
    <row r="532" spans="8:10" ht="12.6" hidden="1">
      <c r="H532" s="65"/>
      <c r="I532" s="65"/>
      <c r="J532" s="65"/>
    </row>
    <row r="533" spans="8:10" ht="12.6" hidden="1">
      <c r="H533" s="65"/>
      <c r="I533" s="65"/>
      <c r="J533" s="65"/>
    </row>
    <row r="534" spans="8:10" ht="12.6" hidden="1">
      <c r="H534" s="65"/>
      <c r="I534" s="65"/>
      <c r="J534" s="65"/>
    </row>
    <row r="535" spans="8:10" ht="12.6" hidden="1">
      <c r="H535" s="65"/>
      <c r="I535" s="65"/>
      <c r="J535" s="65"/>
    </row>
    <row r="536" spans="8:10" ht="12.6" hidden="1">
      <c r="H536" s="65"/>
      <c r="I536" s="65"/>
      <c r="J536" s="65"/>
    </row>
    <row r="537" spans="8:10" ht="12.6" hidden="1">
      <c r="H537" s="65"/>
      <c r="I537" s="65"/>
      <c r="J537" s="65"/>
    </row>
    <row r="538" spans="8:10" ht="12.6" hidden="1">
      <c r="H538" s="65"/>
      <c r="I538" s="65"/>
      <c r="J538" s="65"/>
    </row>
    <row r="539" spans="8:10" ht="12.6" hidden="1">
      <c r="H539" s="65"/>
      <c r="I539" s="65"/>
      <c r="J539" s="65"/>
    </row>
    <row r="540" spans="8:10" ht="12.6" hidden="1">
      <c r="H540" s="65"/>
      <c r="I540" s="65"/>
      <c r="J540" s="65"/>
    </row>
    <row r="541" spans="8:10" ht="12.6" hidden="1">
      <c r="H541" s="65"/>
      <c r="I541" s="65"/>
      <c r="J541" s="65"/>
    </row>
    <row r="542" spans="8:10" ht="12.6" hidden="1">
      <c r="H542" s="65"/>
      <c r="I542" s="65"/>
      <c r="J542" s="65"/>
    </row>
    <row r="543" spans="8:10" ht="12.6" hidden="1">
      <c r="H543" s="65"/>
      <c r="I543" s="65"/>
      <c r="J543" s="65"/>
    </row>
    <row r="544" spans="8:10" ht="12.6" hidden="1">
      <c r="H544" s="65"/>
      <c r="I544" s="65"/>
      <c r="J544" s="65"/>
    </row>
    <row r="545" spans="8:10" ht="12.6" hidden="1">
      <c r="H545" s="65"/>
      <c r="I545" s="65"/>
      <c r="J545" s="65"/>
    </row>
    <row r="546" spans="8:10" ht="12.6" hidden="1">
      <c r="H546" s="65"/>
      <c r="I546" s="65"/>
      <c r="J546" s="65"/>
    </row>
    <row r="547" spans="8:10" ht="12.6" hidden="1">
      <c r="H547" s="65"/>
      <c r="I547" s="65"/>
      <c r="J547" s="65"/>
    </row>
    <row r="548" spans="8:10" ht="12.6" hidden="1">
      <c r="H548" s="65"/>
      <c r="I548" s="65"/>
      <c r="J548" s="65"/>
    </row>
    <row r="549" spans="8:10" ht="12.6" hidden="1">
      <c r="H549" s="65"/>
      <c r="I549" s="65"/>
      <c r="J549" s="65"/>
    </row>
    <row r="550" spans="8:10" ht="12.6" hidden="1">
      <c r="H550" s="65"/>
      <c r="I550" s="65"/>
      <c r="J550" s="65"/>
    </row>
    <row r="551" spans="8:10" ht="12.6" hidden="1">
      <c r="H551" s="65"/>
      <c r="I551" s="65"/>
      <c r="J551" s="65"/>
    </row>
    <row r="552" spans="8:10" ht="12.6" hidden="1">
      <c r="H552" s="65"/>
      <c r="I552" s="65"/>
      <c r="J552" s="65"/>
    </row>
    <row r="553" spans="8:10" ht="12.6" hidden="1">
      <c r="H553" s="65"/>
      <c r="I553" s="65"/>
      <c r="J553" s="65"/>
    </row>
    <row r="554" spans="8:10" ht="12.6" hidden="1">
      <c r="H554" s="65"/>
      <c r="I554" s="65"/>
      <c r="J554" s="65"/>
    </row>
    <row r="555" spans="8:10" ht="12.6" hidden="1">
      <c r="H555" s="65"/>
      <c r="I555" s="65"/>
      <c r="J555" s="65"/>
    </row>
    <row r="556" spans="8:10" ht="12.6" hidden="1">
      <c r="H556" s="65"/>
      <c r="I556" s="65"/>
      <c r="J556" s="65"/>
    </row>
    <row r="557" spans="8:10" ht="12.6" hidden="1">
      <c r="H557" s="65"/>
      <c r="I557" s="65"/>
      <c r="J557" s="65"/>
    </row>
    <row r="558" spans="8:10" ht="12.6" hidden="1">
      <c r="H558" s="65"/>
      <c r="I558" s="65"/>
      <c r="J558" s="65"/>
    </row>
    <row r="559" spans="8:10" ht="12.6" hidden="1">
      <c r="H559" s="65"/>
      <c r="I559" s="65"/>
      <c r="J559" s="65"/>
    </row>
    <row r="560" spans="8:10" ht="12.6" hidden="1">
      <c r="H560" s="65"/>
      <c r="I560" s="65"/>
      <c r="J560" s="65"/>
    </row>
    <row r="561" spans="8:10" ht="12.6" hidden="1">
      <c r="H561" s="65"/>
      <c r="I561" s="65"/>
      <c r="J561" s="65"/>
    </row>
    <row r="562" spans="8:10" ht="12.6" hidden="1">
      <c r="H562" s="65"/>
      <c r="I562" s="65"/>
      <c r="J562" s="65"/>
    </row>
    <row r="563" spans="8:10" ht="12.6" hidden="1">
      <c r="H563" s="65"/>
      <c r="I563" s="65"/>
      <c r="J563" s="65"/>
    </row>
    <row r="564" spans="8:10" ht="12.6" hidden="1">
      <c r="H564" s="65"/>
      <c r="I564" s="65"/>
      <c r="J564" s="65"/>
    </row>
    <row r="565" spans="8:10" ht="12.6" hidden="1">
      <c r="H565" s="65"/>
      <c r="I565" s="65"/>
      <c r="J565" s="65"/>
    </row>
    <row r="566" spans="8:10" ht="12.6" hidden="1">
      <c r="H566" s="65"/>
      <c r="I566" s="65"/>
      <c r="J566" s="65"/>
    </row>
    <row r="567" spans="8:10" ht="12.6" hidden="1"/>
    <row r="568" spans="8:10" ht="12.6" hidden="1"/>
    <row r="569" spans="8:10" ht="12.75" customHeight="1"/>
  </sheetData>
  <mergeCells count="5">
    <mergeCell ref="B3:J3"/>
    <mergeCell ref="B4:J4"/>
    <mergeCell ref="B5:J5"/>
    <mergeCell ref="D9:F9"/>
    <mergeCell ref="H9:J9"/>
  </mergeCells>
  <printOptions horizontalCentered="1" verticalCentered="1"/>
  <pageMargins left="0.19685039370078741" right="0.19685039370078741" top="0.98425196850393704" bottom="0.19685039370078741" header="0" footer="0"/>
  <pageSetup paperSize="9" scale="75" orientation="portrait" r:id="rId1"/>
  <headerFooter>
    <oddHeader>&amp;L
      &amp;"Verdana,Normal"&amp;10&amp;G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5" name="Drop Down 1">
              <controlPr defaultSize="0" autoLine="0" autoPict="0">
                <anchor moveWithCells="1">
                  <from>
                    <xdr:col>3</xdr:col>
                    <xdr:colOff>403860</xdr:colOff>
                    <xdr:row>6</xdr:row>
                    <xdr:rowOff>22860</xdr:rowOff>
                  </from>
                  <to>
                    <xdr:col>4</xdr:col>
                    <xdr:colOff>289560</xdr:colOff>
                    <xdr:row>6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6" name="Drop Down 2">
              <controlPr defaultSize="0" autoLine="0" autoPict="0">
                <anchor moveWithCells="1">
                  <from>
                    <xdr:col>4</xdr:col>
                    <xdr:colOff>906780</xdr:colOff>
                    <xdr:row>6</xdr:row>
                    <xdr:rowOff>22860</xdr:rowOff>
                  </from>
                  <to>
                    <xdr:col>5</xdr:col>
                    <xdr:colOff>822960</xdr:colOff>
                    <xdr:row>6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20"/>
  <sheetViews>
    <sheetView showGridLines="0" showRowColHeaders="0" zoomScaleNormal="100" workbookViewId="0"/>
  </sheetViews>
  <sheetFormatPr baseColWidth="10" defaultColWidth="0" defaultRowHeight="12.75" customHeight="1" zeroHeight="1"/>
  <cols>
    <col min="1" max="1" width="1.6328125" style="2" customWidth="1"/>
    <col min="2" max="2" width="39.36328125" style="2" customWidth="1"/>
    <col min="3" max="3" width="0.90625" style="2" customWidth="1"/>
    <col min="4" max="4" width="12.7265625" style="2" customWidth="1"/>
    <col min="5" max="5" width="11.90625" style="2" customWidth="1"/>
    <col min="6" max="6" width="11.7265625" style="2" customWidth="1"/>
    <col min="7" max="7" width="0.90625" style="2" customWidth="1"/>
    <col min="8" max="8" width="12.08984375" style="2" customWidth="1"/>
    <col min="9" max="9" width="13" style="2" customWidth="1"/>
    <col min="10" max="10" width="11.6328125" style="2" customWidth="1"/>
    <col min="11" max="11" width="1.6328125" style="2" customWidth="1"/>
    <col min="12" max="12" width="19.6328125" style="2" hidden="1" customWidth="1"/>
    <col min="13" max="13" width="9.7265625" style="2" hidden="1" customWidth="1"/>
    <col min="14" max="16384" width="11" style="2" hidden="1"/>
  </cols>
  <sheetData>
    <row r="1" spans="2:60" ht="4.2" customHeight="1">
      <c r="B1" s="110"/>
      <c r="C1" s="110"/>
      <c r="D1" s="110"/>
      <c r="E1" s="110"/>
      <c r="F1" s="110"/>
      <c r="G1" s="110"/>
      <c r="H1" s="110"/>
      <c r="I1" s="110"/>
      <c r="J1" s="110"/>
      <c r="K1" s="212"/>
      <c r="L1" s="212"/>
      <c r="M1" s="212"/>
      <c r="N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</row>
    <row r="2" spans="2:60" ht="10.199999999999999" customHeight="1">
      <c r="B2" s="112"/>
      <c r="C2" s="112"/>
      <c r="D2" s="112"/>
      <c r="E2" s="112"/>
      <c r="F2" s="112"/>
      <c r="G2" s="112"/>
      <c r="H2" s="112"/>
      <c r="I2" s="112"/>
      <c r="J2" s="112"/>
      <c r="K2" s="212"/>
      <c r="L2" s="212"/>
      <c r="M2" s="212"/>
      <c r="N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</row>
    <row r="3" spans="2:60" ht="12" customHeight="1">
      <c r="B3" s="234"/>
      <c r="C3" s="234"/>
      <c r="D3" s="235"/>
      <c r="E3" s="235"/>
      <c r="F3" s="235"/>
      <c r="G3" s="235"/>
      <c r="H3" s="235"/>
      <c r="I3" s="235"/>
      <c r="J3" s="235"/>
      <c r="K3" s="212"/>
      <c r="L3" s="212"/>
      <c r="M3" s="212"/>
      <c r="N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</row>
    <row r="4" spans="2:60" ht="22.2" customHeight="1">
      <c r="B4" s="326" t="s">
        <v>183</v>
      </c>
      <c r="C4" s="326"/>
      <c r="D4" s="338"/>
      <c r="E4" s="338"/>
      <c r="F4" s="338"/>
      <c r="G4" s="338"/>
      <c r="H4" s="338"/>
      <c r="I4" s="338"/>
      <c r="J4" s="338"/>
      <c r="K4" s="212"/>
      <c r="L4" s="6" t="s">
        <v>184</v>
      </c>
      <c r="M4" s="17">
        <v>5</v>
      </c>
      <c r="N4" s="17">
        <f>INDEX(Años_homogeneizaciones,M4)</f>
        <v>2024</v>
      </c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</row>
    <row r="5" spans="2:60" ht="22.2" customHeight="1">
      <c r="B5" s="327" t="s">
        <v>185</v>
      </c>
      <c r="C5" s="327"/>
      <c r="D5" s="326"/>
      <c r="E5" s="326"/>
      <c r="F5" s="326"/>
      <c r="G5" s="326"/>
      <c r="H5" s="326"/>
      <c r="I5" s="326"/>
      <c r="J5" s="326"/>
      <c r="K5" s="212"/>
      <c r="L5" s="6" t="s">
        <v>186</v>
      </c>
      <c r="M5" s="17">
        <v>2</v>
      </c>
      <c r="N5" s="17" t="str">
        <f>INDEX(Meses,M5)</f>
        <v>FEBRUARY</v>
      </c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</row>
    <row r="6" spans="2:60" ht="16.2" customHeight="1">
      <c r="B6" s="353" t="s">
        <v>77</v>
      </c>
      <c r="C6" s="353"/>
      <c r="D6" s="353"/>
      <c r="E6" s="353"/>
      <c r="F6" s="353"/>
      <c r="G6" s="353"/>
      <c r="H6" s="353"/>
      <c r="I6" s="353"/>
      <c r="J6" s="353"/>
      <c r="K6" s="212"/>
      <c r="L6" s="6" t="s">
        <v>187</v>
      </c>
      <c r="N6" s="8" t="str">
        <f>CONCATENATE("&lt;=",M5)</f>
        <v>&lt;=2</v>
      </c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</row>
    <row r="7" spans="2:60" ht="15" customHeight="1" thickBot="1">
      <c r="B7" s="7"/>
      <c r="C7" s="7"/>
      <c r="D7" s="7"/>
      <c r="E7" s="7"/>
      <c r="F7" s="7"/>
      <c r="G7" s="7"/>
      <c r="H7" s="7"/>
      <c r="I7" s="7"/>
      <c r="J7" s="7"/>
      <c r="K7" s="212"/>
      <c r="L7" s="6" t="s">
        <v>188</v>
      </c>
      <c r="M7" s="10"/>
      <c r="N7" s="11">
        <f>N4-1</f>
        <v>2023</v>
      </c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</row>
    <row r="8" spans="2:60" ht="18.899999999999999" customHeight="1" thickTop="1" thickBot="1">
      <c r="B8" s="7"/>
      <c r="C8" s="7"/>
      <c r="D8" s="113" t="s">
        <v>156</v>
      </c>
      <c r="E8" s="257" t="s">
        <v>605</v>
      </c>
      <c r="F8" s="213" t="s">
        <v>157</v>
      </c>
      <c r="J8" s="7"/>
      <c r="K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</row>
    <row r="9" spans="2:60" ht="15" customHeight="1" thickTop="1">
      <c r="B9" s="7"/>
      <c r="C9" s="7"/>
      <c r="D9" s="7"/>
      <c r="E9" s="7"/>
      <c r="F9" s="7"/>
      <c r="G9" s="7"/>
      <c r="H9" s="214"/>
      <c r="I9" s="214"/>
      <c r="J9" s="214"/>
      <c r="K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2:60" ht="19.5" customHeight="1" thickBot="1">
      <c r="B10" s="7"/>
      <c r="C10" s="7"/>
      <c r="D10" s="343" t="s">
        <v>116</v>
      </c>
      <c r="E10" s="344" t="str">
        <f t="shared" ref="E10:J10" si="0">CONCATENATE("INFORME MENSUAL DE RECAUDACIÓN TRIBUTARIA. ",$H$7," ",$F$7)</f>
        <v xml:space="preserve">INFORME MENSUAL DE RECAUDACIÓN TRIBUTARIA.  </v>
      </c>
      <c r="F10" s="344" t="str">
        <f t="shared" si="0"/>
        <v xml:space="preserve">INFORME MENSUAL DE RECAUDACIÓN TRIBUTARIA.  </v>
      </c>
      <c r="G10" s="20"/>
      <c r="H10" s="343" t="s">
        <v>73</v>
      </c>
      <c r="I10" s="344" t="str">
        <f t="shared" si="0"/>
        <v xml:space="preserve">INFORME MENSUAL DE RECAUDACIÓN TRIBUTARIA.  </v>
      </c>
      <c r="J10" s="344" t="str">
        <f t="shared" si="0"/>
        <v xml:space="preserve">INFORME MENSUAL DE RECAUDACIÓN TRIBUTARIA.  </v>
      </c>
      <c r="K10" s="212"/>
      <c r="L10" s="212"/>
      <c r="M10" s="212"/>
      <c r="N10" s="171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2:60" ht="25.2" customHeight="1">
      <c r="B11" s="21"/>
      <c r="C11" s="21"/>
      <c r="D11" s="215">
        <f>Año_seleccionado_C.3.1</f>
        <v>2024</v>
      </c>
      <c r="E11" s="215">
        <f>Año_anterior_seleccionado_C.3.1</f>
        <v>2023</v>
      </c>
      <c r="F11" s="216" t="s">
        <v>118</v>
      </c>
      <c r="G11" s="216"/>
      <c r="H11" s="215">
        <f>Año_seleccionado_C.3.1</f>
        <v>2024</v>
      </c>
      <c r="I11" s="215">
        <f>Año_anterior_seleccionado_C.3.1</f>
        <v>2023</v>
      </c>
      <c r="J11" s="216" t="s">
        <v>118</v>
      </c>
      <c r="K11"/>
      <c r="L11"/>
      <c r="M11"/>
      <c r="N11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2:60" ht="11.25" customHeight="1">
      <c r="B12" s="21"/>
      <c r="C12" s="21"/>
      <c r="D12" s="178"/>
      <c r="E12" s="178"/>
      <c r="F12" s="178"/>
      <c r="G12" s="178"/>
      <c r="H12" s="178"/>
      <c r="I12" s="178"/>
      <c r="J12" s="178"/>
      <c r="K12"/>
      <c r="L12"/>
      <c r="M12"/>
      <c r="N12"/>
      <c r="O12" s="236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2:60" ht="19.5" customHeight="1">
      <c r="B13" s="56" t="s">
        <v>190</v>
      </c>
      <c r="C13" s="56"/>
      <c r="D13" s="264">
        <f>SUMIFS(IRPF_neto_total,Años_datos,Año_seleccionado_C.3.1,Mes_datos,Mes_seleccionado_C.3.1)/1000</f>
        <v>8209.4650000000001</v>
      </c>
      <c r="E13" s="264">
        <f>SUMIFS(IRPF_neto_total,Años_datos,Año_anterior_seleccionado_C.3.1,Mes_datos,Mes_seleccionado_C.3.1)/1000</f>
        <v>7444.1689999999999</v>
      </c>
      <c r="F13" s="237">
        <f>IF(E13=0,"-",IF(ABS((D13-E13)/ABS(E13))*100&gt;=100,"-",IF(D13/E13&lt;0,"-",(D13-E13)/ABS(E13)*100)))</f>
        <v>10.280475899996363</v>
      </c>
      <c r="G13" s="237"/>
      <c r="H13" s="264">
        <f>SUMIFS(IRPF_neto_total,Años_datos,Año_seleccionado_C.3.1,Datos_periodo,Periodo_seleccionado_C.3.1)/1000</f>
        <v>24811.187000000002</v>
      </c>
      <c r="I13" s="264">
        <f>SUMIFS(IRPF_neto_total,Años_datos,Año_anterior_seleccionado_C.3.1,Datos_periodo,Periodo_seleccionado_C.3.1)/1000</f>
        <v>23126.911</v>
      </c>
      <c r="J13" s="237">
        <f>IF(I13=0,"-",IF(ABS((H13-I13)/ABS(I13))*100&gt;=100,"-",IF(H13/I13&lt;0,"-",(H13-I13)/ABS(I13)*100)))</f>
        <v>7.2827538446444562</v>
      </c>
      <c r="K13"/>
      <c r="L13"/>
      <c r="M13"/>
      <c r="N13"/>
      <c r="O13" s="236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2:60" ht="3" customHeight="1">
      <c r="B14" s="56"/>
      <c r="C14" s="56"/>
      <c r="D14" s="186"/>
      <c r="E14" s="186"/>
      <c r="F14" s="237"/>
      <c r="G14" s="237"/>
      <c r="H14" s="186"/>
      <c r="I14" s="186"/>
      <c r="J14" s="237"/>
      <c r="K14"/>
      <c r="L14"/>
      <c r="M14"/>
      <c r="N14"/>
      <c r="O14" s="236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2:60" ht="19.5" customHeight="1">
      <c r="B15" s="238" t="s">
        <v>191</v>
      </c>
      <c r="C15" s="193"/>
      <c r="D15" s="267">
        <f>SUMIFS(Homogeneos_IRPF_ajustes_total,Años_homogeneos,Año_seleccionado_C.3.1,Mes_homogeneos,Mes_seleccionado_C.3.1)/1000</f>
        <v>9.9939999999999998</v>
      </c>
      <c r="E15" s="267">
        <f>SUMIFS(Homogeneos_IRPF_ajustes_total,Años_homogeneos,Año_anterior_seleccionado_C.3.1,Mes_homogeneos,Mes_seleccionado_C.3.1)/1000</f>
        <v>-53.600999999999999</v>
      </c>
      <c r="F15" s="239" t="str">
        <f>IF(E15=0,"-",IF(ABS((D15-E15)/ABS(E15))*100&gt;=100,"-",IF(D15/E15&lt;0,"-",(D15-E15)/ABS(E15)*100)))</f>
        <v>-</v>
      </c>
      <c r="G15" s="237"/>
      <c r="H15" s="267">
        <f>SUMIFS(Homogeneos_IRPF_ajustes_total,Años_homogeneos,Año_seleccionado_C.3.1,Periodo_homogeneos,Periodo_seleccionado_C.3.1)/1000</f>
        <v>237.22300000000001</v>
      </c>
      <c r="I15" s="267">
        <f>SUMIFS(Homogeneos_IRPF_ajustes_total,Años_homogeneos,Año_anterior_seleccionado_C.3.1,Periodo_homogeneos,Periodo_seleccionado_C.3.1)/1000</f>
        <v>45.790999999999997</v>
      </c>
      <c r="J15" s="239" t="str">
        <f>IF(I15=0,"-",IF(ABS((H15-I15)/ABS(I15))*100&gt;=100,"-",IF(H15/I15&lt;0,"-",(H15-I15)/ABS(I15)*100)))</f>
        <v>-</v>
      </c>
      <c r="K15"/>
      <c r="L15"/>
      <c r="M15"/>
      <c r="N15"/>
      <c r="O15" s="236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2:60" ht="3" customHeight="1">
      <c r="B16" s="56"/>
      <c r="C16" s="56"/>
      <c r="D16" s="186"/>
      <c r="E16" s="186"/>
      <c r="F16" s="237"/>
      <c r="G16" s="237"/>
      <c r="H16" s="186"/>
      <c r="I16" s="186"/>
      <c r="J16" s="237"/>
      <c r="K16"/>
      <c r="L16"/>
      <c r="M16"/>
      <c r="N16"/>
      <c r="O16" s="236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2:60" ht="21.9" customHeight="1">
      <c r="B17" s="226" t="s">
        <v>192</v>
      </c>
      <c r="C17" s="240"/>
      <c r="D17" s="262">
        <f>SUMIFS(Homogeneos_IRPF_ajustes_ritmo_devoluc,Años_homogeneos,Año_seleccionado_C.3.1,Mes_homogeneos,Mes_seleccionado_C.3.1)/1000</f>
        <v>-18.097000000000001</v>
      </c>
      <c r="E17" s="262">
        <f>SUMIFS(Homogeneos_IRPF_ajustes_ritmo_devoluc,Años_homogeneos,Año_anterior_seleccionado_C.3.1,Mes_homogeneos,Mes_seleccionado_C.3.1)/1000</f>
        <v>-68.688369999999992</v>
      </c>
      <c r="F17" s="220">
        <f t="shared" ref="F17:F19" si="1">IF(E17=0,"-",IF(ABS((D17-E17)/ABS(E17))*100&gt;=100,"-",IF(D17/E17&lt;0,"-",(D17-E17)/ABS(E17)*100)))</f>
        <v>73.653472924164603</v>
      </c>
      <c r="G17" s="220"/>
      <c r="H17" s="262">
        <f>SUMIFS(Homogeneos_IRPF_ajustes_ritmo_devoluc,Años_homogeneos,Año_seleccionado_C.3.1,Periodo_homogeneos,Periodo_seleccionado_C.3.1)/1000</f>
        <v>56.326000000000001</v>
      </c>
      <c r="I17" s="262">
        <f>SUMIFS(Homogeneos_IRPF_ajustes_ritmo_devoluc,Años_homogeneos,Año_anterior_seleccionado_C.3.1,Periodo_homogeneos,Periodo_seleccionado_C.3.1)/1000</f>
        <v>10.85526000000001</v>
      </c>
      <c r="J17" s="220" t="str">
        <f t="shared" ref="J17:J19" si="2">IF(I17=0,"-",IF(ABS((H17-I17)/ABS(I17))*100&gt;=100,"-",IF(H17/I17&lt;0,"-",(H17-I17)/ABS(I17)*100)))</f>
        <v>-</v>
      </c>
      <c r="K17"/>
      <c r="L17"/>
      <c r="M17"/>
      <c r="N17"/>
      <c r="O17" s="241">
        <f>L18</f>
        <v>0</v>
      </c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2:60" ht="21.9" customHeight="1">
      <c r="B18" s="226" t="s">
        <v>193</v>
      </c>
      <c r="C18" s="240"/>
      <c r="D18" s="262">
        <f>SUMIFS(Homogeneos_IRPF_ajustes_retenc_trabajo_AAPP,Años_homogeneos,Año_seleccionado_C.3.1,Mes_homogeneos,Mes_seleccionado_C.3.1)/1000</f>
        <v>-2.3929999999999998</v>
      </c>
      <c r="E18" s="262">
        <f>SUMIFS(Homogeneos_IRPF_ajustes_retenc_trabajo_AAPP,Años_homogeneos,Año_anterior_seleccionado_C.3.1,Mes_homogeneos,Mes_seleccionado_C.3.1)/1000</f>
        <v>-2.2770000000000001</v>
      </c>
      <c r="F18" s="220">
        <f t="shared" si="1"/>
        <v>-5.0944224857268186</v>
      </c>
      <c r="G18" s="220"/>
      <c r="H18" s="262">
        <f>SUMIFS(Homogeneos_IRPF_ajustes_retenc_trabajo_AAPP,Años_homogeneos,Año_seleccionado_C.3.1,Periodo_homogeneos,Periodo_seleccionado_C.3.1)/1000</f>
        <v>0</v>
      </c>
      <c r="I18" s="262">
        <f>SUMIFS(Homogeneos_IRPF_ajustes_retenc_trabajo_AAPP,Años_homogeneos,Año_anterior_seleccionado_C.3.1,Periodo_homogeneos,Periodo_seleccionado_C.3.1)/1000</f>
        <v>0</v>
      </c>
      <c r="J18" s="220" t="str">
        <f t="shared" si="2"/>
        <v>-</v>
      </c>
      <c r="K18"/>
      <c r="L18"/>
      <c r="M18"/>
      <c r="N18"/>
      <c r="O18" s="10">
        <v>7</v>
      </c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2:60" ht="21.9" customHeight="1">
      <c r="B19" s="226" t="s">
        <v>68</v>
      </c>
      <c r="C19" s="240"/>
      <c r="D19" s="262">
        <f>SUMIFS(Homogeneos_IRPF_ajustes_otros,Años_homogeneos,Año_seleccionado_C.3.1,Mes_homogeneos,Mes_seleccionado_C.3.1)/1000</f>
        <v>30.484000000000002</v>
      </c>
      <c r="E19" s="262">
        <f>SUMIFS(Homogeneos_IRPF_ajustes_otros,Años_homogeneos,Año_anterior_seleccionado_C.3.1,Mes_homogeneos,Mes_seleccionado_C.3.1)/1000</f>
        <v>17.364369999999994</v>
      </c>
      <c r="F19" s="220">
        <f t="shared" si="1"/>
        <v>75.554886241193969</v>
      </c>
      <c r="G19" s="220"/>
      <c r="H19" s="262">
        <f>SUMIFS(Homogeneos_IRPF_ajustes_otros,Años_homogeneos,Año_seleccionado_C.3.1,Periodo_homogeneos,Periodo_seleccionado_C.3.1)/1000</f>
        <v>180.89699999999999</v>
      </c>
      <c r="I19" s="262">
        <f>SUMIFS(Homogeneos_IRPF_ajustes_otros,Años_homogeneos,Año_anterior_seleccionado_C.3.1,Periodo_homogeneos,Periodo_seleccionado_C.3.1)/1000</f>
        <v>34.935739999999988</v>
      </c>
      <c r="J19" s="220" t="str">
        <f t="shared" si="2"/>
        <v>-</v>
      </c>
      <c r="K19"/>
      <c r="L19"/>
      <c r="M19"/>
      <c r="N19"/>
      <c r="O19" s="236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2:60" ht="3" customHeight="1">
      <c r="B20" s="240"/>
      <c r="C20" s="240"/>
      <c r="D20" s="184"/>
      <c r="E20" s="184"/>
      <c r="F20" s="220"/>
      <c r="G20" s="220"/>
      <c r="H20" s="184"/>
      <c r="I20" s="184"/>
      <c r="J20" s="220"/>
      <c r="K20" s="212"/>
      <c r="L20" s="212"/>
      <c r="M20" s="212"/>
      <c r="O20" s="236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2:60" s="185" customFormat="1" ht="19.5" customHeight="1">
      <c r="B21" s="180" t="s">
        <v>194</v>
      </c>
      <c r="C21" s="56"/>
      <c r="D21" s="248">
        <f>SUMIFS(Homogeneos_IRPF,Años_homogeneos,Año_seleccionado_C.3.1,Mes_homogeneos,Mes_seleccionado_C.3.1)/1000</f>
        <v>8219.4590000000007</v>
      </c>
      <c r="E21" s="248">
        <f>SUMIFS(Homogeneos_IRPF,Años_homogeneos,Año_anterior_seleccionado_C.3.1,Mes_homogeneos,Mes_seleccionado_C.3.1)/1000</f>
        <v>7390.5680000000002</v>
      </c>
      <c r="F21" s="217">
        <f>IF(E21=0,"-",IF(ABS((D21-E21)/ABS(E21))*100&gt;=100,"-",IF(D21/E21&lt;0,"-",(D21-E21)/ABS(E21)*100)))</f>
        <v>11.21552497724127</v>
      </c>
      <c r="G21" s="218"/>
      <c r="H21" s="248">
        <f>SUMIFS(Homogeneos_IRPF,Años_homogeneos,Año_seleccionado_C.3.1,Periodo_homogeneos,Periodo_seleccionado_C.3.1)/1000</f>
        <v>25048.41</v>
      </c>
      <c r="I21" s="248">
        <f>SUMIFS(Homogeneos_IRPF,Años_homogeneos,Año_anterior_seleccionado_C.3.1,Periodo_homogeneos,Periodo_seleccionado_C.3.1)/1000</f>
        <v>23172.702000000001</v>
      </c>
      <c r="J21" s="217">
        <f>IF(I21=0,"-",IF(ABS((H21-I21)/ABS(I21))*100&gt;=100,"-",IF(H21/I21&lt;0,"-",(H21-I21)/ABS(I21)*100)))</f>
        <v>8.0944725392835011</v>
      </c>
      <c r="K21" s="212"/>
      <c r="L21" s="212"/>
      <c r="M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2:60" ht="18" customHeight="1">
      <c r="B22" s="221"/>
      <c r="C22" s="221"/>
      <c r="D22" s="222"/>
      <c r="E22" s="225"/>
      <c r="F22" s="223"/>
      <c r="G22" s="223"/>
      <c r="H22" s="222"/>
      <c r="I22" s="225"/>
      <c r="J22" s="223"/>
      <c r="K22" s="212"/>
      <c r="L22" s="212"/>
      <c r="M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2:60" s="185" customFormat="1" ht="19.5" customHeight="1">
      <c r="B23" s="56" t="s">
        <v>195</v>
      </c>
      <c r="C23" s="56"/>
      <c r="D23" s="264">
        <f>SUMIFS(IS_neto_total,Años_datos,Año_seleccionado_C.3.1,Mes_datos,Mes_seleccionado_C.3.1)/1000</f>
        <v>-188.37299999999999</v>
      </c>
      <c r="E23" s="264">
        <f>SUMIFS(IS_neto_total,Años_datos,Año_anterior_seleccionado_C.3.1,Mes_datos,Mes_seleccionado_C.3.1)/1000</f>
        <v>-102.017</v>
      </c>
      <c r="F23" s="237">
        <f>IF(E23=0,"-",IF(ABS((D23-E23)/ABS(E23))*100&gt;=100,"-",IF(D23/E23&lt;0,"-",(D23-E23)/ABS(E23)*100)))</f>
        <v>-84.6486369918739</v>
      </c>
      <c r="G23" s="237"/>
      <c r="H23" s="264">
        <f>SUMIFS(IS_neto_total,Años_datos,Año_seleccionado_C.3.1,Datos_periodo,Periodo_seleccionado_C.3.1)/1000</f>
        <v>-6253.9570000000003</v>
      </c>
      <c r="I23" s="264">
        <f>SUMIFS(IS_neto_total,Años_datos,Año_anterior_seleccionado_C.3.1,Datos_periodo,Periodo_seleccionado_C.3.1)/1000</f>
        <v>-6028.5829999999996</v>
      </c>
      <c r="J23" s="237">
        <f>IF(I23=0,"-",IF(ABS((H23-I23)/ABS(I23))*100&gt;=100,"-",IF(H23/I23&lt;0,"-",(H23-I23)/ABS(I23)*100)))</f>
        <v>-3.7384241039727031</v>
      </c>
      <c r="K23" s="212"/>
      <c r="L23" s="212"/>
      <c r="M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2:60" s="185" customFormat="1" ht="3" customHeight="1">
      <c r="B24" s="56"/>
      <c r="C24" s="56"/>
      <c r="D24" s="186"/>
      <c r="E24" s="186"/>
      <c r="F24" s="237"/>
      <c r="G24" s="237"/>
      <c r="H24" s="186"/>
      <c r="I24" s="186"/>
      <c r="J24" s="237"/>
      <c r="K24" s="212"/>
      <c r="L24" s="212"/>
      <c r="M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2:60" s="185" customFormat="1" ht="19.5" customHeight="1">
      <c r="B25" s="238" t="s">
        <v>191</v>
      </c>
      <c r="C25" s="193"/>
      <c r="D25" s="267">
        <f>SUMIFS(Homogeneos_IS_ajustes_total,Años_homogeneos,Año_seleccionado_C.3.1,Mes_homogeneos,Mes_seleccionado_C.3.1)/1000</f>
        <v>42.850999999999999</v>
      </c>
      <c r="E25" s="267">
        <f>SUMIFS(Homogeneos_IS_ajustes_total,Años_homogeneos,Año_anterior_seleccionado_C.3.1,Mes_homogeneos,Mes_seleccionado_C.3.1)/1000</f>
        <v>-147.661</v>
      </c>
      <c r="F25" s="239" t="str">
        <f>IF(E25=0,"-",IF(ABS((D25-E25)/ABS(E25))*100&gt;=100,"-",IF(D25/E25&lt;0,"-",(D25-E25)/ABS(E25)*100)))</f>
        <v>-</v>
      </c>
      <c r="G25" s="237"/>
      <c r="H25" s="267">
        <f>SUMIFS(Homogeneos_IS_ajustes_total,Años_homogeneos,Año_seleccionado_C.3.1,Periodo_homogeneos,Periodo_seleccionado_C.3.1)/1000</f>
        <v>6457.55</v>
      </c>
      <c r="I25" s="267">
        <f>SUMIFS(Homogeneos_IS_ajustes_total,Años_homogeneos,Año_anterior_seleccionado_C.3.1,Periodo_homogeneos,Periodo_seleccionado_C.3.1)/1000</f>
        <v>6043.5079999999998</v>
      </c>
      <c r="J25" s="239">
        <f>IF(I25=0,"-",IF(ABS((H25-I25)/ABS(I25))*100&gt;=100,"-",IF(H25/I25&lt;0,"-",(H25-I25)/ABS(I25)*100)))</f>
        <v>6.8510209633213099</v>
      </c>
      <c r="K25" s="212"/>
      <c r="L25" s="212"/>
      <c r="M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2:60" s="185" customFormat="1" ht="3" customHeight="1">
      <c r="B26" s="56"/>
      <c r="C26" s="56"/>
      <c r="D26" s="186"/>
      <c r="E26" s="186"/>
      <c r="F26" s="237"/>
      <c r="G26" s="237"/>
      <c r="H26" s="186"/>
      <c r="I26" s="186"/>
      <c r="J26" s="237"/>
      <c r="K26" s="212"/>
      <c r="L26" s="212"/>
      <c r="M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2:60" ht="21.9" customHeight="1">
      <c r="B27" s="226" t="s">
        <v>196</v>
      </c>
      <c r="C27" s="240"/>
      <c r="D27" s="262">
        <f>SUMIFS(Homogeneos_IS_ajustes_ritmo_devoluciones,Años_homogeneos,Año_seleccionado_C.3.1,Mes_homogeneos,Mes_seleccionado_C.3.1)/1000</f>
        <v>-323.09955833231936</v>
      </c>
      <c r="E27" s="262">
        <f>SUMIFS(Homogeneos_IS_ajustes_ritmo_devoluciones,Años_homogeneos,Año_anterior_seleccionado_C.3.1,Mes_homogeneos,Mes_seleccionado_C.3.1)/1000</f>
        <v>-176.78888985586818</v>
      </c>
      <c r="F27" s="220">
        <f t="shared" ref="F27:F28" si="3">IF(E27=0,"-",IF(ABS((D27-E27)/ABS(E27))*100&gt;=100,"-",IF(D27/E27&lt;0,"-",(D27-E27)/ABS(E27)*100)))</f>
        <v>-82.760103644372023</v>
      </c>
      <c r="G27" s="220"/>
      <c r="H27" s="262">
        <f>SUMIFS(Homogeneos_IS_ajustes_ritmo_devoluciones,Años_homogeneos,Año_seleccionado_C.3.1,Periodo_homogeneos,Periodo_seleccionado_C.3.1)/1000</f>
        <v>6100.9869429205582</v>
      </c>
      <c r="I27" s="262">
        <f>SUMIFS(Homogeneos_IS_ajustes_ritmo_devoluciones,Años_homogeneos,Año_anterior_seleccionado_C.3.1,Periodo_homogeneos,Periodo_seleccionado_C.3.1)/1000</f>
        <v>5988.4454918005458</v>
      </c>
      <c r="J27" s="220">
        <f t="shared" ref="J27:J28" si="4">IF(I27=0,"-",IF(ABS((H27-I27)/ABS(I27))*100&gt;=100,"-",IF(H27/I27&lt;0,"-",(H27-I27)/ABS(I27)*100)))</f>
        <v>1.8793099356770564</v>
      </c>
      <c r="K27" s="212"/>
      <c r="L27" s="212"/>
      <c r="M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2:60" ht="21.9" customHeight="1">
      <c r="B28" s="226" t="s">
        <v>68</v>
      </c>
      <c r="C28" s="240"/>
      <c r="D28" s="262">
        <f>SUMIFS(Homogeneos_IS_ajustes_otros,Años_homogeneos,Año_seleccionado_C.3.1,Mes_homogeneos,Mes_seleccionado_C.3.1)/1000</f>
        <v>365.95055833231936</v>
      </c>
      <c r="E28" s="262">
        <f>SUMIFS(Homogeneos_IS_ajustes_otros,Años_homogeneos,Año_anterior_seleccionado_C.3.1,Mes_homogeneos,Mes_seleccionado_C.3.1)/1000</f>
        <v>29.127889855868183</v>
      </c>
      <c r="F28" s="220" t="str">
        <f t="shared" si="3"/>
        <v>-</v>
      </c>
      <c r="G28" s="220"/>
      <c r="H28" s="262">
        <f>SUMIFS(Homogeneos_IS_ajustes_otros,Años_homogeneos,Año_seleccionado_C.3.1,Periodo_homogeneos,Periodo_seleccionado_C.3.1)/1000</f>
        <v>356.56305707944182</v>
      </c>
      <c r="I28" s="262">
        <f>SUMIFS(Homogeneos_IS_ajustes_otros,Años_homogeneos,Año_anterior_seleccionado_C.3.1,Periodo_homogeneos,Periodo_seleccionado_C.3.1)/1000</f>
        <v>55.062508199454285</v>
      </c>
      <c r="J28" s="220" t="str">
        <f t="shared" si="4"/>
        <v>-</v>
      </c>
      <c r="K28" s="212"/>
      <c r="L28" s="212"/>
      <c r="M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2:60" ht="3" customHeight="1">
      <c r="B29" s="240"/>
      <c r="C29" s="240"/>
      <c r="D29" s="184"/>
      <c r="E29" s="184"/>
      <c r="F29" s="220"/>
      <c r="G29" s="220"/>
      <c r="H29" s="184"/>
      <c r="I29" s="184"/>
      <c r="J29" s="220"/>
      <c r="K29" s="212"/>
      <c r="L29" s="212"/>
      <c r="M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2:60" s="185" customFormat="1" ht="19.5" customHeight="1">
      <c r="B30" s="180" t="s">
        <v>197</v>
      </c>
      <c r="C30" s="56"/>
      <c r="D30" s="248">
        <f>SUMIFS(Homogeneos_IS,Años_homogeneos,Año_seleccionado_C.3.1,Mes_homogeneos,Mes_seleccionado_C.3.1)/1000</f>
        <v>-145.52199999999999</v>
      </c>
      <c r="E30" s="248">
        <f>SUMIFS(Homogeneos_IS,Años_homogeneos,Año_anterior_seleccionado_C.3.1,Mes_homogeneos,Mes_seleccionado_C.3.1)/1000</f>
        <v>-249.678</v>
      </c>
      <c r="F30" s="217">
        <f>IF(E30=0,"-",IF(ABS((D30-E30)/ABS(E30))*100&gt;=100,"-",IF(D30/E30&lt;0,"-",(D30-E30)/ABS(E30)*100)))</f>
        <v>41.716130375924195</v>
      </c>
      <c r="G30" s="218"/>
      <c r="H30" s="248">
        <f>SUMIFS(Homogeneos_IS,Años_homogeneos,Año_seleccionado_C.3.1,Periodo_homogeneos,Periodo_seleccionado_C.3.1)/1000</f>
        <v>203.59299999999999</v>
      </c>
      <c r="I30" s="248">
        <f>SUMIFS(Homogeneos_IS,Años_homogeneos,Año_anterior_seleccionado_C.3.1,Periodo_homogeneos,Periodo_seleccionado_C.3.1)/1000</f>
        <v>14.925000000000001</v>
      </c>
      <c r="J30" s="217" t="str">
        <f>IF(I30=0,"-",IF(ABS((H30-I30)/ABS(I30))*100&gt;=100,"-",IF(H30/I30&lt;0,"-",(H30-I30)/ABS(I30)*100)))</f>
        <v>-</v>
      </c>
      <c r="K30" s="212"/>
      <c r="L30" s="212"/>
      <c r="M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2:60" ht="18" customHeight="1">
      <c r="B31" s="224"/>
      <c r="C31" s="224"/>
      <c r="D31" s="225"/>
      <c r="E31" s="225"/>
      <c r="F31" s="223"/>
      <c r="G31" s="223"/>
      <c r="H31" s="225"/>
      <c r="I31" s="225"/>
      <c r="J31" s="223"/>
      <c r="K31" s="212"/>
      <c r="L31" s="212"/>
      <c r="M31" s="212"/>
      <c r="N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2:60" s="185" customFormat="1" ht="19.5" customHeight="1">
      <c r="B32" s="56" t="s">
        <v>198</v>
      </c>
      <c r="C32" s="56"/>
      <c r="D32" s="264">
        <f>SUMIFS(IVA_total_neto,Años_datos,Año_seleccionado_C.3.1,Mes_datos,Mes_seleccionado_C.3.1)/1000</f>
        <v>16271.115</v>
      </c>
      <c r="E32" s="264">
        <f>SUMIFS(IVA_total_neto,Años_datos,Año_anterior_seleccionado_C.3.1,Mes_datos,Mes_seleccionado_C.3.1)/1000</f>
        <v>15782.743</v>
      </c>
      <c r="F32" s="237">
        <f>IF(E32=0,"-",IF(ABS((D32-E32)/ABS(E32))*100&gt;=100,"-",IF(D32/E32&lt;0,"-",(D32-E32)/ABS(E32)*100)))</f>
        <v>3.0943417123373251</v>
      </c>
      <c r="G32" s="237"/>
      <c r="H32" s="264">
        <f>SUMIFS(IVA_total_neto,Años_datos,Año_seleccionado_C.3.1,Datos_periodo,Periodo_seleccionado_C.3.1)/1000</f>
        <v>21726.847000000002</v>
      </c>
      <c r="I32" s="264">
        <f>SUMIFS(IVA_total_neto,Años_datos,Año_anterior_seleccionado_C.3.1,Datos_periodo,Periodo_seleccionado_C.3.1)/1000</f>
        <v>20886.311000000002</v>
      </c>
      <c r="J32" s="237">
        <f>IF(I32=0,"-",IF(ABS((H32-I32)/ABS(I32))*100&gt;=100,"-",IF(H32/I32&lt;0,"-",(H32-I32)/ABS(I32)*100)))</f>
        <v>4.0243391951790812</v>
      </c>
      <c r="K32" s="242"/>
      <c r="L32" s="212"/>
      <c r="M32" s="212"/>
      <c r="N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2:60" s="185" customFormat="1" ht="3" customHeight="1">
      <c r="B33" s="56"/>
      <c r="C33" s="56"/>
      <c r="D33" s="186"/>
      <c r="E33" s="186"/>
      <c r="F33" s="237"/>
      <c r="G33" s="237"/>
      <c r="H33" s="186"/>
      <c r="I33" s="186"/>
      <c r="J33" s="237"/>
      <c r="K33" s="212"/>
      <c r="L33" s="212"/>
      <c r="M33" s="212"/>
      <c r="N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2:60" s="185" customFormat="1" ht="19.5" customHeight="1">
      <c r="B34" s="238" t="s">
        <v>191</v>
      </c>
      <c r="C34" s="193"/>
      <c r="D34" s="267">
        <f>SUMIFS(Homogeneos_IVA_ajustes_total,Años_homogeneos,Año_seleccionado_C.3.1,Mes_homogeneos,Mes_seleccionado_C.3.1)/1000</f>
        <v>-1119.8209999999999</v>
      </c>
      <c r="E34" s="267">
        <f>SUMIFS(Homogeneos_IVA_ajustes_total,Años_homogeneos,Año_anterior_seleccionado_C.3.1,Mes_homogeneos,Mes_seleccionado_C.3.1)/1000</f>
        <v>-1591.124</v>
      </c>
      <c r="F34" s="239">
        <f>IF(E34=0,"-",IF(ABS((D34-E34)/ABS(E34))*100&gt;=100,"-",IF(D34/E34&lt;0,"-",(D34-E34)/ABS(E34)*100)))</f>
        <v>29.620758658658918</v>
      </c>
      <c r="G34" s="237"/>
      <c r="H34" s="267">
        <f>SUMIFS(Homogeneos_IVA_ajustes_total,Años_homogeneos,Año_seleccionado_C.3.1,Periodo_homogeneos,Periodo_seleccionado_C.3.1)/1000</f>
        <v>1379.7650000000001</v>
      </c>
      <c r="I34" s="267">
        <f>SUMIFS(Homogeneos_IVA_ajustes_total,Años_homogeneos,Año_anterior_seleccionado_C.3.1,Periodo_homogeneos,Periodo_seleccionado_C.3.1)/1000</f>
        <v>1257.357</v>
      </c>
      <c r="J34" s="239">
        <f>IF(I34=0,"-",IF(ABS((H34-I34)/ABS(I34))*100&gt;=100,"-",IF(H34/I34&lt;0,"-",(H34-I34)/ABS(I34)*100)))</f>
        <v>9.7353416730491116</v>
      </c>
      <c r="K34" s="212"/>
      <c r="L34" s="212"/>
      <c r="M34" s="212"/>
      <c r="N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2:60" s="185" customFormat="1" ht="3" customHeight="1">
      <c r="B35" s="56"/>
      <c r="C35" s="56"/>
      <c r="D35" s="186"/>
      <c r="E35" s="186"/>
      <c r="F35" s="237"/>
      <c r="G35" s="237"/>
      <c r="H35" s="186"/>
      <c r="I35" s="186"/>
      <c r="J35" s="237"/>
      <c r="K35" s="212"/>
      <c r="L35" s="212"/>
      <c r="M35" s="212"/>
      <c r="N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2:60" ht="21.9" customHeight="1">
      <c r="B36" s="226" t="s">
        <v>196</v>
      </c>
      <c r="C36" s="240"/>
      <c r="D36" s="262">
        <f>SUMIFS(Homogeneos_IVA_ajustes_ritmo_devoluciones,Años_homogeneos,Año_seleccionado_C.3.1,Mes_homogeneos,Mes_seleccionado_C.3.1)/1000</f>
        <v>196.40361144171888</v>
      </c>
      <c r="E36" s="262">
        <f>SUMIFS(Homogeneos_IVA_ajustes_ritmo_devoluciones,Años_homogeneos,Año_anterior_seleccionado_C.3.1,Mes_homogeneos,Mes_seleccionado_C.3.1)/1000</f>
        <v>84.87623504646821</v>
      </c>
      <c r="F36" s="51" t="str">
        <f t="shared" ref="F36:F37" si="5">IF(E36=0,"-",IF(ABS((D36-E36)/ABS(E36))*100&gt;=100,"-",IF(D36/E36&lt;0,"-",(D36-E36)/ABS(E36)*100)))</f>
        <v>-</v>
      </c>
      <c r="G36" s="51"/>
      <c r="H36" s="262">
        <f>SUMIFS(Homogeneos_IVA_ajustes_ritmo_devoluciones,Años_homogeneos,Año_seleccionado_C.3.1,Periodo_homogeneos,Periodo_seleccionado_C.3.1)/1000</f>
        <v>1205.5087896839511</v>
      </c>
      <c r="I36" s="262">
        <f>SUMIFS(Homogeneos_IVA_ajustes_ritmo_devoluciones,Años_homogeneos,Año_anterior_seleccionado_C.3.1,Periodo_homogeneos,Periodo_seleccionado_C.3.1)/1000</f>
        <v>1257.3573781959278</v>
      </c>
      <c r="J36" s="51">
        <f t="shared" ref="J36:J37" si="6">IF(I36=0,"-",IF(ABS((H36-I36)/ABS(I36))*100&gt;=100,"-",IF(H36/I36&lt;0,"-",(H36-I36)/ABS(I36)*100)))</f>
        <v>-4.1236158797087343</v>
      </c>
      <c r="K36" s="212"/>
      <c r="L36" s="212"/>
      <c r="M36" s="212"/>
      <c r="N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2:60" ht="21.9" customHeight="1">
      <c r="B37" s="226" t="s">
        <v>68</v>
      </c>
      <c r="C37" s="240"/>
      <c r="D37" s="262">
        <f>SUMIFS(Homogeneos_IVA_ajustes_otros,Años_homogeneos,Año_seleccionado_C.3.1,Mes_homogeneos,Mes_seleccionado_C.3.1)/1000</f>
        <v>-1316.2246114417189</v>
      </c>
      <c r="E37" s="262">
        <f>SUMIFS(Homogeneos_IVA_ajustes_otros,Años_homogeneos,Año_anterior_seleccionado_C.3.1,Mes_homogeneos,Mes_seleccionado_C.3.1)/1000</f>
        <v>-1676.0002350464681</v>
      </c>
      <c r="F37" s="51">
        <f t="shared" si="5"/>
        <v>21.466322980245536</v>
      </c>
      <c r="G37" s="51"/>
      <c r="H37" s="262">
        <f>SUMIFS(Homogeneos_IVA_ajustes_otros,Años_homogeneos,Año_seleccionado_C.3.1,Periodo_homogeneos,Periodo_seleccionado_C.3.1)/1000</f>
        <v>174.25621031604894</v>
      </c>
      <c r="I37" s="262">
        <f>SUMIFS(Homogeneos_IVA_ajustes_otros,Años_homogeneos,Año_anterior_seleccionado_C.3.1,Periodo_homogeneos,Periodo_seleccionado_C.3.1)/1000</f>
        <v>-3.7819592771120371E-4</v>
      </c>
      <c r="J37" s="51" t="str">
        <f t="shared" si="6"/>
        <v>-</v>
      </c>
      <c r="K37" s="212"/>
      <c r="L37" s="212"/>
      <c r="M37" s="212"/>
      <c r="N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2:60" ht="3" customHeight="1">
      <c r="B38" s="240"/>
      <c r="C38" s="240"/>
      <c r="D38" s="184"/>
      <c r="E38" s="184"/>
      <c r="F38" s="51"/>
      <c r="G38" s="51"/>
      <c r="H38" s="184"/>
      <c r="I38" s="184"/>
      <c r="J38" s="51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2:60" s="185" customFormat="1" ht="19.5" customHeight="1">
      <c r="B39" s="180" t="s">
        <v>199</v>
      </c>
      <c r="C39" s="56"/>
      <c r="D39" s="248">
        <f>SUMIFS(Homogeneos_IVA,Años_homogeneos,Año_seleccionado_C.3.1,Mes_homogeneos,Mes_seleccionado_C.3.1)/1000</f>
        <v>15151.294</v>
      </c>
      <c r="E39" s="248">
        <f>SUMIFS(Homogeneos_IVA,Años_homogeneos,Año_anterior_seleccionado_C.3.1,Mes_homogeneos,Mes_seleccionado_C.3.1)/1000</f>
        <v>14191.619000000001</v>
      </c>
      <c r="F39" s="217">
        <f>IF(E39=0,"-",IF(ABS((D39-E39)/ABS(E39))*100&gt;=100,"-",IF(D39/E39&lt;0,"-",(D39-E39)/ABS(E39)*100)))</f>
        <v>6.7622658133649107</v>
      </c>
      <c r="G39" s="218"/>
      <c r="H39" s="248">
        <f>SUMIFS(Homogeneos_IVA,Años_homogeneos,Año_seleccionado_C.3.1,Periodo_homogeneos,Periodo_seleccionado_C.3.1)/1000</f>
        <v>23106.612000000001</v>
      </c>
      <c r="I39" s="248">
        <f>SUMIFS(Homogeneos_IVA,Años_homogeneos,Año_anterior_seleccionado_C.3.1,Periodo_homogeneos,Periodo_seleccionado_C.3.1)/1000</f>
        <v>22143.668000000001</v>
      </c>
      <c r="J39" s="217">
        <f>IF(I39=0,"-",IF(ABS((H39-I39)/ABS(I39))*100&gt;=100,"-",IF(H39/I39&lt;0,"-",(H39-I39)/ABS(I39)*100)))</f>
        <v>4.3486201111757969</v>
      </c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2:60" ht="18" customHeight="1">
      <c r="B40" s="224"/>
      <c r="C40" s="224"/>
      <c r="D40" s="225"/>
      <c r="E40" s="225"/>
      <c r="F40" s="223"/>
      <c r="G40" s="223"/>
      <c r="H40" s="225"/>
      <c r="I40" s="225"/>
      <c r="J40" s="223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2:60" s="185" customFormat="1" ht="19.5" customHeight="1">
      <c r="B41" s="56" t="s">
        <v>200</v>
      </c>
      <c r="C41" s="56"/>
      <c r="D41" s="264">
        <f>SUMIFS(IIEE_neto_total,Años_datos,Año_seleccionado_C.3.1,Mes_datos,Mes_seleccionado_C.3.1)/1000</f>
        <v>1769.721</v>
      </c>
      <c r="E41" s="264">
        <f>SUMIFS(IIEE_neto_total,Años_datos,Año_anterior_seleccionado_C.3.1,Mes_datos,Mes_seleccionado_C.3.1)/1000</f>
        <v>1426.3520000000001</v>
      </c>
      <c r="F41" s="237">
        <f>IF(E41=0,"-",IF(ABS((D41-E41)/ABS(E41))*100&gt;=100,"-",IF(D41/E41&lt;0,"-",(D41-E41)/ABS(E41)*100)))</f>
        <v>24.073230170392716</v>
      </c>
      <c r="G41" s="237"/>
      <c r="H41" s="264">
        <f>SUMIFS(IIEE_neto_total,Años_datos,Año_seleccionado_C.3.1,Datos_periodo,Periodo_seleccionado_C.3.1)/1000</f>
        <v>3381.42</v>
      </c>
      <c r="I41" s="264">
        <f>SUMIFS(IIEE_neto_total,Años_datos,Año_anterior_seleccionado_C.3.1,Datos_periodo,Periodo_seleccionado_C.3.1)/1000</f>
        <v>3078.4540000000002</v>
      </c>
      <c r="J41" s="237">
        <f>IF(I41=0,"-",IF(ABS((H41-I41)/ABS(I41))*100&gt;=100,"-",IF(H41/I41&lt;0,"-",(H41-I41)/ABS(I41)*100)))</f>
        <v>9.8414983624897392</v>
      </c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2:60" ht="3" customHeight="1">
      <c r="B42" s="240"/>
      <c r="C42" s="240"/>
      <c r="D42" s="184"/>
      <c r="E42" s="184"/>
      <c r="F42" s="220"/>
      <c r="G42" s="220"/>
      <c r="H42" s="184"/>
      <c r="I42" s="184"/>
      <c r="J42" s="220"/>
      <c r="K42" s="212"/>
      <c r="L42" s="212"/>
      <c r="M42" s="2">
        <v>1</v>
      </c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2:60" ht="21.9" customHeight="1">
      <c r="B43" s="238" t="s">
        <v>191</v>
      </c>
      <c r="C43" s="193"/>
      <c r="D43" s="267">
        <f>SUMIFS(Homogeneos_IIEE_ajustes_total,Años_homogeneos,Año_seleccionado_C.3.1,Mes_homogeneos,Mes_seleccionado_C.3.1)/1000</f>
        <v>42</v>
      </c>
      <c r="E43" s="267">
        <f>SUMIFS(Homogeneos_IIEE_ajustes_total,Años_homogeneos,Año_anterior_seleccionado_C.3.1,Mes_homogeneos,Mes_seleccionado_C.3.1)/1000</f>
        <v>42</v>
      </c>
      <c r="F43" s="239">
        <f>IF(E43=0,"-",IF(ABS((D43-E43)/ABS(E43))*100&gt;=100,"-",IF(D43/E43&lt;0,"-",(D43-E43)/ABS(E43)*100)))</f>
        <v>0</v>
      </c>
      <c r="G43" s="220"/>
      <c r="H43" s="267">
        <f>SUMIFS(Homogeneos_IIEE_ajustes_total,Años_homogeneos,Año_seleccionado_C.3.1,Periodo_homogeneos,Periodo_seleccionado_C.3.1)/1000</f>
        <v>84</v>
      </c>
      <c r="I43" s="267">
        <f>SUMIFS(Homogeneos_IIEE_ajustes_total,Años_homogeneos,Año_anterior_seleccionado_C.3.1,Periodo_homogeneos,Periodo_seleccionado_C.3.1)/1000</f>
        <v>84</v>
      </c>
      <c r="J43" s="239">
        <f>IF(I43=0,"-",IF(ABS((H43-I43)/ABS(I43))*100&gt;=100,"-",IF(H43/I43&lt;0,"-",(H43-I43)/ABS(I43)*100)))</f>
        <v>0</v>
      </c>
      <c r="K43" s="212"/>
      <c r="L43" s="212"/>
      <c r="M43" s="2">
        <v>2</v>
      </c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2:60" ht="3" customHeight="1">
      <c r="B44" s="240"/>
      <c r="C44" s="240"/>
      <c r="D44" s="184"/>
      <c r="E44" s="184"/>
      <c r="F44" s="220"/>
      <c r="G44" s="220"/>
      <c r="H44" s="184"/>
      <c r="I44" s="184"/>
      <c r="J44" s="220"/>
      <c r="K44" s="212"/>
      <c r="L44" s="212"/>
      <c r="M44" s="2">
        <v>3</v>
      </c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2:60" ht="21.9" customHeight="1">
      <c r="B45" s="226" t="s">
        <v>201</v>
      </c>
      <c r="C45" s="240"/>
      <c r="D45" s="262">
        <f>SUMIFS(Homogeneos_IIEE_ajustes_tabaco_PVN,Años_homogeneos,Año_seleccionado_C.3.1,Mes_homogeneos,Mes_seleccionado_C.3.1)/1000</f>
        <v>42</v>
      </c>
      <c r="E45" s="262">
        <f>SUMIFS(Homogeneos_IIEE_ajustes_tabaco_PVN,Años_homogeneos,Año_anterior_seleccionado_C.3.1,Mes_homogeneos,Mes_seleccionado_C.3.1)/1000</f>
        <v>42</v>
      </c>
      <c r="F45" s="51">
        <f t="shared" ref="F45:F46" si="7">IF(E45=0,"-",IF(ABS((D45-E45)/ABS(E45))*100&gt;=100,"-",IF(D45/E45&lt;0,"-",(D45-E45)/ABS(E45)*100)))</f>
        <v>0</v>
      </c>
      <c r="G45" s="51"/>
      <c r="H45" s="262">
        <f>SUMIFS(Homogeneos_IIEE_ajustes_tabaco_PVN,Años_homogeneos,Año_seleccionado_C.3.1,Periodo_homogeneos,Periodo_seleccionado_C.3.1)/1000</f>
        <v>84</v>
      </c>
      <c r="I45" s="262">
        <f>SUMIFS(Homogeneos_IIEE_ajustes_tabaco_PVN,Años_homogeneos,Año_anterior_seleccionado_C.3.1,Periodo_homogeneos,Periodo_seleccionado_C.3.1)/1000</f>
        <v>84</v>
      </c>
      <c r="J45" s="51">
        <f t="shared" ref="J45:J46" si="8">IF(I45=0,"-",IF(ABS((H45-I45)/ABS(I45))*100&gt;=100,"-",IF(H45/I45&lt;0,"-",(H45-I45)/ABS(I45)*100)))</f>
        <v>0</v>
      </c>
      <c r="K45" s="212"/>
      <c r="L45" s="212"/>
      <c r="M45" s="2">
        <v>4</v>
      </c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2:60" ht="21.9" customHeight="1">
      <c r="B46" s="226" t="s">
        <v>68</v>
      </c>
      <c r="C46" s="240"/>
      <c r="D46" s="262">
        <f>SUMIFS(Homogeneos_IIEE_ajustes_otros,Años_homogeneos,Año_seleccionado_C.3.1,Mes_homogeneos,Mes_seleccionado_C.3.1)/1000</f>
        <v>0</v>
      </c>
      <c r="E46" s="262">
        <f>SUMIFS(Homogeneos_IIEE_ajustes_otros,Años_homogeneos,Año_anterior_seleccionado_C.3.1,Mes_homogeneos,Mes_seleccionado_C.3.1)/1000</f>
        <v>0</v>
      </c>
      <c r="F46" s="51" t="str">
        <f t="shared" si="7"/>
        <v>-</v>
      </c>
      <c r="G46" s="51"/>
      <c r="H46" s="262">
        <f>SUMIFS(Homogeneos_IIEE_ajustes_otros,Años_homogeneos,Año_seleccionado_C.3.1,Periodo_homogeneos,Periodo_seleccionado_C.3.1)/1000</f>
        <v>0</v>
      </c>
      <c r="I46" s="262">
        <f>SUMIFS(Homogeneos_IIEE_ajustes_otros,Años_homogeneos,Año_anterior_seleccionado_C.3.1,Periodo_homogeneos,Periodo_seleccionado_C.3.1)/1000</f>
        <v>0</v>
      </c>
      <c r="J46" s="51" t="str">
        <f t="shared" si="8"/>
        <v>-</v>
      </c>
      <c r="K46" s="212"/>
      <c r="L46" s="212"/>
      <c r="M46" s="2">
        <v>5</v>
      </c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2:60" ht="3" customHeight="1">
      <c r="B47" s="240"/>
      <c r="C47" s="240"/>
      <c r="D47" s="184"/>
      <c r="E47" s="184"/>
      <c r="F47" s="51"/>
      <c r="G47" s="51"/>
      <c r="H47" s="184"/>
      <c r="I47" s="184"/>
      <c r="J47" s="51"/>
      <c r="K47" s="212"/>
      <c r="L47" s="212"/>
      <c r="M47" s="2">
        <v>6</v>
      </c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2:60" s="185" customFormat="1" ht="19.5" customHeight="1">
      <c r="B48" s="180" t="s">
        <v>202</v>
      </c>
      <c r="C48" s="56"/>
      <c r="D48" s="248">
        <f>SUMIFS(Homogeneos_IIEE,Años_homogeneos,Año_seleccionado_C.3.1,Mes_homogeneos,Mes_seleccionado_C.3.1)/1000</f>
        <v>1811.721</v>
      </c>
      <c r="E48" s="248">
        <f>SUMIFS(Homogeneos_IIEE,Años_homogeneos,Año_anterior_seleccionado_C.3.1,Mes_homogeneos,Mes_seleccionado_C.3.1)/1000</f>
        <v>1468.3520000000001</v>
      </c>
      <c r="F48" s="217">
        <f>IF(E48=0,"-",IF(ABS((D48-E48)/ABS(E48))*100&gt;=100,"-",IF(D48/E48&lt;0,"-",(D48-E48)/ABS(E48)*100)))</f>
        <v>23.384651636664771</v>
      </c>
      <c r="G48" s="218"/>
      <c r="H48" s="248">
        <f>SUMIFS(Homogeneos_IIEE,Años_homogeneos,Año_seleccionado_C.3.1,Periodo_homogeneos,Periodo_seleccionado_C.3.1)/1000</f>
        <v>3465.42</v>
      </c>
      <c r="I48" s="248">
        <f>SUMIFS(Homogeneos_IIEE,Años_homogeneos,Año_anterior_seleccionado_C.3.1,Periodo_homogeneos,Periodo_seleccionado_C.3.1)/1000</f>
        <v>3162.4540000000002</v>
      </c>
      <c r="J48" s="217">
        <f>IF(I48=0,"-",IF(ABS((H48-I48)/ABS(I48))*100&gt;=100,"-",IF(H48/I48&lt;0,"-",(H48-I48)/ABS(I48)*100)))</f>
        <v>9.5800919159614608</v>
      </c>
      <c r="K48" s="212"/>
      <c r="L48" s="212"/>
      <c r="M48" s="2">
        <v>7</v>
      </c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2:60" ht="18" customHeight="1">
      <c r="B49" s="193"/>
      <c r="C49" s="193"/>
      <c r="D49" s="225"/>
      <c r="E49" s="225"/>
      <c r="F49" s="223"/>
      <c r="G49" s="223"/>
      <c r="H49" s="225"/>
      <c r="I49" s="225"/>
      <c r="J49" s="223"/>
      <c r="K49" s="212"/>
      <c r="L49" s="212"/>
      <c r="M49" s="2">
        <v>8</v>
      </c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2:60" s="185" customFormat="1" ht="24.9" customHeight="1">
      <c r="B50" s="56" t="s">
        <v>203</v>
      </c>
      <c r="C50" s="56"/>
      <c r="D50" s="264">
        <f>SUMIFS(Ingresos_netos_totales,Años_datos,Año_seleccionado_C.3.1,Mes_datos,Mes_seleccionado_C.3.1)/1000-D13-D23-D32-D41</f>
        <v>918.04300000000103</v>
      </c>
      <c r="E50" s="264">
        <f>SUMIFS(Ingresos_netos_totales,Años_datos,Año_anterior_seleccionado_C.3.1,Mes_datos,Mes_seleccionado_C.3.1)/1000-E13-E23-E32-E41</f>
        <v>924.21800000000144</v>
      </c>
      <c r="F50" s="237">
        <f>IF(E50=0,"-",IF(ABS((D50-E50)/ABS(E50))*100&gt;=100,"-",IF(D50/E50&lt;0,"-",(D50-E50)/ABS(E50)*100)))</f>
        <v>-0.66813241031882087</v>
      </c>
      <c r="G50" s="237"/>
      <c r="H50" s="264">
        <f>SUMIFS(Ingresos_netos_totales,Años_datos,Año_seleccionado_C.3.1,Datos_periodo,Periodo_seleccionado_C.3.1)/1000-H13-H23-H32-H41</f>
        <v>2051.6079999999984</v>
      </c>
      <c r="I50" s="264">
        <f>SUMIFS(Ingresos_netos_totales,Años_datos,Año_anterior_seleccionado_C.3.1,Datos_periodo,Periodo_seleccionado_C.3.1)/1000-I13-I23-I32-I41</f>
        <v>1984.6759999999972</v>
      </c>
      <c r="J50" s="237">
        <f>IF(I50=0,"-",IF(ABS((H50-I50)/ABS(I50))*100&gt;=100,"-",IF(H50/I50&lt;0,"-",(H50-I50)/ABS(I50)*100)))</f>
        <v>3.3724396324640011</v>
      </c>
      <c r="K50" s="212"/>
      <c r="L50" s="212"/>
      <c r="M50" s="2">
        <v>9</v>
      </c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2:60" s="185" customFormat="1" ht="3" customHeight="1">
      <c r="B51" s="56"/>
      <c r="C51" s="56"/>
      <c r="D51" s="186"/>
      <c r="E51" s="186"/>
      <c r="F51" s="237"/>
      <c r="G51" s="237"/>
      <c r="H51" s="186"/>
      <c r="I51" s="186"/>
      <c r="J51" s="237"/>
      <c r="K51" s="212"/>
      <c r="L51" s="212"/>
      <c r="M51" s="2">
        <v>10</v>
      </c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2:60" s="185" customFormat="1" ht="24.9" customHeight="1">
      <c r="B52" s="238" t="s">
        <v>191</v>
      </c>
      <c r="C52" s="193"/>
      <c r="D52" s="267">
        <f>SUMIFS(Homogeneos_resto_ingresos_ajustes_total,Años_homogeneos,Año_seleccionado_C.3.1,Mes_homogeneos,Mes_seleccionado_C.3.1)/1000</f>
        <v>73.447000000000003</v>
      </c>
      <c r="E52" s="267">
        <f>SUMIFS(Homogeneos_resto_ingresos_ajustes_total,Años_homogeneos,Año_anterior_seleccionado_C.3.1,Mes_homogeneos,Mes_seleccionado_C.3.1)/1000</f>
        <v>28.667000000000002</v>
      </c>
      <c r="F52" s="239" t="str">
        <f>IF(E52=0,"-",IF(ABS((D52-E52)/ABS(E52))*100&gt;=100,"-",IF(D52/E52&lt;0,"-",(D52-E52)/ABS(E52)*100)))</f>
        <v>-</v>
      </c>
      <c r="G52" s="237"/>
      <c r="H52" s="267">
        <f>SUMIFS(Homogeneos_resto_ingresos_ajustes_total,Años_homogeneos,Año_seleccionado_C.3.1,Periodo_homogeneos,Periodo_seleccionado_C.3.1)/1000</f>
        <v>73.527000000000001</v>
      </c>
      <c r="I52" s="267">
        <f>SUMIFS(Homogeneos_resto_ingresos_ajustes_total,Años_homogeneos,Año_anterior_seleccionado_C.3.1,Periodo_homogeneos,Periodo_seleccionado_C.3.1)/1000</f>
        <v>67.436999999999998</v>
      </c>
      <c r="J52" s="239">
        <f>IF(I52=0,"-",IF(ABS((H52-I52)/ABS(I52))*100&gt;=100,"-",IF(H52/I52&lt;0,"-",(H52-I52)/ABS(I52)*100)))</f>
        <v>9.0306508296632462</v>
      </c>
      <c r="K52" s="212"/>
      <c r="L52" s="212"/>
      <c r="M52" s="2">
        <v>11</v>
      </c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2:60" s="185" customFormat="1" ht="3" customHeight="1">
      <c r="B53" s="56"/>
      <c r="C53" s="56"/>
      <c r="D53" s="186"/>
      <c r="E53" s="186"/>
      <c r="F53" s="237"/>
      <c r="G53" s="237"/>
      <c r="H53" s="186"/>
      <c r="I53" s="186"/>
      <c r="J53" s="237"/>
      <c r="K53" s="212"/>
      <c r="L53" s="212"/>
      <c r="M53" s="2">
        <v>12</v>
      </c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2:60" ht="21.9" hidden="1" customHeight="1">
      <c r="B54" s="240" t="s">
        <v>204</v>
      </c>
      <c r="C54" s="240"/>
      <c r="D54" s="184">
        <v>0</v>
      </c>
      <c r="E54" s="184">
        <v>0</v>
      </c>
      <c r="F54" s="51" t="str">
        <f>IF(E54=0,"-",IF(ABS((D54-E54)/ABS(E54))*100&gt;200,"-",IF(D54/E54&lt;0,"-",(D54-E54)/ABS(E54)*100)))</f>
        <v>-</v>
      </c>
      <c r="G54" s="51"/>
      <c r="H54" s="184">
        <v>0</v>
      </c>
      <c r="I54" s="184">
        <v>0</v>
      </c>
      <c r="J54" s="51" t="str">
        <f>IF(I54=0,"-",IF(ABS((H54-I54)/ABS(I54))*100&gt;200,"-",IF(H54/I54&lt;0,"-",(H54-I54)/ABS(I54)*100)))</f>
        <v>-</v>
      </c>
      <c r="K54" s="212"/>
      <c r="L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2:60" ht="21.9" customHeight="1">
      <c r="B55" s="226" t="s">
        <v>205</v>
      </c>
      <c r="C55" s="240"/>
      <c r="D55" s="262">
        <f>SUMIFS(Homogeneos_resto_ingresos_ajustes_tasa_radieolectr,Años_homogeneos,Año_seleccionado_C.3.1,Mes_homogeneos,Mes_seleccionado_C.3.1)/1000</f>
        <v>79.927000000000007</v>
      </c>
      <c r="E55" s="262">
        <f>SUMIFS(Homogeneos_resto_ingresos_ajustes_tasa_radieolectr,Años_homogeneos,Año_anterior_seleccionado_C.3.1,Mes_homogeneos,Mes_seleccionado_C.3.1)/1000</f>
        <v>38.576000000000001</v>
      </c>
      <c r="F55" s="51" t="str">
        <f t="shared" ref="F55:F56" si="9">IF(E55=0,"-",IF(ABS((D55-E55)/ABS(E55))*100&gt;=100,"-",IF(D55/E55&lt;0,"-",(D55-E55)/ABS(E55)*100)))</f>
        <v>-</v>
      </c>
      <c r="G55" s="51"/>
      <c r="H55" s="262">
        <f>SUMIFS(Homogeneos_resto_ingresos_ajustes_tasa_radieolectr,Años_homogeneos,Año_seleccionado_C.3.1,Periodo_homogeneos,Periodo_seleccionado_C.3.1)/1000</f>
        <v>80.007000000000005</v>
      </c>
      <c r="I55" s="262">
        <f>SUMIFS(Homogeneos_resto_ingresos_ajustes_tasa_radieolectr,Años_homogeneos,Año_anterior_seleccionado_C.3.1,Periodo_homogeneos,Periodo_seleccionado_C.3.1)/1000</f>
        <v>77.346000000000004</v>
      </c>
      <c r="J55" s="51">
        <f t="shared" ref="J55:J56" si="10">IF(I55=0,"-",IF(ABS((H55-I55)/ABS(I55))*100&gt;=100,"-",IF(H55/I55&lt;0,"-",(H55-I55)/ABS(I55)*100)))</f>
        <v>3.4403847645644263</v>
      </c>
      <c r="K55" s="212"/>
      <c r="L55" s="212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2:60" ht="21.9" customHeight="1">
      <c r="B56" s="226" t="s">
        <v>68</v>
      </c>
      <c r="C56" s="240"/>
      <c r="D56" s="262">
        <f>SUMIFS(Homogeneos_resto_ingresos_ajustes_otros,Años_homogeneos,Año_seleccionado_C.3.1,Mes_homogeneos,Mes_seleccionado_C.3.1)/1000</f>
        <v>-6.48</v>
      </c>
      <c r="E56" s="262">
        <f>SUMIFS(Homogeneos_resto_ingresos_ajustes_otros,Años_homogeneos,Año_anterior_seleccionado_C.3.1,Mes_homogeneos,Mes_seleccionado_C.3.1)/1000</f>
        <v>-9.9090000000000007</v>
      </c>
      <c r="F56" s="220">
        <f t="shared" si="9"/>
        <v>34.604904632152589</v>
      </c>
      <c r="G56" s="220"/>
      <c r="H56" s="262">
        <f>SUMIFS(Homogeneos_resto_ingresos_ajustes_otros,Años_homogeneos,Año_seleccionado_C.3.1,Periodo_homogeneos,Periodo_seleccionado_C.3.1)/1000</f>
        <v>-6.48</v>
      </c>
      <c r="I56" s="262">
        <f>SUMIFS(Homogeneos_resto_ingresos_ajustes_otros,Años_homogeneos,Año_anterior_seleccionado_C.3.1,Periodo_homogeneos,Periodo_seleccionado_C.3.1)/1000</f>
        <v>-9.9090000000000007</v>
      </c>
      <c r="J56" s="220">
        <f t="shared" si="10"/>
        <v>34.604904632152589</v>
      </c>
      <c r="K56" s="212"/>
      <c r="L56" s="212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2:60" s="185" customFormat="1" ht="19.5" customHeight="1">
      <c r="B57" s="180" t="s">
        <v>206</v>
      </c>
      <c r="C57" s="56"/>
      <c r="D57" s="248">
        <f>SUMIFS(Homogeneos_resto_ingresos,Años_homogeneos,Año_seleccionado_C.3.1,Mes_homogeneos,Mes_seleccionado_C.3.1)/1000</f>
        <v>991.49</v>
      </c>
      <c r="E57" s="248">
        <f>SUMIFS(Homogeneos_resto_ingresos,Años_homogeneos,Año_anterior_seleccionado_C.3.1,Mes_homogeneos,Mes_seleccionado_C.3.1)/1000</f>
        <v>952.88499999999999</v>
      </c>
      <c r="F57" s="217">
        <f>IF(E57=0,"-",IF(ABS((D57-E57)/ABS(E57))*100&gt;=100,"-",IF(D57/E57&lt;0,"-",(D57-E57)/ABS(E57)*100)))</f>
        <v>4.0513808067080523</v>
      </c>
      <c r="G57" s="218"/>
      <c r="H57" s="248">
        <f>SUMIFS(Homogeneos_resto_ingresos,Años_homogeneos,Año_seleccionado_C.3.1,Periodo_homogeneos,Periodo_seleccionado_C.3.1)/1000</f>
        <v>2125.1350000000002</v>
      </c>
      <c r="I57" s="248">
        <f>SUMIFS(Homogeneos_resto_ingresos,Años_homogeneos,Año_anterior_seleccionado_C.3.1,Periodo_homogeneos,Periodo_seleccionado_C.3.1)/1000</f>
        <v>2052.1129999999998</v>
      </c>
      <c r="J57" s="217">
        <f>IF(I57=0,"-",IF(ABS((H57-I57)/ABS(I57))*100&gt;=100,"-",IF(H57/I57&lt;0,"-",(H57-I57)/ABS(I57)*100)))</f>
        <v>3.5583810443187285</v>
      </c>
      <c r="K57" s="212"/>
      <c r="L57" s="212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2:60" ht="18" customHeight="1">
      <c r="B58" s="226"/>
      <c r="C58" s="226"/>
      <c r="D58" s="22"/>
      <c r="E58" s="243"/>
      <c r="F58" s="227"/>
      <c r="G58" s="227"/>
      <c r="H58" s="22"/>
      <c r="I58" s="22"/>
      <c r="J58" s="227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2:60" ht="25.2" customHeight="1">
      <c r="B59" s="187" t="s">
        <v>207</v>
      </c>
      <c r="C59" s="188"/>
      <c r="D59" s="256">
        <f>SUMIFS(Homogeneos_ingresos_totales,Años_homogeneos,Año_seleccionado_C.3.1,Mes_homogeneos,Mes_seleccionado_C.3.1)/1000</f>
        <v>26028.441999999999</v>
      </c>
      <c r="E59" s="256">
        <f>SUMIFS(Homogeneos_ingresos_totales,Años_homogeneos,Año_anterior_seleccionado_C.3.1,Mes_homogeneos,Mes_seleccionado_C.3.1)/1000</f>
        <v>23753.745999999999</v>
      </c>
      <c r="F59" s="228">
        <f>IF(E59=0,"-",IF(ABS((D59-E59)/ABS(E59))*100&gt;=100,"-",IF(D59/E59&lt;0,"-",(D59-E59)/ABS(E59)*100)))</f>
        <v>9.576156956464887</v>
      </c>
      <c r="G59" s="218"/>
      <c r="H59" s="256">
        <f>SUMIFS(Homogeneos_ingresos_totales,Años_homogeneos,Año_seleccionado_C.3.1,Periodo_homogeneos,Periodo_seleccionado_C.3.1)/1000</f>
        <v>53949.17</v>
      </c>
      <c r="I59" s="256">
        <f>SUMIFS(Homogeneos_ingresos_totales,Años_homogeneos,Año_anterior_seleccionado_C.3.1,Periodo_homogeneos,Periodo_seleccionado_C.3.1)/1000</f>
        <v>50545.862000000001</v>
      </c>
      <c r="J59" s="228">
        <f>IF(I59=0,"-",IF(ABS((H59-I59)/ABS(I59))*100&gt;=100,"-",IF(H59/I59&lt;0,"-",(H59-I59)/ABS(I59)*100)))</f>
        <v>6.7331090327433678</v>
      </c>
      <c r="K59" s="212"/>
      <c r="L59" s="212"/>
      <c r="M59" s="212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2:60" ht="11.1" customHeight="1">
      <c r="B60" s="214"/>
      <c r="C60" s="214"/>
      <c r="D60" s="63"/>
      <c r="E60" s="64"/>
      <c r="F60" s="64"/>
      <c r="G60" s="64"/>
      <c r="H60" s="64"/>
      <c r="I60" s="22"/>
      <c r="J60" s="2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2:60" ht="16.5" customHeight="1">
      <c r="B61" s="244"/>
      <c r="C61" s="244"/>
      <c r="D61" s="244"/>
      <c r="E61" s="244"/>
      <c r="F61" s="244"/>
      <c r="G61" s="244"/>
      <c r="H61" s="244"/>
      <c r="I61" s="244"/>
      <c r="J61" s="244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2:60" ht="26.4" customHeight="1">
      <c r="B62" s="155" t="str">
        <f>CONCATENATE("TAX REVENUE MONTHLY REPORT. ",Mes_seleccionado_C.3.1," ",Año_seleccionado_C.3.1)</f>
        <v>TAX REVENUE MONTHLY REPORT. FEBRUARY 2024</v>
      </c>
      <c r="C62" s="205"/>
      <c r="D62" s="206"/>
      <c r="E62" s="206"/>
      <c r="F62" s="206"/>
      <c r="G62" s="206"/>
      <c r="H62" s="207"/>
      <c r="I62" s="207"/>
      <c r="J62" s="162" t="s">
        <v>235</v>
      </c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2:60" ht="15" hidden="1" customHeight="1">
      <c r="B63" s="212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2:60" ht="15" hidden="1" customHeight="1">
      <c r="B64" s="212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2:60" ht="15" hidden="1" customHeight="1"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45" t="s">
        <v>208</v>
      </c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2:60" ht="15" hidden="1" customHeight="1">
      <c r="B66" s="212"/>
      <c r="C66" s="212"/>
      <c r="D66" s="212"/>
      <c r="E66" s="212"/>
      <c r="F66" s="212"/>
      <c r="G66" s="212"/>
      <c r="H66" s="212"/>
      <c r="I66" s="212"/>
      <c r="J66" s="212"/>
      <c r="K66" s="212"/>
      <c r="L66" s="236">
        <v>2020</v>
      </c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2:60" ht="15" hidden="1" customHeight="1"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36">
        <v>2021</v>
      </c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2:60" ht="15" hidden="1" customHeight="1"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36">
        <v>2022</v>
      </c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2:60" ht="15" hidden="1" customHeight="1">
      <c r="B69" s="212"/>
      <c r="C69" s="212"/>
      <c r="D69" s="212"/>
      <c r="E69" s="212"/>
      <c r="F69" s="212"/>
      <c r="G69" s="212"/>
      <c r="H69" s="212"/>
      <c r="I69" s="212"/>
      <c r="J69" s="212"/>
      <c r="K69" s="212"/>
      <c r="L69" s="236">
        <v>2023</v>
      </c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2:60" ht="15" hidden="1" customHeight="1">
      <c r="B70" s="212"/>
      <c r="C70" s="212"/>
      <c r="G70" s="212"/>
      <c r="H70" s="212"/>
      <c r="I70" s="212"/>
      <c r="J70" s="212"/>
      <c r="K70" s="212"/>
      <c r="L70" s="236">
        <v>2024</v>
      </c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2:60" ht="15" hidden="1" customHeight="1">
      <c r="B71" s="212"/>
      <c r="C71" s="212"/>
      <c r="G71" s="212"/>
      <c r="H71" s="212"/>
      <c r="I71" s="212"/>
      <c r="J71" s="212"/>
      <c r="K71" s="212"/>
      <c r="L71" s="236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2:60" ht="15" hidden="1" customHeight="1">
      <c r="B72" s="212"/>
      <c r="C72" s="212"/>
      <c r="G72" s="212"/>
      <c r="H72" s="212"/>
      <c r="I72" s="212"/>
      <c r="J72" s="212"/>
      <c r="K72" s="212"/>
      <c r="L72" s="236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2:60" ht="15" hidden="1" customHeight="1">
      <c r="B73" s="212"/>
      <c r="C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2:60" ht="15" hidden="1" customHeight="1">
      <c r="B74" s="212"/>
      <c r="C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2:60" ht="15" hidden="1" customHeight="1">
      <c r="B75" s="212"/>
      <c r="C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2:60" ht="15" hidden="1" customHeight="1">
      <c r="B76" s="212"/>
      <c r="C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2:60" ht="15" hidden="1" customHeight="1">
      <c r="B77" s="212"/>
      <c r="C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2:60" ht="15" hidden="1" customHeight="1">
      <c r="B78" s="212"/>
      <c r="C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2:60" ht="15" hidden="1" customHeight="1">
      <c r="B79" s="212"/>
      <c r="C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2:60" ht="15" hidden="1" customHeight="1">
      <c r="B80" s="212"/>
      <c r="C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2:60" ht="15" hidden="1" customHeight="1">
      <c r="B81" s="212"/>
      <c r="C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2:60" ht="15" hidden="1" customHeight="1">
      <c r="B82" s="212"/>
      <c r="C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2:60" ht="15" hidden="1" customHeight="1">
      <c r="B83" s="212"/>
      <c r="C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2:60" ht="15" hidden="1" customHeight="1">
      <c r="B84" s="212"/>
      <c r="C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2:60" ht="15" hidden="1" customHeight="1">
      <c r="B85" s="212"/>
      <c r="C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2:60" ht="15" hidden="1" customHeight="1">
      <c r="B86" s="212"/>
      <c r="C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2:60" ht="15" hidden="1" customHeight="1">
      <c r="B87" s="212"/>
      <c r="C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  <c r="AA87" s="212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2:60" ht="15" hidden="1" customHeight="1">
      <c r="B88" s="212"/>
      <c r="C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2:60" ht="15" hidden="1" customHeight="1">
      <c r="B89" s="212"/>
      <c r="C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2:60" ht="15" hidden="1" customHeight="1">
      <c r="B90" s="212"/>
      <c r="C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2:60" ht="15" hidden="1" customHeight="1">
      <c r="B91" s="212"/>
      <c r="C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2:60" ht="15" hidden="1" customHeight="1">
      <c r="B92" s="212"/>
      <c r="C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2:60" ht="15" hidden="1" customHeight="1">
      <c r="B93" s="212"/>
      <c r="C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2:60" ht="15" hidden="1" customHeight="1">
      <c r="B94" s="212"/>
      <c r="C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2:60" ht="15" hidden="1" customHeight="1">
      <c r="B95" s="212"/>
      <c r="C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2:60" ht="15" hidden="1" customHeight="1">
      <c r="B96" s="212"/>
      <c r="C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2:60" ht="15" hidden="1" customHeight="1">
      <c r="B97" s="212"/>
      <c r="C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2:60" ht="15" hidden="1" customHeight="1">
      <c r="B98" s="212"/>
      <c r="C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2:60" ht="15" hidden="1" customHeight="1">
      <c r="B99" s="212"/>
      <c r="C99" s="212"/>
      <c r="G99" s="212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2:60" ht="15" hidden="1" customHeight="1">
      <c r="B100" s="212"/>
      <c r="C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2:60" ht="15" hidden="1" customHeight="1">
      <c r="B101" s="212"/>
      <c r="C101" s="212"/>
      <c r="G101" s="212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2:60" ht="15" hidden="1" customHeight="1">
      <c r="B102" s="212"/>
      <c r="C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2:60" ht="15" hidden="1" customHeight="1">
      <c r="B103" s="212"/>
      <c r="C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2:60" ht="15" hidden="1" customHeight="1">
      <c r="B104" s="212"/>
      <c r="C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2:60" ht="15" hidden="1" customHeight="1">
      <c r="B105" s="212"/>
      <c r="C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2:60" ht="15" hidden="1" customHeight="1">
      <c r="B106" s="212"/>
      <c r="C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2:60" ht="15" hidden="1" customHeight="1">
      <c r="B107" s="212"/>
      <c r="C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2:60" ht="15" hidden="1" customHeight="1">
      <c r="B108" s="212"/>
      <c r="C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2:60" ht="15" hidden="1" customHeight="1">
      <c r="B109" s="212"/>
      <c r="C109" s="212"/>
      <c r="G109" s="212"/>
      <c r="H109" s="212"/>
      <c r="I109" s="212"/>
      <c r="J109" s="212"/>
      <c r="K109" s="212"/>
      <c r="L109" s="212"/>
      <c r="M109" s="212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12"/>
      <c r="AG109" s="212"/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2:60" ht="15" hidden="1" customHeight="1">
      <c r="B110" s="212"/>
      <c r="C110" s="212"/>
      <c r="G110" s="212"/>
      <c r="H110" s="212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2:60" ht="15" hidden="1" customHeight="1">
      <c r="B111" s="212"/>
      <c r="C111" s="212"/>
      <c r="G111" s="212"/>
      <c r="H111" s="212"/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212"/>
      <c r="AG111" s="212"/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2:60" ht="15" hidden="1" customHeight="1">
      <c r="B112" s="212"/>
      <c r="C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2:60" ht="15" hidden="1" customHeight="1">
      <c r="B113" s="212"/>
      <c r="C113" s="212"/>
      <c r="G113" s="212"/>
      <c r="H113" s="212"/>
      <c r="I113" s="212"/>
      <c r="J113" s="212"/>
      <c r="K113" s="212"/>
      <c r="L113" s="212"/>
      <c r="M113" s="212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212"/>
      <c r="AG113" s="212"/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2:60" ht="15" hidden="1" customHeight="1">
      <c r="B114" s="212"/>
      <c r="C114" s="212"/>
      <c r="G114" s="212"/>
      <c r="H114" s="212"/>
      <c r="I114" s="212"/>
      <c r="J114" s="212"/>
      <c r="K114" s="212"/>
      <c r="L114" s="212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2:60" ht="15" hidden="1" customHeight="1">
      <c r="B115" s="212"/>
      <c r="C115" s="212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2:60" ht="15" hidden="1" customHeight="1">
      <c r="B116" s="212"/>
      <c r="C116" s="212"/>
      <c r="G116" s="212"/>
      <c r="H116" s="212"/>
      <c r="I116" s="212"/>
      <c r="J116" s="212"/>
      <c r="K116" s="212"/>
      <c r="L116" s="212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2:60" ht="15" hidden="1" customHeight="1">
      <c r="B117" s="212"/>
      <c r="C117" s="212"/>
      <c r="D117" s="212"/>
      <c r="E117" s="212"/>
      <c r="F117" s="212"/>
      <c r="G117" s="212"/>
      <c r="H117" s="212"/>
      <c r="I117" s="212"/>
      <c r="J117" s="212"/>
      <c r="K117" s="212"/>
      <c r="L117" s="212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2:60" ht="15" hidden="1" customHeight="1">
      <c r="B118" s="212"/>
      <c r="C118" s="212"/>
      <c r="D118" s="212"/>
      <c r="E118" s="212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2:60" ht="15" hidden="1" customHeight="1">
      <c r="B119" s="212"/>
      <c r="C119" s="212"/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2:60" ht="15" hidden="1" customHeight="1">
      <c r="B120" s="212"/>
      <c r="C120" s="212"/>
      <c r="D120" s="212"/>
      <c r="E120" s="212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2:60" ht="15" hidden="1" customHeight="1">
      <c r="B121" s="212"/>
      <c r="C121" s="212"/>
      <c r="D121" s="212"/>
      <c r="E121" s="212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2:60" ht="15" hidden="1" customHeight="1"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2:60" ht="15" hidden="1" customHeight="1"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2:60" ht="15" hidden="1" customHeight="1"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2:60" ht="15" hidden="1" customHeight="1">
      <c r="B125" s="212"/>
      <c r="C125" s="212"/>
      <c r="D125" s="212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2:60" ht="15" hidden="1">
      <c r="B126" s="212"/>
      <c r="C126" s="212"/>
      <c r="D126" s="212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2:60" ht="15" hidden="1">
      <c r="B127" s="212"/>
      <c r="C127" s="212"/>
      <c r="D127" s="212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2:60" ht="15" hidden="1">
      <c r="B128" s="212"/>
      <c r="C128" s="212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2:60" ht="15" hidden="1">
      <c r="B129" s="212"/>
      <c r="C129" s="212"/>
      <c r="D129" s="212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2:60" ht="15" hidden="1">
      <c r="B130" s="212"/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2:60" ht="15" hidden="1"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2:60" ht="15" hidden="1"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2:60" ht="15" hidden="1"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2:60" ht="15" hidden="1"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2:60" ht="15" hidden="1">
      <c r="B135" s="212"/>
      <c r="C135" s="212"/>
      <c r="D135" s="212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2:60" ht="15" hidden="1">
      <c r="B136" s="212"/>
      <c r="C136" s="212"/>
      <c r="D136" s="212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2:60" ht="15" hidden="1"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2:60" ht="15" hidden="1"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2:60" ht="15" hidden="1"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2:60" ht="15" hidden="1"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2:60" ht="15" hidden="1">
      <c r="B141" s="212"/>
      <c r="C141" s="212"/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2:60" ht="15" hidden="1"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2:60" ht="15" hidden="1"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2:60" ht="15" hidden="1">
      <c r="B144" s="212"/>
      <c r="C144" s="212"/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2:60" ht="15" hidden="1">
      <c r="B145" s="212"/>
      <c r="C145" s="212"/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2:60" ht="15" hidden="1">
      <c r="B146" s="212"/>
      <c r="C146" s="212"/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2:60" ht="15" hidden="1">
      <c r="B147" s="212"/>
      <c r="C147" s="212"/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2:60" ht="15" hidden="1">
      <c r="B148" s="212"/>
      <c r="C148" s="212"/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2:60" ht="15" hidden="1">
      <c r="B149" s="212"/>
      <c r="C149" s="212"/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2:60" ht="15" hidden="1"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2:60" ht="15" hidden="1"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2:60" ht="15" hidden="1"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2:60" ht="15" hidden="1">
      <c r="B153" s="212"/>
      <c r="C153" s="212"/>
      <c r="D153" s="21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2:60" ht="15" hidden="1"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2:60" ht="15" hidden="1">
      <c r="B155" s="212"/>
      <c r="C155" s="212"/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2:60" ht="15" hidden="1">
      <c r="B156" s="212"/>
      <c r="C156" s="212"/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2:60" ht="15" hidden="1">
      <c r="B157" s="212"/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2:60" ht="15" hidden="1">
      <c r="B158" s="212"/>
      <c r="C158" s="212"/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2:60" ht="15" hidden="1">
      <c r="B159" s="212"/>
      <c r="C159" s="212"/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2:60" ht="15" hidden="1">
      <c r="B160" s="212"/>
      <c r="C160" s="212"/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2:60" ht="15" hidden="1">
      <c r="B161" s="212"/>
      <c r="C161" s="212"/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2:60" ht="15" hidden="1"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2:60" ht="15" hidden="1">
      <c r="B163" s="212"/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2:60" ht="15" hidden="1"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2:60" ht="15" hidden="1">
      <c r="B165" s="212"/>
      <c r="C165" s="212"/>
      <c r="D165" s="212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2:60" ht="15" hidden="1">
      <c r="B166" s="212"/>
      <c r="C166" s="212"/>
      <c r="D166" s="212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2:60" ht="15" hidden="1">
      <c r="B167" s="212"/>
      <c r="C167" s="212"/>
      <c r="D167" s="212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2:60" ht="15" hidden="1">
      <c r="B168" s="212"/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2:60" ht="15" hidden="1">
      <c r="B169" s="212"/>
      <c r="C169" s="212"/>
      <c r="D169" s="212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2:60" ht="15" hidden="1">
      <c r="B170" s="212"/>
      <c r="C170" s="212"/>
      <c r="D170" s="212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2:60" ht="15" hidden="1">
      <c r="B171" s="212"/>
      <c r="C171" s="212"/>
      <c r="D171" s="212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2:60" ht="15" hidden="1">
      <c r="B172" s="212"/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2:60" ht="15" hidden="1">
      <c r="B173" s="212"/>
      <c r="C173" s="212"/>
      <c r="D173" s="212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2:60" ht="15" hidden="1"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2:60" ht="15" hidden="1">
      <c r="B175" s="212"/>
      <c r="C175" s="212"/>
      <c r="D175" s="21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2:60" ht="15" hidden="1">
      <c r="B176" s="212"/>
      <c r="C176" s="212"/>
      <c r="D176" s="21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2:60" ht="15" hidden="1">
      <c r="B177" s="212"/>
      <c r="C177" s="212"/>
      <c r="D177" s="21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2:60" ht="15" hidden="1">
      <c r="B178" s="212"/>
      <c r="C178" s="212"/>
      <c r="D178" s="21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2:60" ht="15" hidden="1">
      <c r="B179" s="212"/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2:60" ht="15" hidden="1">
      <c r="B180" s="212"/>
      <c r="C180" s="212"/>
      <c r="D180" s="21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12"/>
      <c r="AE180" s="212"/>
      <c r="AF180" s="212"/>
      <c r="AG180" s="212"/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2:60" ht="15" hidden="1">
      <c r="B181" s="212"/>
      <c r="C181" s="212"/>
      <c r="D181" s="21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2:60" ht="15" hidden="1">
      <c r="B182" s="212"/>
      <c r="C182" s="212"/>
      <c r="D182" s="21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12"/>
      <c r="AE182" s="212"/>
      <c r="AF182" s="212"/>
      <c r="AG182" s="212"/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2:60" ht="15" hidden="1">
      <c r="B183" s="212"/>
      <c r="C183" s="212"/>
      <c r="D183" s="21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2:60" ht="15" hidden="1">
      <c r="B184" s="212"/>
      <c r="C184" s="212"/>
      <c r="D184" s="21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2"/>
      <c r="AG184" s="212"/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2:60" ht="15" hidden="1"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12"/>
      <c r="AG185" s="212"/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2:60" ht="15" hidden="1">
      <c r="B186" s="212"/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2"/>
      <c r="AG186" s="212"/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2:60" ht="15" hidden="1"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2:60" ht="15" hidden="1"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2:60" ht="15" hidden="1">
      <c r="B189" s="212"/>
      <c r="C189" s="212"/>
      <c r="D189" s="212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2:60" ht="15" hidden="1">
      <c r="B190" s="212"/>
      <c r="C190" s="212"/>
      <c r="D190" s="212"/>
      <c r="E190" s="212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2:60" ht="15" hidden="1">
      <c r="B191" s="212"/>
      <c r="C191" s="212"/>
      <c r="D191" s="212"/>
      <c r="E191" s="212"/>
      <c r="F191" s="212"/>
      <c r="G191" s="212"/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2:60" ht="15" hidden="1">
      <c r="B192" s="212"/>
      <c r="C192" s="212"/>
      <c r="D192" s="212"/>
      <c r="E192" s="212"/>
      <c r="F192" s="212"/>
      <c r="G192" s="212"/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2:60" ht="15" hidden="1">
      <c r="B193" s="212"/>
      <c r="C193" s="212"/>
      <c r="D193" s="212"/>
      <c r="E193" s="212"/>
      <c r="F193" s="212"/>
      <c r="G193" s="212"/>
      <c r="H193" s="212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2:60" ht="15" hidden="1">
      <c r="B194" s="212"/>
      <c r="C194" s="212"/>
      <c r="D194" s="212"/>
      <c r="E194" s="212"/>
      <c r="F194" s="212"/>
      <c r="G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2:60" ht="15" hidden="1">
      <c r="B195" s="212"/>
      <c r="C195" s="212"/>
      <c r="D195" s="212"/>
      <c r="E195" s="212"/>
      <c r="F195" s="212"/>
      <c r="G195" s="212"/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2:60" ht="15" hidden="1">
      <c r="B196" s="212"/>
      <c r="C196" s="212"/>
      <c r="D196" s="212"/>
      <c r="E196" s="212"/>
      <c r="F196" s="212"/>
      <c r="G196" s="212"/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2:60" ht="15" hidden="1">
      <c r="B197" s="212"/>
      <c r="C197" s="212"/>
      <c r="D197" s="212"/>
      <c r="E197" s="212"/>
      <c r="F197" s="212"/>
      <c r="G197" s="212"/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  <c r="AA197" s="212"/>
      <c r="AB197" s="212"/>
      <c r="AC197" s="212"/>
      <c r="AD197" s="212"/>
      <c r="AE197" s="212"/>
      <c r="AF197" s="212"/>
      <c r="AG197" s="212"/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2:60" ht="15" hidden="1">
      <c r="B198" s="212"/>
      <c r="C198" s="212"/>
      <c r="D198" s="212"/>
      <c r="E198" s="212"/>
      <c r="F198" s="212"/>
      <c r="G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2:60" ht="15" hidden="1">
      <c r="B199" s="212"/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2:60" ht="15" hidden="1"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2:60" ht="15" hidden="1"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2:60" ht="15" hidden="1">
      <c r="B202" s="212"/>
      <c r="C202" s="212"/>
      <c r="D202" s="212"/>
      <c r="E202" s="212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2:60" ht="15" hidden="1">
      <c r="B203" s="212"/>
      <c r="C203" s="212"/>
      <c r="D203" s="212"/>
      <c r="E203" s="212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2:60" ht="15" hidden="1">
      <c r="B204" s="212"/>
      <c r="C204" s="212"/>
      <c r="D204" s="212"/>
      <c r="E204" s="212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2:60" ht="15" hidden="1">
      <c r="B205" s="212"/>
      <c r="C205" s="212"/>
      <c r="D205" s="212"/>
      <c r="E205" s="212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2:60" ht="15" hidden="1">
      <c r="B206" s="212"/>
      <c r="C206" s="212"/>
      <c r="D206" s="212"/>
      <c r="E206" s="212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2:60" ht="15" hidden="1">
      <c r="B207" s="212"/>
      <c r="C207" s="212"/>
      <c r="D207" s="212"/>
      <c r="E207" s="212"/>
      <c r="F207" s="212"/>
      <c r="G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2:60" ht="15" hidden="1">
      <c r="B208" s="212"/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2:60" ht="15" hidden="1">
      <c r="B209" s="212"/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2:60" ht="15" hidden="1">
      <c r="B210" s="212"/>
      <c r="C210" s="212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2:60" ht="15" hidden="1">
      <c r="B211" s="212"/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2:60" ht="15" hidden="1"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2:60" ht="15" hidden="1"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2:60" ht="15" hidden="1">
      <c r="B214" s="212"/>
      <c r="C214" s="212"/>
      <c r="D214" s="212"/>
      <c r="E214" s="212"/>
      <c r="F214" s="212"/>
      <c r="G214" s="212"/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2:60" ht="15" hidden="1">
      <c r="B215" s="212"/>
      <c r="C215" s="212"/>
      <c r="D215" s="212"/>
      <c r="E215" s="212"/>
      <c r="F215" s="212"/>
      <c r="G215" s="212"/>
      <c r="H215" s="212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2:60" ht="15" hidden="1">
      <c r="B216" s="212"/>
      <c r="C216" s="212"/>
      <c r="D216" s="212"/>
      <c r="E216" s="212"/>
      <c r="F216" s="212"/>
      <c r="G216" s="212"/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2:60" ht="15" hidden="1">
      <c r="B217" s="212"/>
      <c r="C217" s="212"/>
      <c r="D217" s="212"/>
      <c r="E217" s="212"/>
      <c r="F217" s="212"/>
      <c r="G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2:60" ht="15" hidden="1">
      <c r="B218" s="212"/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2:60" ht="15" hidden="1">
      <c r="B219" s="212"/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2:60" ht="15" hidden="1">
      <c r="B220" s="212"/>
      <c r="C220" s="212"/>
      <c r="D220" s="212"/>
      <c r="E220" s="212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2:60" ht="15" hidden="1">
      <c r="B221" s="212"/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2:60" ht="15" hidden="1">
      <c r="B222" s="212"/>
      <c r="C222" s="212"/>
      <c r="D222" s="212"/>
      <c r="E222" s="212"/>
      <c r="F222" s="212"/>
      <c r="G222" s="212"/>
      <c r="H222" s="212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2:60" ht="15" hidden="1">
      <c r="B223" s="212"/>
      <c r="C223" s="212"/>
      <c r="D223" s="212"/>
      <c r="E223" s="212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2:60" ht="15" hidden="1">
      <c r="B224" s="212"/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2:60" ht="15" hidden="1">
      <c r="B225" s="212"/>
      <c r="C225" s="212"/>
      <c r="D225" s="212"/>
      <c r="E225" s="212"/>
      <c r="F225" s="212"/>
      <c r="G225" s="212"/>
      <c r="H225" s="212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2:60" ht="15" hidden="1"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2:60" ht="15" hidden="1">
      <c r="B227" s="212"/>
      <c r="C227" s="212"/>
      <c r="D227" s="212"/>
      <c r="E227" s="212"/>
      <c r="F227" s="212"/>
      <c r="G227" s="212"/>
      <c r="H227" s="212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2:60" ht="15" hidden="1">
      <c r="B228" s="212"/>
      <c r="C228" s="212"/>
      <c r="D228" s="212"/>
      <c r="E228" s="212"/>
      <c r="F228" s="212"/>
      <c r="G228" s="212"/>
      <c r="H228" s="212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2:60" ht="15" hidden="1">
      <c r="B229" s="212"/>
      <c r="C229" s="212"/>
      <c r="D229" s="212"/>
      <c r="E229" s="212"/>
      <c r="F229" s="212"/>
      <c r="G229" s="212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2:60" ht="15" hidden="1">
      <c r="B230" s="212"/>
      <c r="C230" s="212"/>
      <c r="D230" s="212"/>
      <c r="E230" s="212"/>
      <c r="F230" s="212"/>
      <c r="G230" s="212"/>
      <c r="H230" s="212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2:60" ht="15" hidden="1">
      <c r="B231" s="212"/>
      <c r="C231" s="212"/>
      <c r="D231" s="212"/>
      <c r="E231" s="212"/>
      <c r="F231" s="212"/>
      <c r="G231" s="212"/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2:60" ht="15" hidden="1">
      <c r="B232" s="212"/>
      <c r="C232" s="212"/>
      <c r="D232" s="212"/>
      <c r="E232" s="212"/>
      <c r="F232" s="212"/>
      <c r="G232" s="212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2:60" ht="15" hidden="1">
      <c r="B233" s="212"/>
      <c r="C233" s="212"/>
      <c r="D233" s="212"/>
      <c r="E233" s="212"/>
      <c r="F233" s="212"/>
      <c r="G233" s="212"/>
      <c r="H233" s="212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2:60" ht="15" hidden="1">
      <c r="B234" s="212"/>
      <c r="C234" s="212"/>
      <c r="D234" s="212"/>
      <c r="E234" s="212"/>
      <c r="F234" s="212"/>
      <c r="G234" s="212"/>
      <c r="H234" s="212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2:60" ht="15" hidden="1">
      <c r="B235" s="212"/>
      <c r="C235" s="212"/>
      <c r="D235" s="212"/>
      <c r="E235" s="212"/>
      <c r="F235" s="212"/>
      <c r="G235" s="212"/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2:60" ht="15" hidden="1">
      <c r="B236" s="212"/>
      <c r="C236" s="212"/>
      <c r="D236" s="212"/>
      <c r="E236" s="212"/>
      <c r="F236" s="212"/>
      <c r="G236" s="212"/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2:60" ht="15" hidden="1">
      <c r="B237" s="212"/>
      <c r="C237" s="212"/>
      <c r="D237" s="212"/>
      <c r="E237" s="212"/>
      <c r="F237" s="212"/>
      <c r="G237" s="212"/>
      <c r="H237" s="212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2:60" ht="15" hidden="1">
      <c r="B238" s="212"/>
      <c r="C238" s="212"/>
      <c r="D238" s="212"/>
      <c r="E238" s="212"/>
      <c r="F238" s="212"/>
      <c r="G238" s="212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2:60" ht="15" hidden="1"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  <c r="AA239" s="212"/>
      <c r="AB239" s="212"/>
      <c r="AC239" s="212"/>
      <c r="AD239" s="212"/>
      <c r="AE239" s="212"/>
      <c r="AF239" s="212"/>
      <c r="AG239" s="212"/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2:60" ht="15" hidden="1">
      <c r="B240" s="212"/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2:60" ht="15" hidden="1">
      <c r="B241" s="212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2:60" ht="15" hidden="1">
      <c r="B242" s="212"/>
      <c r="C242" s="212"/>
      <c r="D242" s="212"/>
      <c r="E242" s="212"/>
      <c r="F242" s="212"/>
      <c r="G242" s="212"/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2:60" ht="15" hidden="1">
      <c r="B243" s="212"/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2:60" ht="15" hidden="1">
      <c r="B244" s="212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2:60" ht="15" hidden="1">
      <c r="B245" s="212"/>
      <c r="C245" s="212"/>
      <c r="D245" s="212"/>
      <c r="E245" s="212"/>
      <c r="F245" s="212"/>
      <c r="G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2:60" ht="15" hidden="1">
      <c r="B246" s="212"/>
      <c r="C246" s="212"/>
      <c r="D246" s="212"/>
      <c r="E246" s="212"/>
      <c r="F246" s="212"/>
      <c r="G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2:60" ht="15" hidden="1">
      <c r="B247" s="212"/>
      <c r="C247" s="212"/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2:60" ht="15" hidden="1">
      <c r="B248" s="212"/>
      <c r="C248" s="212"/>
      <c r="D248" s="212"/>
      <c r="E248" s="212"/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2:60" ht="15" hidden="1">
      <c r="B249" s="212"/>
      <c r="C249" s="212"/>
      <c r="D249" s="212"/>
      <c r="E249" s="212"/>
      <c r="F249" s="212"/>
      <c r="G249" s="212"/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2:60" ht="15" hidden="1">
      <c r="B250" s="212"/>
      <c r="C250" s="212"/>
      <c r="D250" s="212"/>
      <c r="E250" s="212"/>
      <c r="F250" s="212"/>
      <c r="G250" s="212"/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2:60" ht="15" hidden="1">
      <c r="B251" s="212"/>
      <c r="C251" s="212"/>
      <c r="D251" s="212"/>
      <c r="E251" s="212"/>
      <c r="F251" s="212"/>
      <c r="G251" s="212"/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2:60" ht="15" hidden="1"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2:60" ht="15" hidden="1">
      <c r="B253" s="212"/>
      <c r="C253" s="212"/>
      <c r="D253" s="212"/>
      <c r="E253" s="212"/>
      <c r="F253" s="212"/>
      <c r="G253" s="212"/>
      <c r="H253" s="212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2:60" ht="15" hidden="1"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2:60" ht="15" hidden="1"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2:60" ht="15" hidden="1">
      <c r="B256" s="212"/>
      <c r="C256" s="212"/>
      <c r="D256" s="212"/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2:60" ht="15" hidden="1">
      <c r="B257" s="212"/>
      <c r="C257" s="212"/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2:60" ht="15" hidden="1"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2:60" ht="15" hidden="1">
      <c r="B259" s="212"/>
      <c r="C259" s="212"/>
      <c r="D259" s="212"/>
      <c r="E259" s="212"/>
      <c r="F259" s="212"/>
      <c r="G259" s="212"/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  <c r="AA259" s="212"/>
      <c r="AB259" s="212"/>
      <c r="AC259" s="212"/>
      <c r="AD259" s="212"/>
      <c r="AE259" s="212"/>
      <c r="AF259" s="212"/>
      <c r="AG259" s="212"/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2:60" ht="15" hidden="1"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2:60" ht="15" hidden="1"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2:60" ht="15" hidden="1">
      <c r="B262" s="212"/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2:60" ht="15" hidden="1">
      <c r="B263" s="212"/>
      <c r="C263" s="212"/>
      <c r="D263" s="212"/>
      <c r="E263" s="212"/>
      <c r="F263" s="212"/>
      <c r="G263" s="212"/>
      <c r="H263" s="212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2:60" ht="15" hidden="1">
      <c r="B264" s="212"/>
      <c r="C264" s="212"/>
      <c r="D264" s="212"/>
      <c r="E264" s="212"/>
      <c r="F264" s="212"/>
      <c r="G264" s="212"/>
      <c r="H264" s="212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  <c r="AA264" s="212"/>
      <c r="AB264" s="212"/>
      <c r="AC264" s="212"/>
      <c r="AD264" s="212"/>
      <c r="AE264" s="212"/>
      <c r="AF264" s="212"/>
      <c r="AG264" s="212"/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2:60" ht="15" hidden="1">
      <c r="B265" s="212"/>
      <c r="C265" s="212"/>
      <c r="D265" s="212"/>
      <c r="E265" s="212"/>
      <c r="F265" s="212"/>
      <c r="G265" s="212"/>
      <c r="H265" s="212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  <c r="AA265" s="212"/>
      <c r="AB265" s="212"/>
      <c r="AC265" s="212"/>
      <c r="AD265" s="212"/>
      <c r="AE265" s="212"/>
      <c r="AF265" s="212"/>
      <c r="AG265" s="212"/>
      <c r="AH265" s="212"/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2:60" ht="15" hidden="1">
      <c r="B266" s="212"/>
      <c r="C266" s="212"/>
      <c r="D266" s="212"/>
      <c r="E266" s="212"/>
      <c r="F266" s="212"/>
      <c r="G266" s="212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2:60" ht="15" hidden="1">
      <c r="B267" s="212"/>
      <c r="C267" s="212"/>
      <c r="D267" s="212"/>
      <c r="E267" s="212"/>
      <c r="F267" s="212"/>
      <c r="G267" s="212"/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  <c r="AA267" s="212"/>
      <c r="AB267" s="212"/>
      <c r="AC267" s="212"/>
      <c r="AD267" s="212"/>
      <c r="AE267" s="212"/>
      <c r="AF267" s="212"/>
      <c r="AG267" s="212"/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2:60" ht="15" hidden="1">
      <c r="B268" s="212"/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2:60" ht="15" hidden="1">
      <c r="B269" s="212"/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2:60" ht="15" hidden="1">
      <c r="B270" s="212"/>
      <c r="C270" s="212"/>
      <c r="D270" s="212"/>
      <c r="E270" s="212"/>
      <c r="F270" s="212"/>
      <c r="G270" s="212"/>
      <c r="H270" s="212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  <c r="AA270" s="212"/>
      <c r="AB270" s="212"/>
      <c r="AC270" s="212"/>
      <c r="AD270" s="212"/>
      <c r="AE270" s="212"/>
      <c r="AF270" s="212"/>
      <c r="AG270" s="212"/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2:60" ht="15" hidden="1">
      <c r="B271" s="212"/>
      <c r="C271" s="212"/>
      <c r="D271" s="212"/>
      <c r="E271" s="212"/>
      <c r="F271" s="212"/>
      <c r="G271" s="212"/>
      <c r="H271" s="212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2:60" ht="15" hidden="1">
      <c r="B272" s="212"/>
      <c r="C272" s="212"/>
      <c r="D272" s="212"/>
      <c r="E272" s="212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2:60" ht="15" hidden="1">
      <c r="B273" s="212"/>
      <c r="C273" s="212"/>
      <c r="D273" s="212"/>
      <c r="E273" s="212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2:60" ht="15" hidden="1">
      <c r="B274" s="212"/>
      <c r="C274" s="212"/>
      <c r="D274" s="212"/>
      <c r="E274" s="212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2:60" ht="15" hidden="1">
      <c r="B275" s="212"/>
      <c r="C275" s="212"/>
      <c r="D275" s="212"/>
      <c r="E275" s="212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2:60" ht="15" hidden="1">
      <c r="B276" s="212"/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2:60" ht="15" hidden="1">
      <c r="B277" s="212"/>
      <c r="C277" s="212"/>
      <c r="D277" s="212"/>
      <c r="E277" s="212"/>
      <c r="F277" s="212"/>
      <c r="G277" s="212"/>
      <c r="H277" s="212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  <c r="AA277" s="212"/>
      <c r="AB277" s="212"/>
      <c r="AC277" s="212"/>
      <c r="AD277" s="212"/>
      <c r="AE277" s="212"/>
      <c r="AF277" s="212"/>
      <c r="AG277" s="212"/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2:60" ht="15" hidden="1">
      <c r="B278" s="212"/>
      <c r="C278" s="212"/>
      <c r="D278" s="212"/>
      <c r="E278" s="212"/>
      <c r="F278" s="212"/>
      <c r="G278" s="212"/>
      <c r="H278" s="212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  <c r="AA278" s="212"/>
      <c r="AB278" s="212"/>
      <c r="AC278" s="212"/>
      <c r="AD278" s="212"/>
      <c r="AE278" s="212"/>
      <c r="AF278" s="212"/>
      <c r="AG278" s="212"/>
      <c r="AH278" s="212"/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2:60" ht="15" hidden="1">
      <c r="B279" s="212"/>
      <c r="C279" s="212"/>
      <c r="D279" s="212"/>
      <c r="E279" s="212"/>
      <c r="F279" s="212"/>
      <c r="G279" s="212"/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  <c r="AA279" s="212"/>
      <c r="AB279" s="212"/>
      <c r="AC279" s="212"/>
      <c r="AD279" s="212"/>
      <c r="AE279" s="212"/>
      <c r="AF279" s="212"/>
      <c r="AG279" s="212"/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2:60" ht="15" hidden="1">
      <c r="B280" s="212"/>
      <c r="C280" s="212"/>
      <c r="D280" s="212"/>
      <c r="E280" s="212"/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2"/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2:60" ht="15" hidden="1">
      <c r="B281" s="212"/>
      <c r="C281" s="212"/>
      <c r="D281" s="212"/>
      <c r="E281" s="212"/>
      <c r="F281" s="212"/>
      <c r="G281" s="212"/>
      <c r="H281" s="212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  <c r="AA281" s="212"/>
      <c r="AB281" s="212"/>
      <c r="AC281" s="212"/>
      <c r="AD281" s="212"/>
      <c r="AE281" s="212"/>
      <c r="AF281" s="212"/>
      <c r="AG281" s="212"/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2:60" ht="15" hidden="1">
      <c r="B282" s="212"/>
      <c r="C282" s="212"/>
      <c r="D282" s="212"/>
      <c r="E282" s="212"/>
      <c r="F282" s="212"/>
      <c r="G282" s="212"/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  <c r="AA282" s="212"/>
      <c r="AB282" s="212"/>
      <c r="AC282" s="212"/>
      <c r="AD282" s="212"/>
      <c r="AE282" s="212"/>
      <c r="AF282" s="212"/>
      <c r="AG282" s="212"/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2:60" ht="15" hidden="1"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  <c r="AA283" s="212"/>
      <c r="AB283" s="212"/>
      <c r="AC283" s="212"/>
      <c r="AD283" s="212"/>
      <c r="AE283" s="212"/>
      <c r="AF283" s="212"/>
      <c r="AG283" s="212"/>
      <c r="AH283" s="212"/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2:60" ht="15" hidden="1">
      <c r="B284" s="212"/>
      <c r="C284" s="212"/>
      <c r="D284" s="212"/>
      <c r="E284" s="212"/>
      <c r="F284" s="212"/>
      <c r="G284" s="212"/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  <c r="AA284" s="212"/>
      <c r="AB284" s="212"/>
      <c r="AC284" s="212"/>
      <c r="AD284" s="212"/>
      <c r="AE284" s="212"/>
      <c r="AF284" s="212"/>
      <c r="AG284" s="212"/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2:60" ht="15" hidden="1">
      <c r="B285" s="212"/>
      <c r="C285" s="212"/>
      <c r="D285" s="212"/>
      <c r="E285" s="212"/>
      <c r="F285" s="212"/>
      <c r="G285" s="212"/>
      <c r="H285" s="212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  <c r="AA285" s="212"/>
      <c r="AB285" s="212"/>
      <c r="AC285" s="212"/>
      <c r="AD285" s="212"/>
      <c r="AE285" s="212"/>
      <c r="AF285" s="212"/>
      <c r="AG285" s="212"/>
      <c r="AH285" s="212"/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2:60" ht="15" hidden="1">
      <c r="B286" s="212"/>
      <c r="C286" s="212"/>
      <c r="D286" s="212"/>
      <c r="E286" s="212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2:60" ht="15" hidden="1">
      <c r="B287" s="212"/>
      <c r="C287" s="212"/>
      <c r="D287" s="212"/>
      <c r="E287" s="212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2:60" ht="15" hidden="1">
      <c r="B288" s="212"/>
      <c r="C288" s="212"/>
      <c r="D288" s="212"/>
      <c r="E288" s="212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2:60" ht="15" hidden="1">
      <c r="B289" s="212"/>
      <c r="C289" s="212"/>
      <c r="D289" s="212"/>
      <c r="E289" s="212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2:60" ht="15" hidden="1">
      <c r="B290" s="212"/>
      <c r="C290" s="212"/>
      <c r="D290" s="212"/>
      <c r="E290" s="212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2:60" ht="15" hidden="1">
      <c r="B291" s="212"/>
      <c r="C291" s="212"/>
      <c r="D291" s="212"/>
      <c r="E291" s="212"/>
      <c r="F291" s="212"/>
      <c r="G291" s="212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2:60" ht="15" hidden="1">
      <c r="B292" s="212"/>
      <c r="C292" s="212"/>
      <c r="D292" s="212"/>
      <c r="E292" s="212"/>
      <c r="F292" s="212"/>
      <c r="G292" s="212"/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  <c r="AA292" s="212"/>
      <c r="AB292" s="212"/>
      <c r="AC292" s="212"/>
      <c r="AD292" s="212"/>
      <c r="AE292" s="212"/>
      <c r="AF292" s="212"/>
      <c r="AG292" s="212"/>
      <c r="AH292" s="212"/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2:60" ht="15" hidden="1">
      <c r="B293" s="212"/>
      <c r="C293" s="212"/>
      <c r="D293" s="212"/>
      <c r="E293" s="212"/>
      <c r="F293" s="212"/>
      <c r="G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  <c r="AA293" s="212"/>
      <c r="AB293" s="212"/>
      <c r="AC293" s="212"/>
      <c r="AD293" s="212"/>
      <c r="AE293" s="212"/>
      <c r="AF293" s="212"/>
      <c r="AG293" s="212"/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2:60" ht="15" hidden="1">
      <c r="B294" s="212"/>
      <c r="C294" s="212"/>
      <c r="D294" s="212"/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2"/>
      <c r="AG294" s="212"/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2:60" ht="15" hidden="1">
      <c r="B295" s="212"/>
      <c r="C295" s="212"/>
      <c r="D295" s="212"/>
      <c r="E295" s="212"/>
      <c r="F295" s="212"/>
      <c r="G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  <c r="AA295" s="212"/>
      <c r="AB295" s="212"/>
      <c r="AC295" s="212"/>
      <c r="AD295" s="212"/>
      <c r="AE295" s="212"/>
      <c r="AF295" s="212"/>
      <c r="AG295" s="212"/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2:60" ht="15" hidden="1">
      <c r="B296" s="212"/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2:60" ht="15" hidden="1">
      <c r="B297" s="212"/>
      <c r="C297" s="212"/>
      <c r="D297" s="212"/>
      <c r="E297" s="212"/>
      <c r="F297" s="212"/>
      <c r="G297" s="212"/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  <c r="AA297" s="212"/>
      <c r="AB297" s="212"/>
      <c r="AC297" s="212"/>
      <c r="AD297" s="212"/>
      <c r="AE297" s="212"/>
      <c r="AF297" s="212"/>
      <c r="AG297" s="212"/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2:60" ht="15" hidden="1">
      <c r="B298" s="212"/>
      <c r="C298" s="212"/>
      <c r="D298" s="212"/>
      <c r="E298" s="212"/>
      <c r="F298" s="212"/>
      <c r="G298" s="212"/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  <c r="AA298" s="212"/>
      <c r="AB298" s="212"/>
      <c r="AC298" s="212"/>
      <c r="AD298" s="212"/>
      <c r="AE298" s="212"/>
      <c r="AF298" s="212"/>
      <c r="AG298" s="212"/>
      <c r="AH298" s="212"/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2:60" ht="15" hidden="1">
      <c r="B299" s="212"/>
      <c r="C299" s="212"/>
      <c r="D299" s="212"/>
      <c r="E299" s="212"/>
      <c r="F299" s="212"/>
      <c r="G299" s="212"/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  <c r="AA299" s="212"/>
      <c r="AB299" s="212"/>
      <c r="AC299" s="212"/>
      <c r="AD299" s="212"/>
      <c r="AE299" s="212"/>
      <c r="AF299" s="212"/>
      <c r="AG299" s="212"/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2:60" ht="15" hidden="1">
      <c r="B300" s="212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  <c r="AA300" s="212"/>
      <c r="AB300" s="212"/>
      <c r="AC300" s="212"/>
      <c r="AD300" s="212"/>
      <c r="AE300" s="212"/>
      <c r="AF300" s="212"/>
      <c r="AG300" s="212"/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2:60" ht="15" hidden="1">
      <c r="B301" s="212"/>
      <c r="C301" s="212"/>
      <c r="D301" s="212"/>
      <c r="E301" s="212"/>
      <c r="F301" s="212"/>
      <c r="G301" s="212"/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  <c r="AA301" s="212"/>
      <c r="AB301" s="212"/>
      <c r="AC301" s="212"/>
      <c r="AD301" s="212"/>
      <c r="AE301" s="212"/>
      <c r="AF301" s="212"/>
      <c r="AG301" s="212"/>
      <c r="AH301" s="212"/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2:60" ht="15" hidden="1">
      <c r="B302" s="212"/>
      <c r="C302" s="212"/>
      <c r="D302" s="212"/>
      <c r="E302" s="212"/>
      <c r="F302" s="212"/>
      <c r="G302" s="212"/>
      <c r="H302" s="212"/>
      <c r="I302" s="212"/>
      <c r="J302" s="212"/>
    </row>
    <row r="303" spans="2:60" ht="15" hidden="1">
      <c r="B303" s="212"/>
      <c r="C303" s="212"/>
      <c r="D303" s="212"/>
      <c r="E303" s="212"/>
      <c r="F303" s="212"/>
      <c r="G303" s="212"/>
      <c r="H303" s="212"/>
      <c r="I303" s="212"/>
      <c r="J303" s="212"/>
    </row>
    <row r="304" spans="2:60" ht="15" hidden="1">
      <c r="B304" s="212"/>
      <c r="C304" s="212"/>
      <c r="D304" s="212"/>
      <c r="E304" s="212"/>
      <c r="F304" s="212"/>
      <c r="G304" s="212"/>
      <c r="H304" s="212"/>
      <c r="I304" s="212"/>
      <c r="J304" s="212"/>
    </row>
    <row r="305" spans="2:10" ht="15" hidden="1">
      <c r="B305" s="212"/>
      <c r="C305" s="212"/>
      <c r="D305" s="212"/>
      <c r="E305" s="212"/>
      <c r="F305" s="212"/>
      <c r="G305" s="212"/>
      <c r="H305" s="212"/>
      <c r="I305" s="212"/>
      <c r="J305" s="212"/>
    </row>
    <row r="306" spans="2:10" ht="15" hidden="1">
      <c r="B306" s="212"/>
      <c r="C306" s="212"/>
      <c r="D306" s="212"/>
      <c r="E306" s="212"/>
      <c r="F306" s="212"/>
      <c r="G306" s="212"/>
      <c r="H306" s="212"/>
      <c r="I306" s="212"/>
      <c r="J306" s="212"/>
    </row>
    <row r="307" spans="2:10" ht="15" hidden="1">
      <c r="B307" s="212"/>
      <c r="C307" s="212"/>
      <c r="D307" s="212"/>
      <c r="E307" s="212"/>
      <c r="F307" s="212"/>
      <c r="G307" s="212"/>
      <c r="H307" s="212"/>
      <c r="I307" s="212"/>
      <c r="J307" s="212"/>
    </row>
    <row r="308" spans="2:10" ht="15" hidden="1">
      <c r="B308" s="212"/>
      <c r="C308" s="212"/>
      <c r="D308" s="212"/>
      <c r="E308" s="212"/>
      <c r="F308" s="212"/>
      <c r="G308" s="212"/>
      <c r="H308" s="212"/>
      <c r="I308" s="212"/>
      <c r="J308" s="212"/>
    </row>
    <row r="309" spans="2:10" ht="15" hidden="1">
      <c r="B309" s="212"/>
      <c r="C309" s="212"/>
      <c r="D309" s="212"/>
      <c r="E309" s="212"/>
      <c r="F309" s="212"/>
      <c r="G309" s="212"/>
      <c r="H309" s="212"/>
      <c r="I309" s="212"/>
      <c r="J309" s="212"/>
    </row>
    <row r="310" spans="2:10" ht="12.6" hidden="1">
      <c r="H310" s="65"/>
      <c r="I310" s="65"/>
      <c r="J310" s="65"/>
    </row>
    <row r="311" spans="2:10" ht="12.6" hidden="1">
      <c r="H311" s="65"/>
      <c r="I311" s="65"/>
      <c r="J311" s="65"/>
    </row>
    <row r="312" spans="2:10" ht="12.6" hidden="1">
      <c r="H312" s="65"/>
      <c r="I312" s="65"/>
      <c r="J312" s="65"/>
    </row>
    <row r="313" spans="2:10" ht="12.6" hidden="1">
      <c r="H313" s="65"/>
      <c r="I313" s="65"/>
      <c r="J313" s="65"/>
    </row>
    <row r="314" spans="2:10" ht="12.6" hidden="1">
      <c r="H314" s="65"/>
      <c r="I314" s="65"/>
      <c r="J314" s="65"/>
    </row>
    <row r="315" spans="2:10" ht="12.6" hidden="1">
      <c r="H315" s="65"/>
      <c r="I315" s="65"/>
      <c r="J315" s="65"/>
    </row>
    <row r="316" spans="2:10" ht="12.6" hidden="1">
      <c r="H316" s="65"/>
      <c r="I316" s="65"/>
      <c r="J316" s="65"/>
    </row>
    <row r="317" spans="2:10" ht="12.6" hidden="1">
      <c r="H317" s="65"/>
      <c r="I317" s="65"/>
      <c r="J317" s="65"/>
    </row>
    <row r="318" spans="2:10" ht="12.6" hidden="1">
      <c r="H318" s="65"/>
      <c r="I318" s="65"/>
      <c r="J318" s="65"/>
    </row>
    <row r="319" spans="2:10" ht="12.6" hidden="1">
      <c r="H319" s="65"/>
      <c r="I319" s="65"/>
      <c r="J319" s="65"/>
    </row>
    <row r="320" spans="2:10" ht="12.6" hidden="1">
      <c r="H320" s="65"/>
      <c r="I320" s="65"/>
      <c r="J320" s="65"/>
    </row>
    <row r="321" spans="8:10" ht="12.6" hidden="1">
      <c r="H321" s="65"/>
      <c r="I321" s="65"/>
      <c r="J321" s="65"/>
    </row>
    <row r="322" spans="8:10" ht="12.6" hidden="1">
      <c r="H322" s="65"/>
      <c r="I322" s="65"/>
      <c r="J322" s="65"/>
    </row>
    <row r="323" spans="8:10" ht="12.6" hidden="1">
      <c r="H323" s="65"/>
      <c r="I323" s="65"/>
      <c r="J323" s="65"/>
    </row>
    <row r="324" spans="8:10" ht="12.6" hidden="1">
      <c r="H324" s="65"/>
      <c r="I324" s="65"/>
      <c r="J324" s="65"/>
    </row>
    <row r="325" spans="8:10" ht="12.6" hidden="1">
      <c r="H325" s="65"/>
      <c r="I325" s="65"/>
      <c r="J325" s="65"/>
    </row>
    <row r="326" spans="8:10" ht="12.6" hidden="1">
      <c r="H326" s="65"/>
      <c r="I326" s="65"/>
      <c r="J326" s="65"/>
    </row>
    <row r="327" spans="8:10" ht="12.6" hidden="1">
      <c r="H327" s="65"/>
      <c r="I327" s="65"/>
      <c r="J327" s="65"/>
    </row>
    <row r="328" spans="8:10" ht="12.6" hidden="1">
      <c r="H328" s="65"/>
      <c r="I328" s="65"/>
      <c r="J328" s="65"/>
    </row>
    <row r="329" spans="8:10" ht="12.6" hidden="1">
      <c r="H329" s="65"/>
      <c r="I329" s="65"/>
      <c r="J329" s="65"/>
    </row>
    <row r="330" spans="8:10" ht="12.6" hidden="1">
      <c r="H330" s="65"/>
      <c r="I330" s="65"/>
      <c r="J330" s="65"/>
    </row>
    <row r="331" spans="8:10" ht="12.6" hidden="1">
      <c r="H331" s="65"/>
      <c r="I331" s="65"/>
      <c r="J331" s="65"/>
    </row>
    <row r="332" spans="8:10" ht="12.6" hidden="1">
      <c r="H332" s="65"/>
      <c r="I332" s="65"/>
      <c r="J332" s="65"/>
    </row>
    <row r="333" spans="8:10" ht="12.6" hidden="1">
      <c r="H333" s="65"/>
      <c r="I333" s="65"/>
      <c r="J333" s="65"/>
    </row>
    <row r="334" spans="8:10" ht="12.6" hidden="1">
      <c r="H334" s="65"/>
      <c r="I334" s="65"/>
      <c r="J334" s="65"/>
    </row>
    <row r="335" spans="8:10" ht="12.6" hidden="1">
      <c r="H335" s="65"/>
      <c r="I335" s="65"/>
      <c r="J335" s="65"/>
    </row>
    <row r="336" spans="8:10" ht="12.6" hidden="1">
      <c r="H336" s="65"/>
      <c r="I336" s="65"/>
      <c r="J336" s="65"/>
    </row>
    <row r="337" spans="8:10" ht="12.6" hidden="1">
      <c r="H337" s="65"/>
      <c r="I337" s="65"/>
      <c r="J337" s="65"/>
    </row>
    <row r="338" spans="8:10" ht="12.6" hidden="1">
      <c r="H338" s="65"/>
      <c r="I338" s="65"/>
      <c r="J338" s="65"/>
    </row>
    <row r="339" spans="8:10" ht="12.6" hidden="1">
      <c r="H339" s="65"/>
      <c r="I339" s="65"/>
      <c r="J339" s="65"/>
    </row>
    <row r="340" spans="8:10" ht="12.6" hidden="1">
      <c r="H340" s="65"/>
      <c r="I340" s="65"/>
      <c r="J340" s="65"/>
    </row>
    <row r="341" spans="8:10" ht="12.6" hidden="1">
      <c r="H341" s="65"/>
      <c r="I341" s="65"/>
      <c r="J341" s="65"/>
    </row>
    <row r="342" spans="8:10" ht="12.6" hidden="1">
      <c r="H342" s="65"/>
      <c r="I342" s="65"/>
      <c r="J342" s="65"/>
    </row>
    <row r="343" spans="8:10" ht="12.6" hidden="1">
      <c r="H343" s="65"/>
      <c r="I343" s="65"/>
      <c r="J343" s="65"/>
    </row>
    <row r="344" spans="8:10" ht="12.6" hidden="1">
      <c r="H344" s="65"/>
      <c r="I344" s="65"/>
      <c r="J344" s="65"/>
    </row>
    <row r="345" spans="8:10" ht="12.6" hidden="1">
      <c r="H345" s="65"/>
      <c r="I345" s="65"/>
      <c r="J345" s="65"/>
    </row>
    <row r="346" spans="8:10" ht="12.6" hidden="1">
      <c r="H346" s="65"/>
      <c r="I346" s="65"/>
      <c r="J346" s="65"/>
    </row>
    <row r="347" spans="8:10" ht="12.6" hidden="1">
      <c r="H347" s="65"/>
      <c r="I347" s="65"/>
      <c r="J347" s="65"/>
    </row>
    <row r="348" spans="8:10" ht="12.6" hidden="1">
      <c r="H348" s="65"/>
      <c r="I348" s="65"/>
      <c r="J348" s="65"/>
    </row>
    <row r="349" spans="8:10" ht="12.6" hidden="1">
      <c r="H349" s="65"/>
      <c r="I349" s="65"/>
      <c r="J349" s="65"/>
    </row>
    <row r="350" spans="8:10" ht="12.6" hidden="1">
      <c r="H350" s="65"/>
      <c r="I350" s="65"/>
      <c r="J350" s="65"/>
    </row>
    <row r="351" spans="8:10" ht="12.6" hidden="1">
      <c r="H351" s="65"/>
      <c r="I351" s="65"/>
      <c r="J351" s="65"/>
    </row>
    <row r="352" spans="8:10" ht="12.6" hidden="1">
      <c r="H352" s="65"/>
      <c r="I352" s="65"/>
      <c r="J352" s="65"/>
    </row>
    <row r="353" spans="8:10" ht="12.6" hidden="1">
      <c r="H353" s="65"/>
      <c r="I353" s="65"/>
      <c r="J353" s="65"/>
    </row>
    <row r="354" spans="8:10" ht="12.6" hidden="1">
      <c r="H354" s="65"/>
      <c r="I354" s="65"/>
      <c r="J354" s="65"/>
    </row>
    <row r="355" spans="8:10" ht="12.6" hidden="1">
      <c r="H355" s="65"/>
      <c r="I355" s="65"/>
      <c r="J355" s="65"/>
    </row>
    <row r="356" spans="8:10" ht="12.6" hidden="1">
      <c r="H356" s="65"/>
      <c r="I356" s="65"/>
      <c r="J356" s="65"/>
    </row>
    <row r="357" spans="8:10" ht="12.6" hidden="1">
      <c r="H357" s="65"/>
      <c r="I357" s="65"/>
      <c r="J357" s="65"/>
    </row>
    <row r="358" spans="8:10" ht="12.6" hidden="1">
      <c r="H358" s="65"/>
      <c r="I358" s="65"/>
      <c r="J358" s="65"/>
    </row>
    <row r="359" spans="8:10" ht="12.6" hidden="1">
      <c r="H359" s="65"/>
      <c r="I359" s="65"/>
      <c r="J359" s="65"/>
    </row>
    <row r="360" spans="8:10" ht="12.6" hidden="1">
      <c r="H360" s="65"/>
      <c r="I360" s="65"/>
      <c r="J360" s="65"/>
    </row>
    <row r="361" spans="8:10" ht="12.6" hidden="1">
      <c r="H361" s="65"/>
      <c r="I361" s="65"/>
      <c r="J361" s="65"/>
    </row>
    <row r="362" spans="8:10" ht="12.6" hidden="1">
      <c r="H362" s="65"/>
      <c r="I362" s="65"/>
      <c r="J362" s="65"/>
    </row>
    <row r="363" spans="8:10" ht="12.6" hidden="1">
      <c r="H363" s="65"/>
      <c r="I363" s="65"/>
      <c r="J363" s="65"/>
    </row>
    <row r="364" spans="8:10" ht="12.6" hidden="1">
      <c r="H364" s="65"/>
      <c r="I364" s="65"/>
      <c r="J364" s="65"/>
    </row>
    <row r="365" spans="8:10" ht="12.6" hidden="1">
      <c r="H365" s="65"/>
      <c r="I365" s="65"/>
      <c r="J365" s="65"/>
    </row>
    <row r="366" spans="8:10" ht="12.6" hidden="1">
      <c r="H366" s="65"/>
      <c r="I366" s="65"/>
      <c r="J366" s="65"/>
    </row>
    <row r="367" spans="8:10" ht="12.6" hidden="1">
      <c r="H367" s="65"/>
      <c r="I367" s="65"/>
      <c r="J367" s="65"/>
    </row>
    <row r="368" spans="8:10" ht="12.6" hidden="1">
      <c r="H368" s="65"/>
      <c r="I368" s="65"/>
      <c r="J368" s="65"/>
    </row>
    <row r="369" spans="8:10" ht="12.6" hidden="1">
      <c r="H369" s="65"/>
      <c r="I369" s="65"/>
      <c r="J369" s="65"/>
    </row>
    <row r="370" spans="8:10" ht="12.6" hidden="1">
      <c r="H370" s="65"/>
      <c r="I370" s="65"/>
      <c r="J370" s="65"/>
    </row>
    <row r="371" spans="8:10" ht="12.6" hidden="1">
      <c r="H371" s="65"/>
      <c r="I371" s="65"/>
      <c r="J371" s="65"/>
    </row>
    <row r="372" spans="8:10" ht="12.6" hidden="1">
      <c r="H372" s="65"/>
      <c r="I372" s="65"/>
      <c r="J372" s="65"/>
    </row>
    <row r="373" spans="8:10" ht="12.6" hidden="1">
      <c r="H373" s="65"/>
      <c r="I373" s="65"/>
      <c r="J373" s="65"/>
    </row>
    <row r="374" spans="8:10" ht="12.6" hidden="1">
      <c r="H374" s="65"/>
      <c r="I374" s="65"/>
      <c r="J374" s="65"/>
    </row>
    <row r="375" spans="8:10" ht="12.6" hidden="1">
      <c r="H375" s="65"/>
      <c r="I375" s="65"/>
      <c r="J375" s="65"/>
    </row>
    <row r="376" spans="8:10" ht="12.6" hidden="1">
      <c r="H376" s="65"/>
      <c r="I376" s="65"/>
      <c r="J376" s="65"/>
    </row>
    <row r="377" spans="8:10" ht="12.6" hidden="1">
      <c r="H377" s="65"/>
      <c r="I377" s="65"/>
      <c r="J377" s="65"/>
    </row>
    <row r="378" spans="8:10" ht="12.6" hidden="1">
      <c r="H378" s="65"/>
      <c r="I378" s="65"/>
      <c r="J378" s="65"/>
    </row>
    <row r="379" spans="8:10" ht="12.6" hidden="1">
      <c r="H379" s="65"/>
      <c r="I379" s="65"/>
      <c r="J379" s="65"/>
    </row>
    <row r="380" spans="8:10" ht="12.6" hidden="1">
      <c r="H380" s="65"/>
      <c r="I380" s="65"/>
      <c r="J380" s="65"/>
    </row>
    <row r="381" spans="8:10" ht="12.6" hidden="1">
      <c r="H381" s="65"/>
      <c r="I381" s="65"/>
      <c r="J381" s="65"/>
    </row>
    <row r="382" spans="8:10" ht="12.6" hidden="1">
      <c r="H382" s="65"/>
      <c r="I382" s="65"/>
      <c r="J382" s="65"/>
    </row>
    <row r="383" spans="8:10" ht="12.6" hidden="1">
      <c r="H383" s="65"/>
      <c r="I383" s="65"/>
      <c r="J383" s="65"/>
    </row>
    <row r="384" spans="8:10" ht="12.6" hidden="1">
      <c r="H384" s="65"/>
      <c r="I384" s="65"/>
      <c r="J384" s="65"/>
    </row>
    <row r="385" spans="8:10" ht="12.6" hidden="1">
      <c r="H385" s="65"/>
      <c r="I385" s="65"/>
      <c r="J385" s="65"/>
    </row>
    <row r="386" spans="8:10" ht="12.6" hidden="1">
      <c r="H386" s="65"/>
      <c r="I386" s="65"/>
      <c r="J386" s="65"/>
    </row>
    <row r="387" spans="8:10" ht="12.6" hidden="1">
      <c r="H387" s="65"/>
      <c r="I387" s="65"/>
      <c r="J387" s="65"/>
    </row>
    <row r="388" spans="8:10" ht="12.6" hidden="1">
      <c r="H388" s="65"/>
      <c r="I388" s="65"/>
      <c r="J388" s="65"/>
    </row>
    <row r="389" spans="8:10" ht="12.6" hidden="1">
      <c r="H389" s="65"/>
      <c r="I389" s="65"/>
      <c r="J389" s="65"/>
    </row>
    <row r="390" spans="8:10" ht="12.6" hidden="1">
      <c r="H390" s="65"/>
      <c r="I390" s="65"/>
      <c r="J390" s="65"/>
    </row>
    <row r="391" spans="8:10" ht="12.6" hidden="1">
      <c r="H391" s="65"/>
      <c r="I391" s="65"/>
      <c r="J391" s="65"/>
    </row>
    <row r="392" spans="8:10" ht="12.6" hidden="1">
      <c r="H392" s="65"/>
      <c r="I392" s="65"/>
      <c r="J392" s="65"/>
    </row>
    <row r="393" spans="8:10" ht="12.6" hidden="1">
      <c r="H393" s="65"/>
      <c r="I393" s="65"/>
      <c r="J393" s="65"/>
    </row>
    <row r="394" spans="8:10" ht="12.6" hidden="1">
      <c r="H394" s="65"/>
      <c r="I394" s="65"/>
      <c r="J394" s="65"/>
    </row>
    <row r="395" spans="8:10" ht="12.6" hidden="1">
      <c r="H395" s="65"/>
      <c r="I395" s="65"/>
      <c r="J395" s="65"/>
    </row>
    <row r="396" spans="8:10" ht="12.6" hidden="1">
      <c r="H396" s="65"/>
      <c r="I396" s="65"/>
      <c r="J396" s="65"/>
    </row>
    <row r="397" spans="8:10" ht="12.6" hidden="1">
      <c r="H397" s="65"/>
      <c r="I397" s="65"/>
      <c r="J397" s="65"/>
    </row>
    <row r="398" spans="8:10" ht="12.6" hidden="1">
      <c r="H398" s="65"/>
      <c r="I398" s="65"/>
      <c r="J398" s="65"/>
    </row>
    <row r="399" spans="8:10" ht="12.6" hidden="1">
      <c r="H399" s="65"/>
      <c r="I399" s="65"/>
      <c r="J399" s="65"/>
    </row>
    <row r="400" spans="8:10" ht="12.6" hidden="1">
      <c r="H400" s="65"/>
      <c r="I400" s="65"/>
      <c r="J400" s="65"/>
    </row>
    <row r="401" spans="8:10" ht="12.6" hidden="1">
      <c r="H401" s="65"/>
      <c r="I401" s="65"/>
      <c r="J401" s="65"/>
    </row>
    <row r="402" spans="8:10" ht="12.6" hidden="1">
      <c r="H402" s="65"/>
      <c r="I402" s="65"/>
      <c r="J402" s="65"/>
    </row>
    <row r="403" spans="8:10" ht="12.6" hidden="1">
      <c r="H403" s="65"/>
      <c r="I403" s="65"/>
      <c r="J403" s="65"/>
    </row>
    <row r="404" spans="8:10" ht="12.6" hidden="1">
      <c r="H404" s="65"/>
      <c r="I404" s="65"/>
      <c r="J404" s="65"/>
    </row>
    <row r="405" spans="8:10" ht="12.6" hidden="1">
      <c r="H405" s="65"/>
      <c r="I405" s="65"/>
      <c r="J405" s="65"/>
    </row>
    <row r="406" spans="8:10" ht="12.6" hidden="1">
      <c r="H406" s="65"/>
      <c r="I406" s="65"/>
      <c r="J406" s="65"/>
    </row>
    <row r="407" spans="8:10" ht="12.6" hidden="1">
      <c r="H407" s="65"/>
      <c r="I407" s="65"/>
      <c r="J407" s="65"/>
    </row>
    <row r="408" spans="8:10" ht="12.6" hidden="1">
      <c r="H408" s="65"/>
      <c r="I408" s="65"/>
      <c r="J408" s="65"/>
    </row>
    <row r="409" spans="8:10" ht="12.6" hidden="1">
      <c r="H409" s="65"/>
      <c r="I409" s="65"/>
      <c r="J409" s="65"/>
    </row>
    <row r="410" spans="8:10" ht="12.6" hidden="1">
      <c r="H410" s="65"/>
      <c r="I410" s="65"/>
      <c r="J410" s="65"/>
    </row>
    <row r="411" spans="8:10" ht="12.6" hidden="1">
      <c r="H411" s="65"/>
      <c r="I411" s="65"/>
      <c r="J411" s="65"/>
    </row>
    <row r="412" spans="8:10" ht="12.6" hidden="1">
      <c r="H412" s="65"/>
      <c r="I412" s="65"/>
      <c r="J412" s="65"/>
    </row>
    <row r="413" spans="8:10" ht="12.6" hidden="1">
      <c r="H413" s="65"/>
      <c r="I413" s="65"/>
      <c r="J413" s="65"/>
    </row>
    <row r="414" spans="8:10" ht="12.6" hidden="1">
      <c r="H414" s="65"/>
      <c r="I414" s="65"/>
      <c r="J414" s="65"/>
    </row>
    <row r="415" spans="8:10" ht="12.6" hidden="1">
      <c r="H415" s="65"/>
      <c r="I415" s="65"/>
      <c r="J415" s="65"/>
    </row>
    <row r="416" spans="8:10" ht="12.6" hidden="1">
      <c r="H416" s="65"/>
      <c r="I416" s="65"/>
      <c r="J416" s="65"/>
    </row>
    <row r="417" spans="8:10" ht="12.6" hidden="1">
      <c r="H417" s="65"/>
      <c r="I417" s="65"/>
      <c r="J417" s="65"/>
    </row>
    <row r="418" spans="8:10" ht="12.6" hidden="1">
      <c r="H418" s="65"/>
      <c r="I418" s="65"/>
      <c r="J418" s="65"/>
    </row>
    <row r="419" spans="8:10" ht="12.6" hidden="1">
      <c r="H419" s="65"/>
      <c r="I419" s="65"/>
      <c r="J419" s="65"/>
    </row>
    <row r="420" spans="8:10" ht="12.6" hidden="1">
      <c r="H420" s="65"/>
      <c r="I420" s="65"/>
      <c r="J420" s="65"/>
    </row>
    <row r="421" spans="8:10" ht="12.6" hidden="1">
      <c r="H421" s="65"/>
      <c r="I421" s="65"/>
      <c r="J421" s="65"/>
    </row>
    <row r="422" spans="8:10" ht="12.6" hidden="1">
      <c r="H422" s="65"/>
      <c r="I422" s="65"/>
      <c r="J422" s="65"/>
    </row>
    <row r="423" spans="8:10" ht="12.6" hidden="1">
      <c r="H423" s="65"/>
      <c r="I423" s="65"/>
      <c r="J423" s="65"/>
    </row>
    <row r="424" spans="8:10" ht="12.6" hidden="1">
      <c r="H424" s="65"/>
      <c r="I424" s="65"/>
      <c r="J424" s="65"/>
    </row>
    <row r="425" spans="8:10" ht="12.6" hidden="1">
      <c r="H425" s="65"/>
      <c r="I425" s="65"/>
      <c r="J425" s="65"/>
    </row>
    <row r="426" spans="8:10" ht="12.6" hidden="1">
      <c r="H426" s="65"/>
      <c r="I426" s="65"/>
      <c r="J426" s="65"/>
    </row>
    <row r="427" spans="8:10" ht="12.6" hidden="1">
      <c r="H427" s="65"/>
      <c r="I427" s="65"/>
      <c r="J427" s="65"/>
    </row>
    <row r="428" spans="8:10" ht="12.6" hidden="1">
      <c r="H428" s="65"/>
      <c r="I428" s="65"/>
      <c r="J428" s="65"/>
    </row>
    <row r="429" spans="8:10" ht="12.6" hidden="1">
      <c r="H429" s="65"/>
      <c r="I429" s="65"/>
      <c r="J429" s="65"/>
    </row>
    <row r="430" spans="8:10" ht="12.6" hidden="1">
      <c r="H430" s="65"/>
      <c r="I430" s="65"/>
      <c r="J430" s="65"/>
    </row>
    <row r="431" spans="8:10" ht="12.6" hidden="1">
      <c r="H431" s="65"/>
      <c r="I431" s="65"/>
      <c r="J431" s="65"/>
    </row>
    <row r="432" spans="8:10" ht="12.6" hidden="1">
      <c r="H432" s="65"/>
      <c r="I432" s="65"/>
      <c r="J432" s="65"/>
    </row>
    <row r="433" spans="8:10" ht="12.6" hidden="1">
      <c r="H433" s="65"/>
      <c r="I433" s="65"/>
      <c r="J433" s="65"/>
    </row>
    <row r="434" spans="8:10" ht="12.6" hidden="1">
      <c r="H434" s="65"/>
      <c r="I434" s="65"/>
      <c r="J434" s="65"/>
    </row>
    <row r="435" spans="8:10" ht="12.6" hidden="1">
      <c r="H435" s="65"/>
      <c r="I435" s="65"/>
      <c r="J435" s="65"/>
    </row>
    <row r="436" spans="8:10" ht="12.6" hidden="1">
      <c r="H436" s="65"/>
      <c r="I436" s="65"/>
      <c r="J436" s="65"/>
    </row>
    <row r="437" spans="8:10" ht="12.6" hidden="1">
      <c r="H437" s="65"/>
      <c r="I437" s="65"/>
      <c r="J437" s="65"/>
    </row>
    <row r="438" spans="8:10" ht="12.6" hidden="1">
      <c r="H438" s="65"/>
      <c r="I438" s="65"/>
      <c r="J438" s="65"/>
    </row>
    <row r="439" spans="8:10" ht="12.6" hidden="1">
      <c r="H439" s="65"/>
      <c r="I439" s="65"/>
      <c r="J439" s="65"/>
    </row>
    <row r="440" spans="8:10" ht="12.6" hidden="1">
      <c r="H440" s="65"/>
      <c r="I440" s="65"/>
      <c r="J440" s="65"/>
    </row>
    <row r="441" spans="8:10" ht="12.6" hidden="1">
      <c r="H441" s="65"/>
      <c r="I441" s="65"/>
      <c r="J441" s="65"/>
    </row>
    <row r="442" spans="8:10" ht="12.6" hidden="1">
      <c r="H442" s="65"/>
      <c r="I442" s="65"/>
      <c r="J442" s="65"/>
    </row>
    <row r="443" spans="8:10" ht="12.6" hidden="1">
      <c r="H443" s="65"/>
      <c r="I443" s="65"/>
      <c r="J443" s="65"/>
    </row>
    <row r="444" spans="8:10" ht="12.6" hidden="1">
      <c r="H444" s="65"/>
      <c r="I444" s="65"/>
      <c r="J444" s="65"/>
    </row>
    <row r="445" spans="8:10" ht="12.6" hidden="1">
      <c r="H445" s="65"/>
      <c r="I445" s="65"/>
      <c r="J445" s="65"/>
    </row>
    <row r="446" spans="8:10" ht="12.6" hidden="1">
      <c r="H446" s="65"/>
      <c r="I446" s="65"/>
      <c r="J446" s="65"/>
    </row>
    <row r="447" spans="8:10" ht="12.6" hidden="1">
      <c r="H447" s="65"/>
      <c r="I447" s="65"/>
      <c r="J447" s="65"/>
    </row>
    <row r="448" spans="8:10" ht="12.6" hidden="1">
      <c r="H448" s="65"/>
      <c r="I448" s="65"/>
      <c r="J448" s="65"/>
    </row>
    <row r="449" spans="8:10" ht="12.6" hidden="1">
      <c r="H449" s="65"/>
      <c r="I449" s="65"/>
      <c r="J449" s="65"/>
    </row>
    <row r="450" spans="8:10" ht="12.6" hidden="1">
      <c r="H450" s="65"/>
      <c r="I450" s="65"/>
      <c r="J450" s="65"/>
    </row>
    <row r="451" spans="8:10" ht="12.6" hidden="1">
      <c r="H451" s="65"/>
      <c r="I451" s="65"/>
      <c r="J451" s="65"/>
    </row>
    <row r="452" spans="8:10" ht="12.6" hidden="1">
      <c r="H452" s="65"/>
      <c r="I452" s="65"/>
      <c r="J452" s="65"/>
    </row>
    <row r="453" spans="8:10" ht="12.6" hidden="1">
      <c r="H453" s="65"/>
      <c r="I453" s="65"/>
      <c r="J453" s="65"/>
    </row>
    <row r="454" spans="8:10" ht="12.6" hidden="1">
      <c r="H454" s="65"/>
      <c r="I454" s="65"/>
      <c r="J454" s="65"/>
    </row>
    <row r="455" spans="8:10" ht="12.6" hidden="1">
      <c r="H455" s="65"/>
      <c r="I455" s="65"/>
      <c r="J455" s="65"/>
    </row>
    <row r="456" spans="8:10" ht="12.6" hidden="1">
      <c r="H456" s="65"/>
      <c r="I456" s="65"/>
      <c r="J456" s="65"/>
    </row>
    <row r="457" spans="8:10" ht="12.6" hidden="1">
      <c r="H457" s="65"/>
      <c r="I457" s="65"/>
      <c r="J457" s="65"/>
    </row>
    <row r="458" spans="8:10" ht="12.6" hidden="1">
      <c r="H458" s="65"/>
      <c r="I458" s="65"/>
      <c r="J458" s="65"/>
    </row>
    <row r="459" spans="8:10" ht="12.6" hidden="1">
      <c r="H459" s="65"/>
      <c r="I459" s="65"/>
      <c r="J459" s="65"/>
    </row>
    <row r="460" spans="8:10" ht="12.6" hidden="1">
      <c r="H460" s="65"/>
      <c r="I460" s="65"/>
      <c r="J460" s="65"/>
    </row>
    <row r="461" spans="8:10" ht="12.6" hidden="1">
      <c r="H461" s="65"/>
      <c r="I461" s="65"/>
      <c r="J461" s="65"/>
    </row>
    <row r="462" spans="8:10" ht="12.6" hidden="1">
      <c r="H462" s="65"/>
      <c r="I462" s="65"/>
      <c r="J462" s="65"/>
    </row>
    <row r="463" spans="8:10" ht="12.6" hidden="1">
      <c r="H463" s="65"/>
      <c r="I463" s="65"/>
      <c r="J463" s="65"/>
    </row>
    <row r="464" spans="8:10" ht="12.6" hidden="1">
      <c r="H464" s="65"/>
      <c r="I464" s="65"/>
      <c r="J464" s="65"/>
    </row>
    <row r="465" spans="8:10" ht="12.6" hidden="1">
      <c r="H465" s="65"/>
      <c r="I465" s="65"/>
      <c r="J465" s="65"/>
    </row>
    <row r="466" spans="8:10" ht="12.6" hidden="1">
      <c r="H466" s="65"/>
      <c r="I466" s="65"/>
      <c r="J466" s="65"/>
    </row>
    <row r="467" spans="8:10" ht="12.6" hidden="1">
      <c r="H467" s="65"/>
      <c r="I467" s="65"/>
      <c r="J467" s="65"/>
    </row>
    <row r="468" spans="8:10" ht="12.6" hidden="1">
      <c r="H468" s="65"/>
      <c r="I468" s="65"/>
      <c r="J468" s="65"/>
    </row>
    <row r="469" spans="8:10" ht="12.6" hidden="1">
      <c r="H469" s="65"/>
      <c r="I469" s="65"/>
      <c r="J469" s="65"/>
    </row>
    <row r="470" spans="8:10" ht="12.6" hidden="1">
      <c r="H470" s="65"/>
      <c r="I470" s="65"/>
      <c r="J470" s="65"/>
    </row>
    <row r="471" spans="8:10" ht="12.6" hidden="1">
      <c r="H471" s="65"/>
      <c r="I471" s="65"/>
      <c r="J471" s="65"/>
    </row>
    <row r="472" spans="8:10" ht="12.6" hidden="1">
      <c r="H472" s="65"/>
      <c r="I472" s="65"/>
      <c r="J472" s="65"/>
    </row>
    <row r="473" spans="8:10" ht="12.6" hidden="1">
      <c r="H473" s="65"/>
      <c r="I473" s="65"/>
      <c r="J473" s="65"/>
    </row>
    <row r="474" spans="8:10" ht="12.6" hidden="1">
      <c r="H474" s="65"/>
      <c r="I474" s="65"/>
      <c r="J474" s="65"/>
    </row>
    <row r="475" spans="8:10" ht="12.6" hidden="1">
      <c r="H475" s="65"/>
      <c r="I475" s="65"/>
      <c r="J475" s="65"/>
    </row>
    <row r="476" spans="8:10" ht="12.6" hidden="1">
      <c r="H476" s="65"/>
      <c r="I476" s="65"/>
      <c r="J476" s="65"/>
    </row>
    <row r="477" spans="8:10" ht="12.6" hidden="1">
      <c r="H477" s="65"/>
      <c r="I477" s="65"/>
      <c r="J477" s="65"/>
    </row>
    <row r="478" spans="8:10" ht="12.6" hidden="1">
      <c r="H478" s="65"/>
      <c r="I478" s="65"/>
      <c r="J478" s="65"/>
    </row>
    <row r="479" spans="8:10" ht="12.6" hidden="1">
      <c r="H479" s="65"/>
      <c r="I479" s="65"/>
      <c r="J479" s="65"/>
    </row>
    <row r="480" spans="8:10" ht="12.6" hidden="1">
      <c r="H480" s="65"/>
      <c r="I480" s="65"/>
      <c r="J480" s="65"/>
    </row>
    <row r="481" spans="8:10" ht="12.6" hidden="1">
      <c r="H481" s="65"/>
      <c r="I481" s="65"/>
      <c r="J481" s="65"/>
    </row>
    <row r="482" spans="8:10" ht="12.6" hidden="1">
      <c r="H482" s="65"/>
      <c r="I482" s="65"/>
      <c r="J482" s="65"/>
    </row>
    <row r="483" spans="8:10" ht="12.6" hidden="1">
      <c r="H483" s="65"/>
      <c r="I483" s="65"/>
      <c r="J483" s="65"/>
    </row>
    <row r="484" spans="8:10" ht="12.6" hidden="1">
      <c r="H484" s="65"/>
      <c r="I484" s="65"/>
      <c r="J484" s="65"/>
    </row>
    <row r="485" spans="8:10" ht="12.6" hidden="1">
      <c r="H485" s="65"/>
      <c r="I485" s="65"/>
      <c r="J485" s="65"/>
    </row>
    <row r="486" spans="8:10" ht="12.6" hidden="1">
      <c r="H486" s="65"/>
      <c r="I486" s="65"/>
      <c r="J486" s="65"/>
    </row>
    <row r="487" spans="8:10" ht="12.6" hidden="1">
      <c r="H487" s="65"/>
      <c r="I487" s="65"/>
      <c r="J487" s="65"/>
    </row>
    <row r="488" spans="8:10" ht="12.6" hidden="1">
      <c r="H488" s="65"/>
      <c r="I488" s="65"/>
      <c r="J488" s="65"/>
    </row>
    <row r="489" spans="8:10" ht="12.6" hidden="1">
      <c r="H489" s="65"/>
      <c r="I489" s="65"/>
      <c r="J489" s="65"/>
    </row>
    <row r="490" spans="8:10" ht="12.6" hidden="1">
      <c r="H490" s="65"/>
      <c r="I490" s="65"/>
      <c r="J490" s="65"/>
    </row>
    <row r="491" spans="8:10" ht="12.6" hidden="1">
      <c r="H491" s="65"/>
      <c r="I491" s="65"/>
      <c r="J491" s="65"/>
    </row>
    <row r="492" spans="8:10" ht="12.6" hidden="1">
      <c r="H492" s="65"/>
      <c r="I492" s="65"/>
      <c r="J492" s="65"/>
    </row>
    <row r="493" spans="8:10" ht="12.6" hidden="1">
      <c r="H493" s="65"/>
      <c r="I493" s="65"/>
      <c r="J493" s="65"/>
    </row>
    <row r="494" spans="8:10" ht="12.6" hidden="1">
      <c r="H494" s="65"/>
      <c r="I494" s="65"/>
      <c r="J494" s="65"/>
    </row>
    <row r="495" spans="8:10" ht="12.6" hidden="1">
      <c r="H495" s="65"/>
      <c r="I495" s="65"/>
      <c r="J495" s="65"/>
    </row>
    <row r="496" spans="8:10" ht="12.6" hidden="1">
      <c r="H496" s="65"/>
      <c r="I496" s="65"/>
      <c r="J496" s="65"/>
    </row>
    <row r="497" spans="8:10" ht="12.6" hidden="1">
      <c r="H497" s="65"/>
      <c r="I497" s="65"/>
      <c r="J497" s="65"/>
    </row>
    <row r="498" spans="8:10" ht="12.6" hidden="1">
      <c r="H498" s="65"/>
      <c r="I498" s="65"/>
      <c r="J498" s="65"/>
    </row>
    <row r="499" spans="8:10" ht="12.6" hidden="1">
      <c r="H499" s="65"/>
      <c r="I499" s="65"/>
      <c r="J499" s="65"/>
    </row>
    <row r="500" spans="8:10" ht="12.6" hidden="1">
      <c r="H500" s="65"/>
      <c r="I500" s="65"/>
      <c r="J500" s="65"/>
    </row>
    <row r="501" spans="8:10" ht="12.6" hidden="1">
      <c r="H501" s="65"/>
      <c r="I501" s="65"/>
      <c r="J501" s="65"/>
    </row>
    <row r="502" spans="8:10" ht="12.6" hidden="1">
      <c r="H502" s="65"/>
      <c r="I502" s="65"/>
      <c r="J502" s="65"/>
    </row>
    <row r="503" spans="8:10" ht="12.6" hidden="1">
      <c r="H503" s="65"/>
      <c r="I503" s="65"/>
      <c r="J503" s="65"/>
    </row>
    <row r="504" spans="8:10" ht="12.6" hidden="1">
      <c r="H504" s="65"/>
      <c r="I504" s="65"/>
      <c r="J504" s="65"/>
    </row>
    <row r="505" spans="8:10" ht="12.6" hidden="1">
      <c r="H505" s="65"/>
      <c r="I505" s="65"/>
      <c r="J505" s="65"/>
    </row>
    <row r="506" spans="8:10" ht="12.6" hidden="1">
      <c r="H506" s="65"/>
      <c r="I506" s="65"/>
      <c r="J506" s="65"/>
    </row>
    <row r="507" spans="8:10" ht="12.6" hidden="1">
      <c r="H507" s="65"/>
      <c r="I507" s="65"/>
      <c r="J507" s="65"/>
    </row>
    <row r="508" spans="8:10" ht="12.6" hidden="1">
      <c r="H508" s="65"/>
      <c r="I508" s="65"/>
      <c r="J508" s="65"/>
    </row>
    <row r="509" spans="8:10" ht="12.6" hidden="1">
      <c r="H509" s="65"/>
      <c r="I509" s="65"/>
      <c r="J509" s="65"/>
    </row>
    <row r="510" spans="8:10" ht="12.6" hidden="1">
      <c r="H510" s="65"/>
      <c r="I510" s="65"/>
      <c r="J510" s="65"/>
    </row>
    <row r="511" spans="8:10" ht="12.6" hidden="1">
      <c r="H511" s="65"/>
      <c r="I511" s="65"/>
      <c r="J511" s="65"/>
    </row>
    <row r="512" spans="8:10" ht="12.6" hidden="1">
      <c r="H512" s="65"/>
      <c r="I512" s="65"/>
      <c r="J512" s="65"/>
    </row>
    <row r="513" spans="8:10" ht="12.6" hidden="1">
      <c r="H513" s="65"/>
      <c r="I513" s="65"/>
      <c r="J513" s="65"/>
    </row>
    <row r="514" spans="8:10" ht="12.6" hidden="1">
      <c r="H514" s="65"/>
      <c r="I514" s="65"/>
      <c r="J514" s="65"/>
    </row>
    <row r="515" spans="8:10" ht="12.6" hidden="1">
      <c r="H515" s="65"/>
      <c r="I515" s="65"/>
      <c r="J515" s="65"/>
    </row>
    <row r="516" spans="8:10" ht="12.6" hidden="1">
      <c r="H516" s="65"/>
      <c r="I516" s="65"/>
      <c r="J516" s="65"/>
    </row>
    <row r="517" spans="8:10" ht="12.6" hidden="1">
      <c r="H517" s="65"/>
      <c r="I517" s="65"/>
      <c r="J517" s="65"/>
    </row>
    <row r="518" spans="8:10" ht="12.6" hidden="1">
      <c r="H518" s="65"/>
      <c r="I518" s="65"/>
      <c r="J518" s="65"/>
    </row>
    <row r="519" spans="8:10" ht="12.6" hidden="1">
      <c r="H519" s="65"/>
      <c r="I519" s="65"/>
      <c r="J519" s="65"/>
    </row>
    <row r="520" spans="8:10" ht="12.6" hidden="1">
      <c r="H520" s="65"/>
      <c r="I520" s="65"/>
      <c r="J520" s="65"/>
    </row>
    <row r="521" spans="8:10" ht="12.6" hidden="1">
      <c r="H521" s="65"/>
      <c r="I521" s="65"/>
      <c r="J521" s="65"/>
    </row>
    <row r="522" spans="8:10" ht="12.6" hidden="1">
      <c r="H522" s="65"/>
      <c r="I522" s="65"/>
      <c r="J522" s="65"/>
    </row>
    <row r="523" spans="8:10" ht="12.6" hidden="1">
      <c r="H523" s="65"/>
      <c r="I523" s="65"/>
      <c r="J523" s="65"/>
    </row>
    <row r="524" spans="8:10" ht="12.6" hidden="1">
      <c r="H524" s="65"/>
      <c r="I524" s="65"/>
      <c r="J524" s="65"/>
    </row>
    <row r="525" spans="8:10" ht="12.6" hidden="1">
      <c r="H525" s="65"/>
      <c r="I525" s="65"/>
      <c r="J525" s="65"/>
    </row>
    <row r="526" spans="8:10" ht="12.6" hidden="1">
      <c r="H526" s="65"/>
      <c r="I526" s="65"/>
      <c r="J526" s="65"/>
    </row>
    <row r="527" spans="8:10" ht="12.6" hidden="1">
      <c r="H527" s="65"/>
      <c r="I527" s="65"/>
      <c r="J527" s="65"/>
    </row>
    <row r="528" spans="8:10" ht="12.6" hidden="1">
      <c r="H528" s="65"/>
      <c r="I528" s="65"/>
      <c r="J528" s="65"/>
    </row>
    <row r="529" spans="8:10" ht="12.6" hidden="1">
      <c r="H529" s="65"/>
      <c r="I529" s="65"/>
      <c r="J529" s="65"/>
    </row>
    <row r="530" spans="8:10" ht="12.6" hidden="1">
      <c r="H530" s="65"/>
      <c r="I530" s="65"/>
      <c r="J530" s="65"/>
    </row>
    <row r="531" spans="8:10" ht="12.6" hidden="1">
      <c r="H531" s="65"/>
      <c r="I531" s="65"/>
      <c r="J531" s="65"/>
    </row>
    <row r="532" spans="8:10" ht="12.6" hidden="1">
      <c r="H532" s="65"/>
      <c r="I532" s="65"/>
      <c r="J532" s="65"/>
    </row>
    <row r="533" spans="8:10" ht="12.6" hidden="1">
      <c r="H533" s="65"/>
      <c r="I533" s="65"/>
      <c r="J533" s="65"/>
    </row>
    <row r="534" spans="8:10" ht="12.6" hidden="1">
      <c r="H534" s="65"/>
      <c r="I534" s="65"/>
      <c r="J534" s="65"/>
    </row>
    <row r="535" spans="8:10" ht="12.6" hidden="1">
      <c r="H535" s="65"/>
      <c r="I535" s="65"/>
      <c r="J535" s="65"/>
    </row>
    <row r="536" spans="8:10" ht="12.6" hidden="1">
      <c r="H536" s="65"/>
      <c r="I536" s="65"/>
      <c r="J536" s="65"/>
    </row>
    <row r="537" spans="8:10" ht="12.6" hidden="1">
      <c r="H537" s="65"/>
      <c r="I537" s="65"/>
      <c r="J537" s="65"/>
    </row>
    <row r="538" spans="8:10" ht="12.6" hidden="1">
      <c r="H538" s="65"/>
      <c r="I538" s="65"/>
      <c r="J538" s="65"/>
    </row>
    <row r="539" spans="8:10" ht="12.6" hidden="1">
      <c r="H539" s="65"/>
      <c r="I539" s="65"/>
      <c r="J539" s="65"/>
    </row>
    <row r="540" spans="8:10" ht="12.6" hidden="1">
      <c r="H540" s="65"/>
      <c r="I540" s="65"/>
      <c r="J540" s="65"/>
    </row>
    <row r="541" spans="8:10" ht="12.6" hidden="1">
      <c r="H541" s="65"/>
      <c r="I541" s="65"/>
      <c r="J541" s="65"/>
    </row>
    <row r="542" spans="8:10" ht="12.6" hidden="1">
      <c r="H542" s="65"/>
      <c r="I542" s="65"/>
      <c r="J542" s="65"/>
    </row>
    <row r="543" spans="8:10" ht="12.6" hidden="1">
      <c r="H543" s="65"/>
      <c r="I543" s="65"/>
      <c r="J543" s="65"/>
    </row>
    <row r="544" spans="8:10" ht="12.6" hidden="1">
      <c r="H544" s="65"/>
      <c r="I544" s="65"/>
      <c r="J544" s="65"/>
    </row>
    <row r="545" spans="8:10" ht="12.6" hidden="1">
      <c r="H545" s="65"/>
      <c r="I545" s="65"/>
      <c r="J545" s="65"/>
    </row>
    <row r="546" spans="8:10" ht="12.6" hidden="1">
      <c r="H546" s="65"/>
      <c r="I546" s="65"/>
      <c r="J546" s="65"/>
    </row>
    <row r="547" spans="8:10" ht="12.6" hidden="1">
      <c r="H547" s="65"/>
      <c r="I547" s="65"/>
      <c r="J547" s="65"/>
    </row>
    <row r="548" spans="8:10" ht="12.6" hidden="1">
      <c r="H548" s="65"/>
      <c r="I548" s="65"/>
      <c r="J548" s="65"/>
    </row>
    <row r="549" spans="8:10" ht="12.6" hidden="1">
      <c r="H549" s="65"/>
      <c r="I549" s="65"/>
      <c r="J549" s="65"/>
    </row>
    <row r="550" spans="8:10" ht="12.6" hidden="1">
      <c r="H550" s="65"/>
      <c r="I550" s="65"/>
      <c r="J550" s="65"/>
    </row>
    <row r="551" spans="8:10" ht="12.6" hidden="1">
      <c r="H551" s="65"/>
      <c r="I551" s="65"/>
      <c r="J551" s="65"/>
    </row>
    <row r="552" spans="8:10" ht="12.6" hidden="1">
      <c r="H552" s="65"/>
      <c r="I552" s="65"/>
      <c r="J552" s="65"/>
    </row>
    <row r="553" spans="8:10" ht="12.6" hidden="1">
      <c r="H553" s="65"/>
      <c r="I553" s="65"/>
      <c r="J553" s="65"/>
    </row>
    <row r="554" spans="8:10" ht="12.6" hidden="1">
      <c r="H554" s="65"/>
      <c r="I554" s="65"/>
      <c r="J554" s="65"/>
    </row>
    <row r="555" spans="8:10" ht="12.6" hidden="1">
      <c r="H555" s="65"/>
      <c r="I555" s="65"/>
      <c r="J555" s="65"/>
    </row>
    <row r="556" spans="8:10" ht="12.6" hidden="1">
      <c r="H556" s="65"/>
      <c r="I556" s="65"/>
      <c r="J556" s="65"/>
    </row>
    <row r="557" spans="8:10" ht="12.6" hidden="1">
      <c r="H557" s="65"/>
      <c r="I557" s="65"/>
      <c r="J557" s="65"/>
    </row>
    <row r="558" spans="8:10" ht="12.6" hidden="1">
      <c r="H558" s="65"/>
      <c r="I558" s="65"/>
      <c r="J558" s="65"/>
    </row>
    <row r="559" spans="8:10" ht="12.6" hidden="1">
      <c r="H559" s="65"/>
      <c r="I559" s="65"/>
      <c r="J559" s="65"/>
    </row>
    <row r="560" spans="8:10" ht="12.6" hidden="1">
      <c r="H560" s="65"/>
      <c r="I560" s="65"/>
      <c r="J560" s="65"/>
    </row>
    <row r="561" spans="8:10" ht="12.6" hidden="1">
      <c r="H561" s="65"/>
      <c r="I561" s="65"/>
      <c r="J561" s="65"/>
    </row>
    <row r="562" spans="8:10" ht="12.6" hidden="1">
      <c r="H562" s="65"/>
      <c r="I562" s="65"/>
      <c r="J562" s="65"/>
    </row>
    <row r="563" spans="8:10" ht="12.6" hidden="1">
      <c r="H563" s="65"/>
      <c r="I563" s="65"/>
      <c r="J563" s="65"/>
    </row>
    <row r="564" spans="8:10" ht="12.6" hidden="1">
      <c r="H564" s="65"/>
      <c r="I564" s="65"/>
      <c r="J564" s="65"/>
    </row>
    <row r="565" spans="8:10" ht="12.6" hidden="1">
      <c r="H565" s="65"/>
      <c r="I565" s="65"/>
      <c r="J565" s="65"/>
    </row>
    <row r="566" spans="8:10" ht="12.6" hidden="1">
      <c r="H566" s="65"/>
      <c r="I566" s="65"/>
      <c r="J566" s="65"/>
    </row>
    <row r="567" spans="8:10" ht="12.6" hidden="1">
      <c r="H567" s="65"/>
      <c r="I567" s="65"/>
      <c r="J567" s="65"/>
    </row>
    <row r="568" spans="8:10" ht="12.6" hidden="1">
      <c r="H568" s="65"/>
      <c r="I568" s="65"/>
      <c r="J568" s="65"/>
    </row>
    <row r="569" spans="8:10" ht="12.6" hidden="1">
      <c r="H569" s="65"/>
      <c r="I569" s="65"/>
      <c r="J569" s="65"/>
    </row>
    <row r="570" spans="8:10" ht="12.6" hidden="1">
      <c r="H570" s="65"/>
      <c r="I570" s="65"/>
      <c r="J570" s="65"/>
    </row>
    <row r="571" spans="8:10" ht="12.6" hidden="1">
      <c r="H571" s="65"/>
      <c r="I571" s="65"/>
      <c r="J571" s="65"/>
    </row>
    <row r="572" spans="8:10" ht="12.6" hidden="1">
      <c r="H572" s="65"/>
      <c r="I572" s="65"/>
      <c r="J572" s="65"/>
    </row>
    <row r="573" spans="8:10" ht="12.6" hidden="1">
      <c r="H573" s="65"/>
      <c r="I573" s="65"/>
      <c r="J573" s="65"/>
    </row>
    <row r="574" spans="8:10" ht="12.6" hidden="1">
      <c r="H574" s="65"/>
      <c r="I574" s="65"/>
      <c r="J574" s="65"/>
    </row>
    <row r="575" spans="8:10" ht="12.6" hidden="1">
      <c r="H575" s="65"/>
      <c r="I575" s="65"/>
      <c r="J575" s="65"/>
    </row>
    <row r="576" spans="8:10" ht="12.6" hidden="1">
      <c r="H576" s="65"/>
      <c r="I576" s="65"/>
      <c r="J576" s="65"/>
    </row>
    <row r="577" spans="8:10" ht="12.6" hidden="1">
      <c r="H577" s="65"/>
      <c r="I577" s="65"/>
      <c r="J577" s="65"/>
    </row>
    <row r="578" spans="8:10" ht="12.6" hidden="1">
      <c r="H578" s="65"/>
      <c r="I578" s="65"/>
      <c r="J578" s="65"/>
    </row>
    <row r="579" spans="8:10" ht="12.6" hidden="1">
      <c r="H579" s="65"/>
      <c r="I579" s="65"/>
      <c r="J579" s="65"/>
    </row>
    <row r="580" spans="8:10" ht="12.6" hidden="1">
      <c r="H580" s="65"/>
      <c r="I580" s="65"/>
      <c r="J580" s="65"/>
    </row>
    <row r="581" spans="8:10" ht="12.6" hidden="1">
      <c r="H581" s="65"/>
      <c r="I581" s="65"/>
      <c r="J581" s="65"/>
    </row>
    <row r="582" spans="8:10" ht="12.6" hidden="1">
      <c r="H582" s="65"/>
      <c r="I582" s="65"/>
      <c r="J582" s="65"/>
    </row>
    <row r="583" spans="8:10" ht="12.6" hidden="1">
      <c r="H583" s="65"/>
      <c r="I583" s="65"/>
      <c r="J583" s="65"/>
    </row>
    <row r="584" spans="8:10" ht="12.6" hidden="1">
      <c r="H584" s="65"/>
      <c r="I584" s="65"/>
      <c r="J584" s="65"/>
    </row>
    <row r="585" spans="8:10" ht="12.6" hidden="1">
      <c r="H585" s="65"/>
      <c r="I585" s="65"/>
      <c r="J585" s="65"/>
    </row>
    <row r="586" spans="8:10" ht="12.6" hidden="1">
      <c r="H586" s="65"/>
      <c r="I586" s="65"/>
      <c r="J586" s="65"/>
    </row>
    <row r="587" spans="8:10" ht="12.6" hidden="1">
      <c r="H587" s="65"/>
      <c r="I587" s="65"/>
      <c r="J587" s="65"/>
    </row>
    <row r="588" spans="8:10" ht="12.6" hidden="1">
      <c r="H588" s="65"/>
      <c r="I588" s="65"/>
      <c r="J588" s="65"/>
    </row>
    <row r="589" spans="8:10" ht="12.6" hidden="1">
      <c r="H589" s="65"/>
      <c r="I589" s="65"/>
      <c r="J589" s="65"/>
    </row>
    <row r="590" spans="8:10" ht="12.6" hidden="1">
      <c r="H590" s="65"/>
      <c r="I590" s="65"/>
      <c r="J590" s="65"/>
    </row>
    <row r="591" spans="8:10" ht="12.6" hidden="1">
      <c r="H591" s="65"/>
      <c r="I591" s="65"/>
      <c r="J591" s="65"/>
    </row>
    <row r="592" spans="8:10" ht="12.6" hidden="1">
      <c r="H592" s="65"/>
      <c r="I592" s="65"/>
      <c r="J592" s="65"/>
    </row>
    <row r="593" spans="8:10" ht="12.6" hidden="1">
      <c r="H593" s="65"/>
      <c r="I593" s="65"/>
      <c r="J593" s="65"/>
    </row>
    <row r="594" spans="8:10" ht="12.6" hidden="1">
      <c r="H594" s="65"/>
      <c r="I594" s="65"/>
      <c r="J594" s="65"/>
    </row>
    <row r="595" spans="8:10" ht="12.6" hidden="1">
      <c r="H595" s="65"/>
      <c r="I595" s="65"/>
      <c r="J595" s="65"/>
    </row>
    <row r="596" spans="8:10" ht="12.6" hidden="1">
      <c r="H596" s="65"/>
      <c r="I596" s="65"/>
      <c r="J596" s="65"/>
    </row>
    <row r="597" spans="8:10" ht="12.6" hidden="1">
      <c r="H597" s="65"/>
      <c r="I597" s="65"/>
      <c r="J597" s="65"/>
    </row>
    <row r="598" spans="8:10" ht="12.6" hidden="1">
      <c r="H598" s="65"/>
      <c r="I598" s="65"/>
      <c r="J598" s="65"/>
    </row>
    <row r="599" spans="8:10" ht="12.6" hidden="1">
      <c r="H599" s="65"/>
      <c r="I599" s="65"/>
      <c r="J599" s="65"/>
    </row>
    <row r="600" spans="8:10" ht="12.6" hidden="1">
      <c r="H600" s="65"/>
      <c r="I600" s="65"/>
      <c r="J600" s="65"/>
    </row>
    <row r="601" spans="8:10" ht="12.6" hidden="1">
      <c r="H601" s="65"/>
      <c r="I601" s="65"/>
      <c r="J601" s="65"/>
    </row>
    <row r="602" spans="8:10" ht="12.6" hidden="1">
      <c r="H602" s="65"/>
      <c r="I602" s="65"/>
      <c r="J602" s="65"/>
    </row>
    <row r="603" spans="8:10" ht="12.6" hidden="1">
      <c r="H603" s="65"/>
      <c r="I603" s="65"/>
      <c r="J603" s="65"/>
    </row>
    <row r="604" spans="8:10" ht="12.6" hidden="1">
      <c r="H604" s="65"/>
      <c r="I604" s="65"/>
      <c r="J604" s="65"/>
    </row>
    <row r="605" spans="8:10" ht="12.6" hidden="1">
      <c r="H605" s="65"/>
      <c r="I605" s="65"/>
      <c r="J605" s="65"/>
    </row>
    <row r="606" spans="8:10" ht="12.6" hidden="1">
      <c r="H606" s="65"/>
      <c r="I606" s="65"/>
      <c r="J606" s="65"/>
    </row>
    <row r="607" spans="8:10" ht="12.6" hidden="1">
      <c r="H607" s="65"/>
      <c r="I607" s="65"/>
      <c r="J607" s="65"/>
    </row>
    <row r="608" spans="8:10" ht="12.6" hidden="1">
      <c r="H608" s="65"/>
      <c r="I608" s="65"/>
      <c r="J608" s="65"/>
    </row>
    <row r="609" spans="8:10" ht="12.6" hidden="1">
      <c r="H609" s="65"/>
      <c r="I609" s="65"/>
      <c r="J609" s="65"/>
    </row>
    <row r="610" spans="8:10" ht="12.6" hidden="1">
      <c r="H610" s="65"/>
      <c r="I610" s="65"/>
      <c r="J610" s="65"/>
    </row>
    <row r="611" spans="8:10" ht="12.6" hidden="1">
      <c r="H611" s="65"/>
      <c r="I611" s="65"/>
      <c r="J611" s="65"/>
    </row>
    <row r="612" spans="8:10" ht="12.6" hidden="1"/>
    <row r="613" spans="8:10" ht="12.6" hidden="1"/>
    <row r="614" spans="8:10" ht="12.6" hidden="1"/>
    <row r="615" spans="8:10" ht="12.6" hidden="1"/>
    <row r="616" spans="8:10" ht="12.75" hidden="1" customHeight="1"/>
    <row r="617" spans="8:10" ht="12.75" hidden="1" customHeight="1"/>
    <row r="618" spans="8:10" ht="12.75" hidden="1" customHeight="1"/>
    <row r="619" spans="8:10" ht="12.75" hidden="1" customHeight="1"/>
    <row r="620" spans="8:10" ht="12.75" hidden="1" customHeight="1"/>
  </sheetData>
  <mergeCells count="5">
    <mergeCell ref="B4:J4"/>
    <mergeCell ref="B5:J5"/>
    <mergeCell ref="B6:J6"/>
    <mergeCell ref="D10:F10"/>
    <mergeCell ref="H10:J10"/>
  </mergeCells>
  <printOptions horizontalCentered="1" verticalCentered="1"/>
  <pageMargins left="0.19685039370078741" right="0.19685039370078741" top="0.98425196850393704" bottom="0.19685039370078741" header="0" footer="0"/>
  <pageSetup paperSize="9" scale="75" orientation="portrait" r:id="rId1"/>
  <headerFooter>
    <oddHeader>&amp;L 
      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Drop Down 1">
              <controlPr defaultSize="0" autoLine="0" autoPict="0">
                <anchor moveWithCells="1">
                  <from>
                    <xdr:col>3</xdr:col>
                    <xdr:colOff>449580</xdr:colOff>
                    <xdr:row>7</xdr:row>
                    <xdr:rowOff>22860</xdr:rowOff>
                  </from>
                  <to>
                    <xdr:col>4</xdr:col>
                    <xdr:colOff>289560</xdr:colOff>
                    <xdr:row>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6" name="Drop Down 2">
              <controlPr defaultSize="0" autoLine="0" autoPict="0">
                <anchor moveWithCells="1">
                  <from>
                    <xdr:col>4</xdr:col>
                    <xdr:colOff>899160</xdr:colOff>
                    <xdr:row>7</xdr:row>
                    <xdr:rowOff>22860</xdr:rowOff>
                  </from>
                  <to>
                    <xdr:col>5</xdr:col>
                    <xdr:colOff>883920</xdr:colOff>
                    <xdr:row>7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588"/>
  <sheetViews>
    <sheetView showGridLines="0" showRowColHeaders="0" showRuler="0" zoomScaleNormal="100" workbookViewId="0"/>
  </sheetViews>
  <sheetFormatPr baseColWidth="10" defaultColWidth="0" defaultRowHeight="12.75" customHeight="1" zeroHeight="1"/>
  <cols>
    <col min="1" max="1" width="1.90625" style="2" customWidth="1"/>
    <col min="2" max="2" width="8.7265625" style="2" customWidth="1"/>
    <col min="3" max="7" width="8.08984375" style="2" customWidth="1"/>
    <col min="8" max="8" width="9.08984375" style="2" customWidth="1"/>
    <col min="9" max="9" width="1.36328125" style="2" customWidth="1"/>
    <col min="10" max="14" width="8.08984375" style="2" customWidth="1"/>
    <col min="15" max="15" width="9.08984375" style="2" customWidth="1"/>
    <col min="16" max="16" width="1.90625" style="2" customWidth="1"/>
    <col min="17" max="17" width="20.08984375" style="2" hidden="1" customWidth="1"/>
    <col min="18" max="18" width="5.7265625" style="2" hidden="1" customWidth="1"/>
    <col min="19" max="19" width="11" style="2" hidden="1" customWidth="1"/>
    <col min="20" max="20" width="9.90625" style="2" hidden="1" customWidth="1"/>
    <col min="21" max="28" width="11" style="2" hidden="1" customWidth="1"/>
    <col min="29" max="29" width="2.26953125" style="2" hidden="1" customWidth="1"/>
    <col min="30" max="35" width="11" style="2" hidden="1" customWidth="1"/>
    <col min="36" max="37" width="5.6328125" style="2" hidden="1" customWidth="1"/>
    <col min="38" max="38" width="10.6328125" style="2" hidden="1" customWidth="1"/>
    <col min="39" max="51" width="5.6328125" style="2" hidden="1" customWidth="1"/>
    <col min="52" max="16384" width="11" style="2" hidden="1"/>
  </cols>
  <sheetData>
    <row r="1" spans="1:19" ht="5.0999999999999996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</row>
    <row r="2" spans="1:19" ht="5.0999999999999996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2"/>
    </row>
    <row r="3" spans="1:19" ht="22.2" customHeight="1">
      <c r="B3" s="327" t="s">
        <v>209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</row>
    <row r="4" spans="1:19" ht="22.2" customHeight="1">
      <c r="B4" s="327" t="s">
        <v>210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</row>
    <row r="5" spans="1:19" ht="16.2" customHeight="1">
      <c r="B5" s="354" t="s">
        <v>77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</row>
    <row r="6" spans="1:19" s="65" customFormat="1" ht="9.75" customHeight="1" thickBot="1"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9" s="65" customFormat="1" ht="18" customHeight="1" thickTop="1" thickBot="1">
      <c r="B7" s="112"/>
      <c r="C7" s="112"/>
      <c r="D7" s="112"/>
      <c r="E7"/>
      <c r="F7"/>
      <c r="G7" s="113" t="s">
        <v>604</v>
      </c>
      <c r="H7" s="114"/>
      <c r="I7" s="114"/>
      <c r="J7" s="115"/>
      <c r="K7" s="112"/>
      <c r="L7" s="112"/>
      <c r="M7" s="112"/>
      <c r="N7" s="112"/>
      <c r="O7" s="112"/>
      <c r="Q7" s="6" t="s">
        <v>211</v>
      </c>
      <c r="R7" s="7">
        <v>5</v>
      </c>
      <c r="S7" s="7">
        <f>INDEX(Años_homogeneizaciones,R7)</f>
        <v>2024</v>
      </c>
    </row>
    <row r="8" spans="1:19" s="65" customFormat="1" ht="14.4" customHeight="1" thickTop="1">
      <c r="B8" s="112"/>
      <c r="C8" s="112"/>
      <c r="D8" s="112"/>
      <c r="G8"/>
      <c r="H8"/>
      <c r="I8" s="112"/>
      <c r="J8" s="112"/>
      <c r="K8" s="112"/>
      <c r="L8" s="112"/>
      <c r="M8" s="112"/>
      <c r="N8" s="112"/>
      <c r="O8" s="112"/>
      <c r="Q8" s="6" t="s">
        <v>80</v>
      </c>
      <c r="S8" s="7" t="str">
        <f>INDEX(V117:V128,MATCH(1,S117:S128,0))</f>
        <v>FEBRUARY</v>
      </c>
    </row>
    <row r="9" spans="1:19" ht="14.4" customHeight="1" thickBot="1">
      <c r="B9" s="116"/>
      <c r="C9" s="334" t="s">
        <v>116</v>
      </c>
      <c r="D9" s="335"/>
      <c r="E9" s="335"/>
      <c r="F9" s="335"/>
      <c r="G9" s="335"/>
      <c r="H9" s="335"/>
      <c r="I9" s="17"/>
      <c r="J9" s="334" t="s">
        <v>73</v>
      </c>
      <c r="K9" s="334"/>
      <c r="L9" s="334"/>
      <c r="M9" s="334"/>
      <c r="N9" s="334"/>
      <c r="O9" s="334"/>
      <c r="Q9" s="6" t="s">
        <v>212</v>
      </c>
      <c r="R9" s="10"/>
      <c r="S9" s="11">
        <f>S7-1</f>
        <v>2023</v>
      </c>
    </row>
    <row r="10" spans="1:19" ht="6" customHeight="1">
      <c r="B10" s="116"/>
      <c r="C10" s="117"/>
      <c r="D10" s="118"/>
      <c r="E10" s="118"/>
      <c r="F10" s="118"/>
      <c r="G10" s="118"/>
      <c r="H10" s="118"/>
      <c r="I10" s="118"/>
      <c r="J10" s="117"/>
      <c r="K10" s="117"/>
      <c r="L10" s="117"/>
      <c r="M10" s="117"/>
      <c r="N10" s="117"/>
      <c r="O10" s="117"/>
    </row>
    <row r="11" spans="1:19" ht="12" customHeight="1">
      <c r="B11" s="119"/>
      <c r="C11" s="120" t="s">
        <v>83</v>
      </c>
      <c r="D11" s="120" t="s">
        <v>84</v>
      </c>
      <c r="E11" s="120" t="s">
        <v>85</v>
      </c>
      <c r="F11" s="120" t="s">
        <v>86</v>
      </c>
      <c r="G11" s="120" t="s">
        <v>57</v>
      </c>
      <c r="H11" s="121" t="s">
        <v>87</v>
      </c>
      <c r="I11" s="20"/>
      <c r="J11" s="120" t="s">
        <v>83</v>
      </c>
      <c r="K11" s="120" t="s">
        <v>84</v>
      </c>
      <c r="L11" s="120" t="s">
        <v>85</v>
      </c>
      <c r="M11" s="120" t="s">
        <v>86</v>
      </c>
      <c r="N11" s="120" t="s">
        <v>57</v>
      </c>
      <c r="O11" s="121" t="s">
        <v>87</v>
      </c>
    </row>
    <row r="12" spans="1:19" ht="6" customHeight="1">
      <c r="B12" s="122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</row>
    <row r="13" spans="1:19" ht="13.5" customHeight="1" thickBot="1">
      <c r="B13" s="124">
        <f>Año_anterior_seleccionado_C.3.2</f>
        <v>2023</v>
      </c>
      <c r="C13" s="125"/>
      <c r="D13" s="125"/>
      <c r="E13" s="125"/>
      <c r="F13" s="125"/>
      <c r="G13" s="125"/>
      <c r="H13" s="126"/>
      <c r="I13" s="127"/>
      <c r="J13" s="125"/>
      <c r="K13" s="125"/>
      <c r="L13" s="125"/>
      <c r="M13" s="125"/>
      <c r="N13" s="125"/>
      <c r="O13" s="126"/>
    </row>
    <row r="14" spans="1:19" ht="6" customHeight="1">
      <c r="B14" s="128"/>
      <c r="C14" s="125"/>
      <c r="D14" s="125"/>
      <c r="E14" s="125"/>
      <c r="F14" s="125"/>
      <c r="G14" s="125"/>
      <c r="H14" s="126"/>
      <c r="I14" s="127"/>
      <c r="J14" s="125"/>
      <c r="K14" s="125"/>
      <c r="L14" s="125"/>
      <c r="M14" s="125"/>
      <c r="N14" s="125"/>
      <c r="O14" s="126"/>
    </row>
    <row r="15" spans="1:19" ht="12" customHeight="1">
      <c r="B15" s="128" t="s">
        <v>88</v>
      </c>
      <c r="C15" s="258">
        <f>W105</f>
        <v>15782.134</v>
      </c>
      <c r="D15" s="258">
        <f t="shared" ref="D15:H15" si="0">X105</f>
        <v>264.60300000000001</v>
      </c>
      <c r="E15" s="258">
        <f t="shared" si="0"/>
        <v>7952.049</v>
      </c>
      <c r="F15" s="258">
        <f t="shared" si="0"/>
        <v>1694.1020000000001</v>
      </c>
      <c r="G15" s="258">
        <f t="shared" si="0"/>
        <v>1099.2280000000028</v>
      </c>
      <c r="H15" s="259">
        <f t="shared" si="0"/>
        <v>26792.116000000002</v>
      </c>
      <c r="I15" s="127"/>
      <c r="J15" s="258">
        <f t="shared" ref="J15:O26" si="1">AD105</f>
        <v>15782.134</v>
      </c>
      <c r="K15" s="258">
        <f t="shared" si="1"/>
        <v>264.60300000000001</v>
      </c>
      <c r="L15" s="258">
        <f t="shared" si="1"/>
        <v>7952.049</v>
      </c>
      <c r="M15" s="258">
        <f t="shared" si="1"/>
        <v>1694.1020000000001</v>
      </c>
      <c r="N15" s="258">
        <f t="shared" si="1"/>
        <v>1099.2280000000028</v>
      </c>
      <c r="O15" s="259">
        <f t="shared" si="1"/>
        <v>26792.116000000002</v>
      </c>
      <c r="Q15"/>
      <c r="R15"/>
    </row>
    <row r="16" spans="1:19" ht="12" customHeight="1">
      <c r="B16" s="128" t="s">
        <v>89</v>
      </c>
      <c r="C16" s="258">
        <f t="shared" ref="C16:H26" si="2">W106</f>
        <v>7390.5680000000002</v>
      </c>
      <c r="D16" s="258">
        <f t="shared" si="2"/>
        <v>-249.678</v>
      </c>
      <c r="E16" s="258">
        <f t="shared" si="2"/>
        <v>14191.619000000001</v>
      </c>
      <c r="F16" s="258">
        <f t="shared" si="2"/>
        <v>1468.3520000000001</v>
      </c>
      <c r="G16" s="258">
        <f t="shared" si="2"/>
        <v>952.8849999999984</v>
      </c>
      <c r="H16" s="259">
        <f t="shared" si="2"/>
        <v>23753.745999999999</v>
      </c>
      <c r="I16" s="127"/>
      <c r="J16" s="258">
        <f t="shared" si="1"/>
        <v>23172.702000000001</v>
      </c>
      <c r="K16" s="258">
        <f t="shared" si="1"/>
        <v>14.925000000000011</v>
      </c>
      <c r="L16" s="258">
        <f t="shared" si="1"/>
        <v>22143.668000000001</v>
      </c>
      <c r="M16" s="258">
        <f t="shared" si="1"/>
        <v>3162.4540000000002</v>
      </c>
      <c r="N16" s="258">
        <f t="shared" si="1"/>
        <v>2052.1130000000012</v>
      </c>
      <c r="O16" s="259">
        <f t="shared" si="1"/>
        <v>50545.862000000001</v>
      </c>
    </row>
    <row r="17" spans="2:26" ht="12" customHeight="1">
      <c r="B17" s="128" t="s">
        <v>90</v>
      </c>
      <c r="C17" s="258">
        <f t="shared" si="2"/>
        <v>6653.88</v>
      </c>
      <c r="D17" s="258">
        <f t="shared" si="2"/>
        <v>-267.09800000000001</v>
      </c>
      <c r="E17" s="258">
        <f t="shared" si="2"/>
        <v>2812.1660000000002</v>
      </c>
      <c r="F17" s="258">
        <f t="shared" si="2"/>
        <v>1541.35</v>
      </c>
      <c r="G17" s="258">
        <f t="shared" si="2"/>
        <v>701.64599999999882</v>
      </c>
      <c r="H17" s="259">
        <f t="shared" si="2"/>
        <v>11441.944</v>
      </c>
      <c r="I17" s="127"/>
      <c r="J17" s="258">
        <f t="shared" si="1"/>
        <v>29826.582000000002</v>
      </c>
      <c r="K17" s="258">
        <f t="shared" si="1"/>
        <v>-252.173</v>
      </c>
      <c r="L17" s="258">
        <f t="shared" si="1"/>
        <v>24955.834000000003</v>
      </c>
      <c r="M17" s="258">
        <f t="shared" si="1"/>
        <v>4703.8040000000001</v>
      </c>
      <c r="N17" s="258">
        <f t="shared" si="1"/>
        <v>2753.759</v>
      </c>
      <c r="O17" s="259">
        <f t="shared" si="1"/>
        <v>61987.805999999997</v>
      </c>
      <c r="S17" s="10"/>
    </row>
    <row r="18" spans="2:26" ht="12" customHeight="1">
      <c r="B18" s="128" t="s">
        <v>91</v>
      </c>
      <c r="C18" s="258">
        <f t="shared" si="2"/>
        <v>13489.944</v>
      </c>
      <c r="D18" s="258">
        <f t="shared" si="2"/>
        <v>9068.5049999999992</v>
      </c>
      <c r="E18" s="258">
        <f t="shared" si="2"/>
        <v>10053.204</v>
      </c>
      <c r="F18" s="258">
        <f t="shared" si="2"/>
        <v>2074.5810000000001</v>
      </c>
      <c r="G18" s="258">
        <f t="shared" si="2"/>
        <v>904.34300000000076</v>
      </c>
      <c r="H18" s="259">
        <f t="shared" si="2"/>
        <v>35590.576999999997</v>
      </c>
      <c r="I18" s="127"/>
      <c r="J18" s="258">
        <f t="shared" si="1"/>
        <v>43316.525999999998</v>
      </c>
      <c r="K18" s="258">
        <f t="shared" si="1"/>
        <v>8816.3319999999985</v>
      </c>
      <c r="L18" s="258">
        <f t="shared" si="1"/>
        <v>35009.038</v>
      </c>
      <c r="M18" s="258">
        <f t="shared" si="1"/>
        <v>6778.3850000000002</v>
      </c>
      <c r="N18" s="258">
        <f t="shared" si="1"/>
        <v>3658.1020000000008</v>
      </c>
      <c r="O18" s="259">
        <f t="shared" si="1"/>
        <v>97578.383000000002</v>
      </c>
      <c r="Q18"/>
      <c r="R18"/>
      <c r="S18"/>
    </row>
    <row r="19" spans="2:26" ht="12" customHeight="1">
      <c r="B19" s="128" t="s">
        <v>92</v>
      </c>
      <c r="C19" s="258">
        <f t="shared" si="2"/>
        <v>4347.0969999999998</v>
      </c>
      <c r="D19" s="258">
        <f t="shared" si="2"/>
        <v>244.63399999999999</v>
      </c>
      <c r="E19" s="258">
        <f t="shared" si="2"/>
        <v>5036.741</v>
      </c>
      <c r="F19" s="258">
        <f t="shared" si="2"/>
        <v>1645.8420000000001</v>
      </c>
      <c r="G19" s="258">
        <f t="shared" si="2"/>
        <v>1006.1610000000001</v>
      </c>
      <c r="H19" s="259">
        <f t="shared" si="2"/>
        <v>12280.475</v>
      </c>
      <c r="I19" s="127"/>
      <c r="J19" s="258">
        <f t="shared" si="1"/>
        <v>47663.623</v>
      </c>
      <c r="K19" s="258">
        <f t="shared" si="1"/>
        <v>9060.9659999999985</v>
      </c>
      <c r="L19" s="258">
        <f t="shared" si="1"/>
        <v>40045.779000000002</v>
      </c>
      <c r="M19" s="258">
        <f t="shared" si="1"/>
        <v>8424.2270000000008</v>
      </c>
      <c r="N19" s="258">
        <f t="shared" si="1"/>
        <v>4664.2630000000008</v>
      </c>
      <c r="O19" s="259">
        <f t="shared" si="1"/>
        <v>109858.85800000001</v>
      </c>
      <c r="Q19"/>
      <c r="R19"/>
      <c r="S19"/>
    </row>
    <row r="20" spans="2:26" ht="12" customHeight="1">
      <c r="B20" s="128" t="s">
        <v>93</v>
      </c>
      <c r="C20" s="258">
        <f t="shared" si="2"/>
        <v>3410.6729999999998</v>
      </c>
      <c r="D20" s="258">
        <f t="shared" si="2"/>
        <v>234.14400000000001</v>
      </c>
      <c r="E20" s="258">
        <f t="shared" si="2"/>
        <v>3285.7139999999999</v>
      </c>
      <c r="F20" s="258">
        <f t="shared" si="2"/>
        <v>1787.2950000000001</v>
      </c>
      <c r="G20" s="258">
        <f t="shared" si="2"/>
        <v>1032.9159999999993</v>
      </c>
      <c r="H20" s="259">
        <f t="shared" si="2"/>
        <v>9750.7420000000002</v>
      </c>
      <c r="I20" s="127"/>
      <c r="J20" s="258">
        <f t="shared" si="1"/>
        <v>51074.296000000002</v>
      </c>
      <c r="K20" s="258">
        <f t="shared" si="1"/>
        <v>9295.1099999999988</v>
      </c>
      <c r="L20" s="258">
        <f t="shared" si="1"/>
        <v>43331.493000000002</v>
      </c>
      <c r="M20" s="258">
        <f t="shared" si="1"/>
        <v>10211.522000000001</v>
      </c>
      <c r="N20" s="258">
        <f t="shared" si="1"/>
        <v>5697.1790000000001</v>
      </c>
      <c r="O20" s="259">
        <f t="shared" si="1"/>
        <v>119609.60000000001</v>
      </c>
      <c r="Q20"/>
      <c r="R20"/>
      <c r="S20"/>
    </row>
    <row r="21" spans="2:26" ht="12" customHeight="1">
      <c r="B21" s="128" t="s">
        <v>94</v>
      </c>
      <c r="C21" s="258">
        <f t="shared" si="2"/>
        <v>25217.848999999998</v>
      </c>
      <c r="D21" s="258">
        <f t="shared" si="2"/>
        <v>930.29600000000005</v>
      </c>
      <c r="E21" s="258">
        <f t="shared" si="2"/>
        <v>11586.56</v>
      </c>
      <c r="F21" s="258">
        <f t="shared" si="2"/>
        <v>1877.43</v>
      </c>
      <c r="G21" s="258">
        <f t="shared" si="2"/>
        <v>985.56200000000536</v>
      </c>
      <c r="H21" s="259">
        <f t="shared" si="2"/>
        <v>40597.697</v>
      </c>
      <c r="I21" s="127"/>
      <c r="J21" s="258">
        <f t="shared" si="1"/>
        <v>76292.145000000004</v>
      </c>
      <c r="K21" s="258">
        <f t="shared" si="1"/>
        <v>10225.405999999999</v>
      </c>
      <c r="L21" s="258">
        <f t="shared" si="1"/>
        <v>54918.053</v>
      </c>
      <c r="M21" s="258">
        <f t="shared" si="1"/>
        <v>12088.952000000001</v>
      </c>
      <c r="N21" s="258">
        <f t="shared" si="1"/>
        <v>6682.7410000000054</v>
      </c>
      <c r="O21" s="259">
        <f t="shared" si="1"/>
        <v>160207.29700000002</v>
      </c>
      <c r="Q21"/>
      <c r="R21"/>
      <c r="S21"/>
    </row>
    <row r="22" spans="2:26" ht="12" customHeight="1">
      <c r="B22" s="128" t="s">
        <v>95</v>
      </c>
      <c r="C22" s="258">
        <f t="shared" si="2"/>
        <v>6334.8280000000004</v>
      </c>
      <c r="D22" s="258">
        <f t="shared" si="2"/>
        <v>8980.0439999999999</v>
      </c>
      <c r="E22" s="258">
        <f t="shared" si="2"/>
        <v>5888.3329999999996</v>
      </c>
      <c r="F22" s="258">
        <f t="shared" si="2"/>
        <v>1894.557</v>
      </c>
      <c r="G22" s="258">
        <f t="shared" si="2"/>
        <v>1648.8919999999998</v>
      </c>
      <c r="H22" s="259">
        <f t="shared" si="2"/>
        <v>24746.653999999999</v>
      </c>
      <c r="I22" s="127"/>
      <c r="J22" s="258">
        <f t="shared" si="1"/>
        <v>82626.972999999998</v>
      </c>
      <c r="K22" s="258">
        <f t="shared" si="1"/>
        <v>19205.449999999997</v>
      </c>
      <c r="L22" s="258">
        <f t="shared" si="1"/>
        <v>60806.385999999999</v>
      </c>
      <c r="M22" s="258">
        <f t="shared" si="1"/>
        <v>13983.509000000002</v>
      </c>
      <c r="N22" s="258">
        <f t="shared" si="1"/>
        <v>8331.6330000000053</v>
      </c>
      <c r="O22" s="259">
        <f t="shared" si="1"/>
        <v>184953.95100000003</v>
      </c>
    </row>
    <row r="23" spans="2:26" ht="12" customHeight="1">
      <c r="B23" s="128" t="s">
        <v>96</v>
      </c>
      <c r="C23" s="258">
        <f t="shared" si="2"/>
        <v>5697.24</v>
      </c>
      <c r="D23" s="258">
        <f t="shared" si="2"/>
        <v>-52.902000000000001</v>
      </c>
      <c r="E23" s="258">
        <f t="shared" si="2"/>
        <v>4084.3829999999998</v>
      </c>
      <c r="F23" s="258">
        <f t="shared" si="2"/>
        <v>1860.288</v>
      </c>
      <c r="G23" s="258">
        <f t="shared" si="2"/>
        <v>795.16500000000087</v>
      </c>
      <c r="H23" s="259">
        <f t="shared" si="2"/>
        <v>12384.174000000001</v>
      </c>
      <c r="I23" s="127"/>
      <c r="J23" s="258">
        <f t="shared" si="1"/>
        <v>88324.213000000003</v>
      </c>
      <c r="K23" s="258">
        <f t="shared" si="1"/>
        <v>19152.547999999999</v>
      </c>
      <c r="L23" s="258">
        <f t="shared" si="1"/>
        <v>64890.769</v>
      </c>
      <c r="M23" s="258">
        <f t="shared" si="1"/>
        <v>15843.797000000002</v>
      </c>
      <c r="N23" s="258">
        <f t="shared" si="1"/>
        <v>9126.7980000000061</v>
      </c>
      <c r="O23" s="259">
        <f t="shared" si="1"/>
        <v>197338.12500000003</v>
      </c>
    </row>
    <row r="24" spans="2:26" ht="12" customHeight="1">
      <c r="B24" s="128" t="s">
        <v>97</v>
      </c>
      <c r="C24" s="258">
        <f t="shared" si="2"/>
        <v>13238.355</v>
      </c>
      <c r="D24" s="258">
        <f t="shared" si="2"/>
        <v>17254.723000000002</v>
      </c>
      <c r="E24" s="258">
        <f t="shared" si="2"/>
        <v>12075.714</v>
      </c>
      <c r="F24" s="258">
        <f t="shared" si="2"/>
        <v>1886.577</v>
      </c>
      <c r="G24" s="258">
        <f t="shared" si="2"/>
        <v>875.2589999999982</v>
      </c>
      <c r="H24" s="259">
        <f t="shared" si="2"/>
        <v>45330.627999999997</v>
      </c>
      <c r="I24" s="127"/>
      <c r="J24" s="258">
        <f t="shared" si="1"/>
        <v>101562.568</v>
      </c>
      <c r="K24" s="258">
        <f t="shared" si="1"/>
        <v>36407.271000000001</v>
      </c>
      <c r="L24" s="258">
        <f t="shared" si="1"/>
        <v>76966.483000000007</v>
      </c>
      <c r="M24" s="258">
        <f t="shared" si="1"/>
        <v>17730.374000000003</v>
      </c>
      <c r="N24" s="258">
        <f t="shared" si="1"/>
        <v>10002.057000000004</v>
      </c>
      <c r="O24" s="259">
        <f t="shared" si="1"/>
        <v>242668.75300000003</v>
      </c>
    </row>
    <row r="25" spans="2:26" ht="12" customHeight="1">
      <c r="B25" s="128" t="s">
        <v>98</v>
      </c>
      <c r="C25" s="258">
        <f t="shared" si="2"/>
        <v>11205.553</v>
      </c>
      <c r="D25" s="258">
        <f t="shared" si="2"/>
        <v>-847.01800000000003</v>
      </c>
      <c r="E25" s="258">
        <f t="shared" si="2"/>
        <v>4952.04</v>
      </c>
      <c r="F25" s="258">
        <f t="shared" si="2"/>
        <v>1829.932</v>
      </c>
      <c r="G25" s="258">
        <f t="shared" si="2"/>
        <v>884.36799999999857</v>
      </c>
      <c r="H25" s="259">
        <f t="shared" si="2"/>
        <v>18024.875</v>
      </c>
      <c r="I25" s="127"/>
      <c r="J25" s="258">
        <f t="shared" si="1"/>
        <v>112768.121</v>
      </c>
      <c r="K25" s="258">
        <f t="shared" si="1"/>
        <v>35560.252999999997</v>
      </c>
      <c r="L25" s="258">
        <f t="shared" si="1"/>
        <v>81918.523000000001</v>
      </c>
      <c r="M25" s="258">
        <f t="shared" si="1"/>
        <v>19560.306000000004</v>
      </c>
      <c r="N25" s="258">
        <f t="shared" si="1"/>
        <v>10886.425000000003</v>
      </c>
      <c r="O25" s="259">
        <f t="shared" si="1"/>
        <v>260693.62800000003</v>
      </c>
    </row>
    <row r="26" spans="2:26" ht="12" customHeight="1">
      <c r="B26" s="128" t="s">
        <v>99</v>
      </c>
      <c r="C26" s="258">
        <f t="shared" si="2"/>
        <v>7922.9989999999998</v>
      </c>
      <c r="D26" s="258">
        <f t="shared" si="2"/>
        <v>742.875</v>
      </c>
      <c r="E26" s="258">
        <f t="shared" si="2"/>
        <v>2897.2689999999998</v>
      </c>
      <c r="F26" s="258">
        <f t="shared" si="2"/>
        <v>1696.825</v>
      </c>
      <c r="G26" s="258">
        <f t="shared" si="2"/>
        <v>1030.1409999999996</v>
      </c>
      <c r="H26" s="259">
        <f t="shared" si="2"/>
        <v>14290.109</v>
      </c>
      <c r="I26" s="127"/>
      <c r="J26" s="258">
        <f t="shared" si="1"/>
        <v>120691.12</v>
      </c>
      <c r="K26" s="258">
        <f t="shared" si="1"/>
        <v>36303.127999999997</v>
      </c>
      <c r="L26" s="258">
        <f t="shared" si="1"/>
        <v>84815.792000000001</v>
      </c>
      <c r="M26" s="258">
        <f t="shared" si="1"/>
        <v>21257.131000000005</v>
      </c>
      <c r="N26" s="258">
        <f t="shared" si="1"/>
        <v>11916.566000000003</v>
      </c>
      <c r="O26" s="259">
        <f t="shared" si="1"/>
        <v>274983.73700000002</v>
      </c>
    </row>
    <row r="27" spans="2:26" ht="12" customHeight="1">
      <c r="B27" s="128"/>
      <c r="Y27" s="129"/>
    </row>
    <row r="28" spans="2:26" ht="13.5" customHeight="1" thickBot="1">
      <c r="B28" s="124">
        <f>Año_seleccionado_C.3.2</f>
        <v>2024</v>
      </c>
      <c r="C28" s="125"/>
      <c r="D28" s="125"/>
      <c r="E28" s="125"/>
      <c r="F28" s="125"/>
      <c r="G28" s="125"/>
      <c r="H28" s="130"/>
      <c r="I28" s="127"/>
      <c r="J28" s="125"/>
      <c r="K28" s="125"/>
      <c r="L28" s="125"/>
      <c r="M28" s="125"/>
      <c r="N28" s="125"/>
      <c r="O28" s="130"/>
    </row>
    <row r="29" spans="2:26" ht="6" customHeight="1">
      <c r="B29" s="128"/>
      <c r="C29" s="125"/>
      <c r="D29" s="125"/>
      <c r="E29" s="125"/>
      <c r="F29" s="125"/>
      <c r="G29" s="125"/>
      <c r="H29" s="130"/>
      <c r="I29" s="127"/>
      <c r="J29" s="125"/>
      <c r="K29" s="125"/>
      <c r="L29" s="125"/>
      <c r="M29" s="125"/>
      <c r="N29" s="125"/>
      <c r="O29" s="130"/>
    </row>
    <row r="30" spans="2:26" ht="12" customHeight="1">
      <c r="B30" s="128" t="s">
        <v>88</v>
      </c>
      <c r="C30" s="258">
        <f>IF($T117="SI"," ",W117)</f>
        <v>16828.951000000001</v>
      </c>
      <c r="D30" s="258">
        <f t="shared" ref="D30:H39" si="3">IF($T117="SI"," ",X117)</f>
        <v>349.11500000000001</v>
      </c>
      <c r="E30" s="258">
        <f t="shared" si="3"/>
        <v>7955.3180000000002</v>
      </c>
      <c r="F30" s="258">
        <f t="shared" si="3"/>
        <v>1653.6990000000001</v>
      </c>
      <c r="G30" s="258">
        <f t="shared" si="3"/>
        <v>1133.6449999999968</v>
      </c>
      <c r="H30" s="259">
        <f t="shared" si="3"/>
        <v>27920.727999999999</v>
      </c>
      <c r="I30" s="127"/>
      <c r="J30" s="258">
        <f t="shared" ref="J30:O41" si="4">IF($T117="SI"," ",AD117)</f>
        <v>16828.951000000001</v>
      </c>
      <c r="K30" s="258">
        <f t="shared" si="4"/>
        <v>349.11500000000001</v>
      </c>
      <c r="L30" s="258">
        <f t="shared" si="4"/>
        <v>7955.3180000000002</v>
      </c>
      <c r="M30" s="258">
        <f t="shared" si="4"/>
        <v>1653.6990000000001</v>
      </c>
      <c r="N30" s="258">
        <f t="shared" si="4"/>
        <v>1133.6449999999968</v>
      </c>
      <c r="O30" s="259">
        <f t="shared" si="4"/>
        <v>27920.727999999999</v>
      </c>
    </row>
    <row r="31" spans="2:26" ht="12" customHeight="1">
      <c r="B31" s="128" t="s">
        <v>89</v>
      </c>
      <c r="C31" s="258">
        <f t="shared" ref="C31:H41" si="5">IF($T118="SI"," ",W118)</f>
        <v>8219.4590000000007</v>
      </c>
      <c r="D31" s="258">
        <f t="shared" si="3"/>
        <v>-145.52199999999999</v>
      </c>
      <c r="E31" s="258">
        <f t="shared" si="3"/>
        <v>15151.294</v>
      </c>
      <c r="F31" s="258">
        <f t="shared" si="3"/>
        <v>1811.721</v>
      </c>
      <c r="G31" s="258">
        <f t="shared" si="3"/>
        <v>991.48999999999796</v>
      </c>
      <c r="H31" s="259">
        <f t="shared" si="3"/>
        <v>26028.441999999999</v>
      </c>
      <c r="I31" s="127"/>
      <c r="J31" s="258">
        <f t="shared" si="4"/>
        <v>25048.410000000003</v>
      </c>
      <c r="K31" s="258">
        <f t="shared" si="4"/>
        <v>203.59300000000002</v>
      </c>
      <c r="L31" s="258">
        <f t="shared" si="4"/>
        <v>23106.612000000001</v>
      </c>
      <c r="M31" s="258">
        <f t="shared" si="4"/>
        <v>3465.42</v>
      </c>
      <c r="N31" s="258">
        <f t="shared" si="4"/>
        <v>2125.1349999999948</v>
      </c>
      <c r="O31" s="259">
        <f t="shared" si="4"/>
        <v>53949.17</v>
      </c>
    </row>
    <row r="32" spans="2:26" ht="12" customHeight="1">
      <c r="B32" s="128" t="s">
        <v>90</v>
      </c>
      <c r="C32" s="258" t="str">
        <f t="shared" si="5"/>
        <v xml:space="preserve"> </v>
      </c>
      <c r="D32" s="258" t="str">
        <f t="shared" si="3"/>
        <v xml:space="preserve"> </v>
      </c>
      <c r="E32" s="258" t="str">
        <f t="shared" si="3"/>
        <v xml:space="preserve"> </v>
      </c>
      <c r="F32" s="258" t="str">
        <f t="shared" si="3"/>
        <v xml:space="preserve"> </v>
      </c>
      <c r="G32" s="258" t="str">
        <f t="shared" si="3"/>
        <v xml:space="preserve"> </v>
      </c>
      <c r="H32" s="259" t="str">
        <f t="shared" si="3"/>
        <v xml:space="preserve"> </v>
      </c>
      <c r="I32" s="127"/>
      <c r="J32" s="258" t="str">
        <f t="shared" si="4"/>
        <v xml:space="preserve"> </v>
      </c>
      <c r="K32" s="258" t="str">
        <f t="shared" si="4"/>
        <v xml:space="preserve"> </v>
      </c>
      <c r="L32" s="258" t="str">
        <f t="shared" si="4"/>
        <v xml:space="preserve"> </v>
      </c>
      <c r="M32" s="258" t="str">
        <f t="shared" si="4"/>
        <v xml:space="preserve"> </v>
      </c>
      <c r="N32" s="258" t="str">
        <f t="shared" si="4"/>
        <v xml:space="preserve"> </v>
      </c>
      <c r="O32" s="259" t="str">
        <f t="shared" si="4"/>
        <v xml:space="preserve"> </v>
      </c>
      <c r="S32" s="129"/>
      <c r="Z32" s="129"/>
    </row>
    <row r="33" spans="2:26" ht="12" customHeight="1">
      <c r="B33" s="128" t="s">
        <v>91</v>
      </c>
      <c r="C33" s="258" t="str">
        <f t="shared" si="5"/>
        <v xml:space="preserve"> </v>
      </c>
      <c r="D33" s="258" t="str">
        <f t="shared" si="3"/>
        <v xml:space="preserve"> </v>
      </c>
      <c r="E33" s="258" t="str">
        <f t="shared" si="3"/>
        <v xml:space="preserve"> </v>
      </c>
      <c r="F33" s="258" t="str">
        <f t="shared" si="3"/>
        <v xml:space="preserve"> </v>
      </c>
      <c r="G33" s="258" t="str">
        <f t="shared" si="3"/>
        <v xml:space="preserve"> </v>
      </c>
      <c r="H33" s="259" t="str">
        <f t="shared" si="3"/>
        <v xml:space="preserve"> </v>
      </c>
      <c r="I33" s="127"/>
      <c r="J33" s="258" t="str">
        <f t="shared" si="4"/>
        <v xml:space="preserve"> </v>
      </c>
      <c r="K33" s="258" t="str">
        <f t="shared" si="4"/>
        <v xml:space="preserve"> </v>
      </c>
      <c r="L33" s="258" t="str">
        <f t="shared" si="4"/>
        <v xml:space="preserve"> </v>
      </c>
      <c r="M33" s="258" t="str">
        <f t="shared" si="4"/>
        <v xml:space="preserve"> </v>
      </c>
      <c r="N33" s="258" t="str">
        <f t="shared" si="4"/>
        <v xml:space="preserve"> </v>
      </c>
      <c r="O33" s="259" t="str">
        <f t="shared" si="4"/>
        <v xml:space="preserve"> </v>
      </c>
      <c r="S33" s="129"/>
      <c r="Z33" s="129"/>
    </row>
    <row r="34" spans="2:26" ht="12" customHeight="1">
      <c r="B34" s="128" t="s">
        <v>92</v>
      </c>
      <c r="C34" s="258" t="str">
        <f t="shared" si="5"/>
        <v xml:space="preserve"> </v>
      </c>
      <c r="D34" s="258" t="str">
        <f t="shared" si="3"/>
        <v xml:space="preserve"> </v>
      </c>
      <c r="E34" s="258" t="str">
        <f t="shared" si="3"/>
        <v xml:space="preserve"> </v>
      </c>
      <c r="F34" s="258" t="str">
        <f t="shared" si="3"/>
        <v xml:space="preserve"> </v>
      </c>
      <c r="G34" s="258" t="str">
        <f t="shared" si="3"/>
        <v xml:space="preserve"> </v>
      </c>
      <c r="H34" s="259" t="str">
        <f t="shared" si="3"/>
        <v xml:space="preserve"> </v>
      </c>
      <c r="I34" s="127"/>
      <c r="J34" s="258" t="str">
        <f t="shared" si="4"/>
        <v xml:space="preserve"> </v>
      </c>
      <c r="K34" s="258" t="str">
        <f t="shared" si="4"/>
        <v xml:space="preserve"> </v>
      </c>
      <c r="L34" s="258" t="str">
        <f t="shared" si="4"/>
        <v xml:space="preserve"> </v>
      </c>
      <c r="M34" s="258" t="str">
        <f t="shared" si="4"/>
        <v xml:space="preserve"> </v>
      </c>
      <c r="N34" s="258" t="str">
        <f t="shared" si="4"/>
        <v xml:space="preserve"> </v>
      </c>
      <c r="O34" s="259" t="str">
        <f t="shared" si="4"/>
        <v xml:space="preserve"> </v>
      </c>
      <c r="S34" s="129"/>
      <c r="Z34" s="129"/>
    </row>
    <row r="35" spans="2:26" ht="12" customHeight="1">
      <c r="B35" s="128" t="s">
        <v>93</v>
      </c>
      <c r="C35" s="258" t="str">
        <f t="shared" si="5"/>
        <v xml:space="preserve"> </v>
      </c>
      <c r="D35" s="258" t="str">
        <f t="shared" si="3"/>
        <v xml:space="preserve"> </v>
      </c>
      <c r="E35" s="258" t="str">
        <f t="shared" si="3"/>
        <v xml:space="preserve"> </v>
      </c>
      <c r="F35" s="258" t="str">
        <f t="shared" si="3"/>
        <v xml:space="preserve"> </v>
      </c>
      <c r="G35" s="258" t="str">
        <f t="shared" si="3"/>
        <v xml:space="preserve"> </v>
      </c>
      <c r="H35" s="259" t="str">
        <f t="shared" si="3"/>
        <v xml:space="preserve"> </v>
      </c>
      <c r="I35" s="127"/>
      <c r="J35" s="258" t="str">
        <f t="shared" si="4"/>
        <v xml:space="preserve"> </v>
      </c>
      <c r="K35" s="258" t="str">
        <f t="shared" si="4"/>
        <v xml:space="preserve"> </v>
      </c>
      <c r="L35" s="258" t="str">
        <f t="shared" si="4"/>
        <v xml:space="preserve"> </v>
      </c>
      <c r="M35" s="258" t="str">
        <f t="shared" si="4"/>
        <v xml:space="preserve"> </v>
      </c>
      <c r="N35" s="258" t="str">
        <f t="shared" si="4"/>
        <v xml:space="preserve"> </v>
      </c>
      <c r="O35" s="259" t="str">
        <f t="shared" si="4"/>
        <v xml:space="preserve"> </v>
      </c>
      <c r="S35" s="129"/>
      <c r="Z35" s="129"/>
    </row>
    <row r="36" spans="2:26" ht="12" customHeight="1">
      <c r="B36" s="128" t="s">
        <v>94</v>
      </c>
      <c r="C36" s="258" t="str">
        <f t="shared" si="5"/>
        <v xml:space="preserve"> </v>
      </c>
      <c r="D36" s="258" t="str">
        <f t="shared" si="3"/>
        <v xml:space="preserve"> </v>
      </c>
      <c r="E36" s="258" t="str">
        <f t="shared" si="3"/>
        <v xml:space="preserve"> </v>
      </c>
      <c r="F36" s="258" t="str">
        <f t="shared" si="3"/>
        <v xml:space="preserve"> </v>
      </c>
      <c r="G36" s="258" t="str">
        <f t="shared" si="3"/>
        <v xml:space="preserve"> </v>
      </c>
      <c r="H36" s="259" t="str">
        <f t="shared" si="3"/>
        <v xml:space="preserve"> </v>
      </c>
      <c r="I36" s="127"/>
      <c r="J36" s="258" t="str">
        <f t="shared" si="4"/>
        <v xml:space="preserve"> </v>
      </c>
      <c r="K36" s="258" t="str">
        <f t="shared" si="4"/>
        <v xml:space="preserve"> </v>
      </c>
      <c r="L36" s="258" t="str">
        <f t="shared" si="4"/>
        <v xml:space="preserve"> </v>
      </c>
      <c r="M36" s="258" t="str">
        <f t="shared" si="4"/>
        <v xml:space="preserve"> </v>
      </c>
      <c r="N36" s="258" t="str">
        <f t="shared" si="4"/>
        <v xml:space="preserve"> </v>
      </c>
      <c r="O36" s="259" t="str">
        <f t="shared" si="4"/>
        <v xml:space="preserve"> </v>
      </c>
      <c r="S36" s="129"/>
      <c r="Z36" s="129"/>
    </row>
    <row r="37" spans="2:26" ht="12" customHeight="1">
      <c r="B37" s="128" t="s">
        <v>95</v>
      </c>
      <c r="C37" s="258" t="str">
        <f t="shared" si="5"/>
        <v xml:space="preserve"> </v>
      </c>
      <c r="D37" s="258" t="str">
        <f t="shared" si="3"/>
        <v xml:space="preserve"> </v>
      </c>
      <c r="E37" s="258" t="str">
        <f t="shared" si="3"/>
        <v xml:space="preserve"> </v>
      </c>
      <c r="F37" s="258" t="str">
        <f t="shared" si="3"/>
        <v xml:space="preserve"> </v>
      </c>
      <c r="G37" s="258" t="str">
        <f t="shared" si="3"/>
        <v xml:space="preserve"> </v>
      </c>
      <c r="H37" s="259" t="str">
        <f t="shared" si="3"/>
        <v xml:space="preserve"> </v>
      </c>
      <c r="I37" s="127"/>
      <c r="J37" s="258" t="str">
        <f t="shared" si="4"/>
        <v xml:space="preserve"> </v>
      </c>
      <c r="K37" s="258" t="str">
        <f t="shared" si="4"/>
        <v xml:space="preserve"> </v>
      </c>
      <c r="L37" s="258" t="str">
        <f t="shared" si="4"/>
        <v xml:space="preserve"> </v>
      </c>
      <c r="M37" s="258" t="str">
        <f t="shared" si="4"/>
        <v xml:space="preserve"> </v>
      </c>
      <c r="N37" s="258" t="str">
        <f t="shared" si="4"/>
        <v xml:space="preserve"> </v>
      </c>
      <c r="O37" s="259" t="str">
        <f t="shared" si="4"/>
        <v xml:space="preserve"> </v>
      </c>
      <c r="Z37" s="129"/>
    </row>
    <row r="38" spans="2:26" ht="12" customHeight="1">
      <c r="B38" s="128" t="s">
        <v>96</v>
      </c>
      <c r="C38" s="258" t="str">
        <f t="shared" si="5"/>
        <v xml:space="preserve"> </v>
      </c>
      <c r="D38" s="258" t="str">
        <f t="shared" si="3"/>
        <v xml:space="preserve"> </v>
      </c>
      <c r="E38" s="258" t="str">
        <f t="shared" si="3"/>
        <v xml:space="preserve"> </v>
      </c>
      <c r="F38" s="258" t="str">
        <f t="shared" si="3"/>
        <v xml:space="preserve"> </v>
      </c>
      <c r="G38" s="258" t="str">
        <f t="shared" si="3"/>
        <v xml:space="preserve"> </v>
      </c>
      <c r="H38" s="259" t="str">
        <f t="shared" si="3"/>
        <v xml:space="preserve"> </v>
      </c>
      <c r="I38" s="127"/>
      <c r="J38" s="258" t="str">
        <f t="shared" si="4"/>
        <v xml:space="preserve"> </v>
      </c>
      <c r="K38" s="258" t="str">
        <f t="shared" si="4"/>
        <v xml:space="preserve"> </v>
      </c>
      <c r="L38" s="258" t="str">
        <f t="shared" si="4"/>
        <v xml:space="preserve"> </v>
      </c>
      <c r="M38" s="258" t="str">
        <f t="shared" si="4"/>
        <v xml:space="preserve"> </v>
      </c>
      <c r="N38" s="258" t="str">
        <f t="shared" si="4"/>
        <v xml:space="preserve"> </v>
      </c>
      <c r="O38" s="259" t="str">
        <f t="shared" si="4"/>
        <v xml:space="preserve"> </v>
      </c>
      <c r="S38" s="129"/>
      <c r="Z38" s="129"/>
    </row>
    <row r="39" spans="2:26" ht="12" customHeight="1">
      <c r="B39" s="128" t="s">
        <v>97</v>
      </c>
      <c r="C39" s="258" t="str">
        <f t="shared" si="5"/>
        <v xml:space="preserve"> </v>
      </c>
      <c r="D39" s="258" t="str">
        <f t="shared" si="3"/>
        <v xml:space="preserve"> </v>
      </c>
      <c r="E39" s="258" t="str">
        <f t="shared" si="3"/>
        <v xml:space="preserve"> </v>
      </c>
      <c r="F39" s="258" t="str">
        <f t="shared" si="3"/>
        <v xml:space="preserve"> </v>
      </c>
      <c r="G39" s="258" t="str">
        <f t="shared" si="3"/>
        <v xml:space="preserve"> </v>
      </c>
      <c r="H39" s="259" t="str">
        <f t="shared" si="3"/>
        <v xml:space="preserve"> </v>
      </c>
      <c r="I39" s="127"/>
      <c r="J39" s="258" t="str">
        <f t="shared" si="4"/>
        <v xml:space="preserve"> </v>
      </c>
      <c r="K39" s="258" t="str">
        <f t="shared" si="4"/>
        <v xml:space="preserve"> </v>
      </c>
      <c r="L39" s="258" t="str">
        <f t="shared" si="4"/>
        <v xml:space="preserve"> </v>
      </c>
      <c r="M39" s="258" t="str">
        <f t="shared" si="4"/>
        <v xml:space="preserve"> </v>
      </c>
      <c r="N39" s="258" t="str">
        <f t="shared" si="4"/>
        <v xml:space="preserve"> </v>
      </c>
      <c r="O39" s="259" t="str">
        <f t="shared" si="4"/>
        <v xml:space="preserve"> </v>
      </c>
      <c r="S39" s="129"/>
      <c r="Z39" s="129"/>
    </row>
    <row r="40" spans="2:26" ht="12" customHeight="1">
      <c r="B40" s="128" t="s">
        <v>98</v>
      </c>
      <c r="C40" s="258" t="str">
        <f t="shared" si="5"/>
        <v xml:space="preserve"> </v>
      </c>
      <c r="D40" s="258" t="str">
        <f t="shared" si="5"/>
        <v xml:space="preserve"> </v>
      </c>
      <c r="E40" s="258" t="str">
        <f t="shared" si="5"/>
        <v xml:space="preserve"> </v>
      </c>
      <c r="F40" s="258" t="str">
        <f t="shared" si="5"/>
        <v xml:space="preserve"> </v>
      </c>
      <c r="G40" s="258" t="str">
        <f t="shared" si="5"/>
        <v xml:space="preserve"> </v>
      </c>
      <c r="H40" s="259" t="str">
        <f t="shared" si="5"/>
        <v xml:space="preserve"> </v>
      </c>
      <c r="I40"/>
      <c r="J40" s="258" t="str">
        <f t="shared" si="4"/>
        <v xml:space="preserve"> </v>
      </c>
      <c r="K40" s="258" t="str">
        <f t="shared" si="4"/>
        <v xml:space="preserve"> </v>
      </c>
      <c r="L40" s="258" t="str">
        <f t="shared" si="4"/>
        <v xml:space="preserve"> </v>
      </c>
      <c r="M40" s="258" t="str">
        <f t="shared" si="4"/>
        <v xml:space="preserve"> </v>
      </c>
      <c r="N40" s="258" t="str">
        <f t="shared" si="4"/>
        <v xml:space="preserve"> </v>
      </c>
      <c r="O40" s="259" t="str">
        <f t="shared" si="4"/>
        <v xml:space="preserve"> </v>
      </c>
      <c r="S40" s="129"/>
      <c r="Z40" s="129"/>
    </row>
    <row r="41" spans="2:26" ht="12" customHeight="1">
      <c r="B41" s="128" t="s">
        <v>99</v>
      </c>
      <c r="C41" s="258" t="str">
        <f t="shared" si="5"/>
        <v xml:space="preserve"> </v>
      </c>
      <c r="D41" s="258" t="str">
        <f t="shared" si="5"/>
        <v xml:space="preserve"> </v>
      </c>
      <c r="E41" s="258" t="str">
        <f t="shared" si="5"/>
        <v xml:space="preserve"> </v>
      </c>
      <c r="F41" s="258" t="str">
        <f t="shared" si="5"/>
        <v xml:space="preserve"> </v>
      </c>
      <c r="G41" s="258" t="str">
        <f t="shared" si="5"/>
        <v xml:space="preserve"> </v>
      </c>
      <c r="H41" s="259" t="str">
        <f t="shared" si="5"/>
        <v xml:space="preserve"> </v>
      </c>
      <c r="I41"/>
      <c r="J41" s="258" t="str">
        <f t="shared" si="4"/>
        <v xml:space="preserve"> </v>
      </c>
      <c r="K41" s="258" t="str">
        <f t="shared" si="4"/>
        <v xml:space="preserve"> </v>
      </c>
      <c r="L41" s="258" t="str">
        <f t="shared" si="4"/>
        <v xml:space="preserve"> </v>
      </c>
      <c r="M41" s="258" t="str">
        <f t="shared" si="4"/>
        <v xml:space="preserve"> </v>
      </c>
      <c r="N41" s="258" t="str">
        <f t="shared" si="4"/>
        <v xml:space="preserve"> </v>
      </c>
      <c r="O41" s="259" t="str">
        <f t="shared" si="4"/>
        <v xml:space="preserve"> </v>
      </c>
      <c r="S41" s="129"/>
      <c r="Z41" s="129"/>
    </row>
    <row r="42" spans="2:26" ht="12" customHeight="1">
      <c r="B42" s="128"/>
      <c r="J42" s="261"/>
      <c r="K42" s="261"/>
      <c r="L42" s="261"/>
      <c r="M42" s="261"/>
      <c r="N42" s="261"/>
      <c r="O42" s="261"/>
      <c r="S42" s="129"/>
      <c r="Z42" s="129"/>
    </row>
    <row r="43" spans="2:26" ht="12" customHeight="1">
      <c r="B43" s="128"/>
      <c r="C43" s="125"/>
      <c r="D43" s="125"/>
      <c r="E43" s="125"/>
      <c r="F43" s="125"/>
      <c r="G43" s="125"/>
      <c r="H43" s="131"/>
      <c r="I43" s="127"/>
      <c r="J43" s="125"/>
      <c r="K43" s="125"/>
      <c r="L43" s="125"/>
      <c r="M43" s="125"/>
      <c r="N43" s="125"/>
      <c r="O43" s="131"/>
      <c r="S43" s="129"/>
      <c r="Z43" s="129"/>
    </row>
    <row r="44" spans="2:26" ht="11.1" customHeight="1">
      <c r="B44" s="19"/>
      <c r="C44" s="336" t="s">
        <v>100</v>
      </c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S44" s="129"/>
      <c r="Y44" s="129"/>
      <c r="Z44" s="129"/>
    </row>
    <row r="45" spans="2:26" ht="11.1" customHeight="1" thickBot="1">
      <c r="B45" s="19"/>
      <c r="C45" s="337"/>
      <c r="D45" s="337"/>
      <c r="E45" s="337"/>
      <c r="F45" s="337"/>
      <c r="G45" s="337"/>
      <c r="H45" s="337"/>
      <c r="I45" s="337"/>
      <c r="J45" s="337"/>
      <c r="K45" s="337"/>
      <c r="L45" s="337"/>
      <c r="M45" s="337"/>
      <c r="N45" s="337"/>
      <c r="O45" s="337"/>
      <c r="S45" s="129"/>
    </row>
    <row r="46" spans="2:26" ht="6" customHeight="1">
      <c r="B46" s="19"/>
      <c r="C46" s="117"/>
      <c r="D46" s="118"/>
      <c r="E46" s="118"/>
      <c r="F46" s="118"/>
      <c r="G46" s="118"/>
      <c r="H46" s="118"/>
      <c r="I46" s="118"/>
      <c r="J46" s="117"/>
      <c r="K46" s="117"/>
      <c r="L46" s="117"/>
      <c r="M46" s="117"/>
      <c r="N46" s="117"/>
      <c r="O46" s="117"/>
    </row>
    <row r="47" spans="2:26" ht="12" customHeight="1">
      <c r="B47" s="19"/>
      <c r="C47" s="120" t="s">
        <v>83</v>
      </c>
      <c r="D47" s="120" t="s">
        <v>84</v>
      </c>
      <c r="E47" s="120" t="s">
        <v>85</v>
      </c>
      <c r="F47" s="120" t="s">
        <v>86</v>
      </c>
      <c r="G47" s="120" t="s">
        <v>57</v>
      </c>
      <c r="H47" s="121" t="s">
        <v>87</v>
      </c>
      <c r="I47" s="20"/>
      <c r="J47" s="120" t="s">
        <v>83</v>
      </c>
      <c r="K47" s="120" t="s">
        <v>84</v>
      </c>
      <c r="L47" s="120" t="s">
        <v>85</v>
      </c>
      <c r="M47" s="120" t="s">
        <v>86</v>
      </c>
      <c r="N47" s="120" t="s">
        <v>57</v>
      </c>
      <c r="O47" s="121" t="s">
        <v>87</v>
      </c>
      <c r="S47" s="129"/>
    </row>
    <row r="48" spans="2:26" ht="6" customHeight="1">
      <c r="B48" s="19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</row>
    <row r="49" spans="2:26" ht="13.5" customHeight="1">
      <c r="B49" s="132">
        <f t="shared" ref="B49:B51" si="6">B50-1</f>
        <v>2019</v>
      </c>
      <c r="C49" s="133">
        <f>IF(U59=0,LOOKUP($B49,$T$74:$T$78,$U$74:$U$78),U66)</f>
        <v>6.1464326761179962</v>
      </c>
      <c r="D49" s="133">
        <f>IF(V59=0,LOOKUP($B49,$T$74:$T$78,$V$74:$V$78),V66)</f>
        <v>-10.0448907017271</v>
      </c>
      <c r="E49" s="133">
        <f>IF(W59=0,LOOKUP($B49,$T$74:$T$78,$W$74:$W$78),W66)</f>
        <v>2.2649987399367069</v>
      </c>
      <c r="F49" s="133">
        <f>IF(X59=0,LOOKUP($B49,$T$74:$T$78,$X$74:$X$78),X66)</f>
        <v>3.983298582690372</v>
      </c>
      <c r="G49" s="133">
        <f>IF(Y59=0,LOOKUP($B49,$T$74:$T$78,$Y$74:$Y$78),Y66)</f>
        <v>-10.995640988821362</v>
      </c>
      <c r="H49" s="134">
        <f>IF(Z59=0,LOOKUP($B49,$T$74:$T$78,$Z$74:$Z$78),Z66)</f>
        <v>1.8515216961595402</v>
      </c>
      <c r="I49" s="135"/>
      <c r="J49" s="133">
        <f>C49</f>
        <v>6.1464326761179962</v>
      </c>
      <c r="K49" s="133">
        <f t="shared" ref="K49:O53" si="7">D49</f>
        <v>-10.0448907017271</v>
      </c>
      <c r="L49" s="133">
        <f t="shared" si="7"/>
        <v>2.2649987399367069</v>
      </c>
      <c r="M49" s="133">
        <f t="shared" si="7"/>
        <v>3.983298582690372</v>
      </c>
      <c r="N49" s="133">
        <f t="shared" si="7"/>
        <v>-10.995640988821362</v>
      </c>
      <c r="O49" s="134">
        <f t="shared" si="7"/>
        <v>1.8515216961595402</v>
      </c>
    </row>
    <row r="50" spans="2:26" ht="13.5" customHeight="1">
      <c r="B50" s="132">
        <f t="shared" si="6"/>
        <v>2020</v>
      </c>
      <c r="C50" s="133">
        <f t="shared" ref="C50:C52" si="8">IF(U60=0,LOOKUP($B50,$T$74:$T$78,$U$74:$U$78),U67)</f>
        <v>-7.7700399742478443E-2</v>
      </c>
      <c r="D50" s="133">
        <f>IF(V60=0,LOOKUP($B50,$T$74:$T$78,$V$74:$V$78),V67)</f>
        <v>-23.051806079847008</v>
      </c>
      <c r="E50" s="133">
        <f t="shared" ref="E50:E52" si="9">IF(W60=0,LOOKUP($B50,$T$74:$T$78,$W$74:$W$78),W67)</f>
        <v>-11.302963273618779</v>
      </c>
      <c r="F50" s="133">
        <f t="shared" ref="F50:F53" si="10">IF(X60=0,LOOKUP($B50,$T$74:$T$78,$X$74:$X$78),X67)</f>
        <v>-11.678692737415348</v>
      </c>
      <c r="G50" s="133">
        <f t="shared" ref="G50:G53" si="11">IF(Y60=0,LOOKUP($B50,$T$74:$T$78,$Y$74:$Y$78),Y67)</f>
        <v>-10.87758187918859</v>
      </c>
      <c r="H50" s="134">
        <f t="shared" ref="H50:H53" si="12">IF(Z60=0,LOOKUP($B50,$T$74:$T$78,$Z$74:$Z$78),Z67)</f>
        <v>-7.9268231795135158</v>
      </c>
      <c r="I50" s="135"/>
      <c r="J50" s="133">
        <f t="shared" ref="J50:J53" si="13">C50</f>
        <v>-7.7700399742478443E-2</v>
      </c>
      <c r="K50" s="133">
        <f t="shared" si="7"/>
        <v>-23.051806079847008</v>
      </c>
      <c r="L50" s="133">
        <f t="shared" si="7"/>
        <v>-11.302963273618779</v>
      </c>
      <c r="M50" s="133">
        <f t="shared" si="7"/>
        <v>-11.678692737415348</v>
      </c>
      <c r="N50" s="133">
        <f t="shared" si="7"/>
        <v>-10.87758187918859</v>
      </c>
      <c r="O50" s="134">
        <f t="shared" si="7"/>
        <v>-7.9268231795135158</v>
      </c>
    </row>
    <row r="51" spans="2:26" ht="13.5" customHeight="1">
      <c r="B51" s="132">
        <f t="shared" si="6"/>
        <v>2021</v>
      </c>
      <c r="C51" s="133">
        <f t="shared" si="8"/>
        <v>7.391312497791465</v>
      </c>
      <c r="D51" s="133">
        <f t="shared" ref="D51:D53" si="14">IF(V61=0,LOOKUP($B51,$T$74:$T$78,$V$74:$V$78),V68)</f>
        <v>60.737863734065598</v>
      </c>
      <c r="E51" s="133">
        <f t="shared" si="9"/>
        <v>12.813671673953412</v>
      </c>
      <c r="F51" s="133">
        <f t="shared" si="10"/>
        <v>4.6666217847715039</v>
      </c>
      <c r="G51" s="133">
        <f t="shared" si="11"/>
        <v>21.138911447522126</v>
      </c>
      <c r="H51" s="134">
        <f t="shared" si="12"/>
        <v>14.166564480495817</v>
      </c>
      <c r="I51" s="135"/>
      <c r="J51" s="133">
        <f t="shared" si="13"/>
        <v>7.391312497791465</v>
      </c>
      <c r="K51" s="133">
        <f t="shared" si="7"/>
        <v>60.737863734065598</v>
      </c>
      <c r="L51" s="133">
        <f t="shared" si="7"/>
        <v>12.813671673953412</v>
      </c>
      <c r="M51" s="133">
        <f t="shared" si="7"/>
        <v>4.6666217847715039</v>
      </c>
      <c r="N51" s="133">
        <f t="shared" si="7"/>
        <v>21.138911447522126</v>
      </c>
      <c r="O51" s="134">
        <f t="shared" si="7"/>
        <v>14.166564480495817</v>
      </c>
    </row>
    <row r="52" spans="2:26" ht="13.5" customHeight="1">
      <c r="B52" s="132">
        <f>B53-1</f>
        <v>2022</v>
      </c>
      <c r="C52" s="133">
        <f t="shared" si="8"/>
        <v>16.114664963991661</v>
      </c>
      <c r="D52" s="133">
        <f t="shared" si="14"/>
        <v>14.986650165567394</v>
      </c>
      <c r="E52" s="133">
        <f t="shared" si="9"/>
        <v>17.774640326149303</v>
      </c>
      <c r="F52" s="133">
        <f t="shared" si="10"/>
        <v>2.4593396974915365</v>
      </c>
      <c r="G52" s="133">
        <f t="shared" si="11"/>
        <v>10.700809835100063</v>
      </c>
      <c r="H52" s="134">
        <f t="shared" si="12"/>
        <v>15.03614407714916</v>
      </c>
      <c r="I52" s="135"/>
      <c r="J52" s="133">
        <f t="shared" si="13"/>
        <v>16.114664963991661</v>
      </c>
      <c r="K52" s="133">
        <f t="shared" si="7"/>
        <v>14.986650165567394</v>
      </c>
      <c r="L52" s="133">
        <f t="shared" si="7"/>
        <v>17.774640326149303</v>
      </c>
      <c r="M52" s="133">
        <f t="shared" si="7"/>
        <v>2.4593396974915365</v>
      </c>
      <c r="N52" s="133">
        <f t="shared" si="7"/>
        <v>10.700809835100063</v>
      </c>
      <c r="O52" s="134">
        <f t="shared" si="7"/>
        <v>15.03614407714916</v>
      </c>
    </row>
    <row r="53" spans="2:26" ht="13.5" customHeight="1">
      <c r="B53" s="246">
        <f>Año_anterior_seleccionado_C.3.2</f>
        <v>2023</v>
      </c>
      <c r="C53" s="133">
        <f>IF(U63=0,LOOKUP($B53,$T$74:$T$78,$U$74:$U$78),U70)</f>
        <v>9.6900384046990169</v>
      </c>
      <c r="D53" s="133">
        <f t="shared" si="14"/>
        <v>12.847911529886883</v>
      </c>
      <c r="E53" s="133">
        <f>IF(W63=0,LOOKUP($B53,$T$74:$T$78,$W$74:$W$78),W70)</f>
        <v>0.43371114283947376</v>
      </c>
      <c r="F53" s="133">
        <f t="shared" si="10"/>
        <v>2.5722869116937628</v>
      </c>
      <c r="G53" s="133">
        <f t="shared" si="11"/>
        <v>9.0613345687422147</v>
      </c>
      <c r="H53" s="134">
        <f t="shared" si="12"/>
        <v>6.4593596066026784</v>
      </c>
      <c r="I53" s="135"/>
      <c r="J53" s="133">
        <f t="shared" si="13"/>
        <v>9.6900384046990169</v>
      </c>
      <c r="K53" s="133">
        <f t="shared" si="7"/>
        <v>12.847911529886883</v>
      </c>
      <c r="L53" s="133">
        <f t="shared" si="7"/>
        <v>0.43371114283947376</v>
      </c>
      <c r="M53" s="133">
        <f t="shared" si="7"/>
        <v>2.5722869116937628</v>
      </c>
      <c r="N53" s="133">
        <f t="shared" si="7"/>
        <v>9.0613345687422147</v>
      </c>
      <c r="O53" s="134">
        <f t="shared" si="7"/>
        <v>6.4593596066026784</v>
      </c>
    </row>
    <row r="54" spans="2:26" ht="13.8">
      <c r="B54" s="19"/>
      <c r="C54" s="133"/>
      <c r="D54" s="133"/>
      <c r="E54" s="133"/>
      <c r="F54" s="133"/>
      <c r="G54" s="133"/>
      <c r="H54" s="136"/>
      <c r="I54" s="135"/>
      <c r="J54" s="133"/>
      <c r="K54" s="133"/>
      <c r="L54" s="133"/>
      <c r="M54" s="133"/>
      <c r="N54" s="133"/>
      <c r="O54" s="136"/>
    </row>
    <row r="55" spans="2:26" ht="14.4" customHeight="1" thickBot="1">
      <c r="B55" s="116"/>
      <c r="C55" s="335" t="s">
        <v>116</v>
      </c>
      <c r="D55" s="335"/>
      <c r="E55" s="335"/>
      <c r="F55" s="335"/>
      <c r="G55" s="335"/>
      <c r="H55" s="335"/>
      <c r="I55" s="17"/>
      <c r="J55" s="335" t="s">
        <v>73</v>
      </c>
      <c r="K55" s="334"/>
      <c r="L55" s="334"/>
      <c r="M55" s="334"/>
      <c r="N55" s="334"/>
      <c r="O55" s="334"/>
    </row>
    <row r="56" spans="2:26" ht="6" customHeight="1">
      <c r="B56" s="116"/>
      <c r="C56" s="117"/>
      <c r="D56" s="118"/>
      <c r="E56" s="118"/>
      <c r="F56" s="118"/>
      <c r="G56" s="118"/>
      <c r="H56" s="118"/>
      <c r="I56" s="118"/>
      <c r="J56" s="117"/>
      <c r="K56" s="117"/>
      <c r="L56" s="117"/>
      <c r="M56" s="117"/>
      <c r="N56" s="117"/>
      <c r="O56" s="117"/>
    </row>
    <row r="57" spans="2:26" ht="13.5" customHeight="1" thickBot="1">
      <c r="B57" s="124">
        <f>Año_anterior_seleccionado_C.3.2</f>
        <v>2023</v>
      </c>
      <c r="C57" s="137"/>
      <c r="D57" s="137"/>
      <c r="E57" s="137"/>
      <c r="F57" s="137"/>
      <c r="G57" s="137"/>
      <c r="H57" s="138"/>
      <c r="I57" s="139"/>
      <c r="J57" s="137"/>
      <c r="K57" s="137"/>
      <c r="L57" s="137"/>
      <c r="M57" s="137"/>
      <c r="N57" s="137"/>
      <c r="O57" s="138"/>
      <c r="U57" s="120" t="s">
        <v>101</v>
      </c>
      <c r="V57" s="120" t="s">
        <v>102</v>
      </c>
      <c r="W57" s="120" t="s">
        <v>103</v>
      </c>
      <c r="X57" s="120" t="s">
        <v>104</v>
      </c>
      <c r="Y57" s="120" t="s">
        <v>8</v>
      </c>
      <c r="Z57" s="140" t="s">
        <v>87</v>
      </c>
    </row>
    <row r="58" spans="2:26" ht="6" customHeight="1">
      <c r="B58" s="141"/>
      <c r="C58" s="137"/>
      <c r="D58" s="137"/>
      <c r="E58" s="137"/>
      <c r="F58" s="137"/>
      <c r="G58" s="137"/>
      <c r="H58" s="138"/>
      <c r="I58" s="139"/>
      <c r="J58" s="137"/>
      <c r="K58" s="137"/>
      <c r="L58" s="137"/>
      <c r="M58" s="137"/>
      <c r="N58" s="137"/>
      <c r="O58" s="138"/>
    </row>
    <row r="59" spans="2:26" ht="12" customHeight="1">
      <c r="B59" s="128" t="s">
        <v>88</v>
      </c>
      <c r="C59" s="142">
        <f>IF($B$57=2019,AM93,W131)</f>
        <v>10.727496346416549</v>
      </c>
      <c r="D59" s="142">
        <f t="shared" ref="D59:H59" si="15">IF($B$57=2019,AN93,X131)</f>
        <v>-52.192247860329225</v>
      </c>
      <c r="E59" s="142">
        <f t="shared" si="15"/>
        <v>0.10981546017373522</v>
      </c>
      <c r="F59" s="142">
        <f t="shared" si="15"/>
        <v>-2.1032095963127353</v>
      </c>
      <c r="G59" s="142">
        <f t="shared" si="15"/>
        <v>9.8530433174934462</v>
      </c>
      <c r="H59" s="143">
        <f t="shared" si="15"/>
        <v>5.1452094108165509</v>
      </c>
      <c r="I59" s="144"/>
      <c r="J59" s="142">
        <f t="shared" ref="J59:O70" si="16">IF($B$57=2019,AT93,AD131)</f>
        <v>10.727496346416549</v>
      </c>
      <c r="K59" s="142">
        <f t="shared" si="16"/>
        <v>-52.192247860329225</v>
      </c>
      <c r="L59" s="142">
        <f t="shared" si="16"/>
        <v>0.10981546017373522</v>
      </c>
      <c r="M59" s="142">
        <f t="shared" si="16"/>
        <v>-2.1032095963127353</v>
      </c>
      <c r="N59" s="142">
        <f t="shared" si="16"/>
        <v>9.8530433174934462</v>
      </c>
      <c r="O59" s="143">
        <f t="shared" si="16"/>
        <v>5.1452094108165509</v>
      </c>
      <c r="T59" s="145">
        <f>T60-1</f>
        <v>2018</v>
      </c>
      <c r="U59" s="125">
        <f t="shared" ref="U59:U64" si="17">SUMIFS(Homogeneos_IRPF,Años_homogeneos,$T59)/1000</f>
        <v>0</v>
      </c>
      <c r="V59" s="125">
        <f t="shared" ref="V59:V64" si="18">SUMIFS(Homogeneos_IS,Años_homogeneos,$T59)/1000</f>
        <v>0</v>
      </c>
      <c r="W59" s="125">
        <f t="shared" ref="W59:W64" si="19">SUMIFS(Homogeneos_IVA,Años_homogeneos,$T59)/1000</f>
        <v>0</v>
      </c>
      <c r="X59" s="125">
        <f t="shared" ref="X59:X64" si="20">SUMIFS(Homogeneos_IIEE,Años_homogeneos,$T59)/1000</f>
        <v>0</v>
      </c>
      <c r="Y59" s="125">
        <f t="shared" ref="Y59:Y64" si="21">Z59-SUM(U59:X59)</f>
        <v>0</v>
      </c>
      <c r="Z59" s="146">
        <f t="shared" ref="Z59:Z64" si="22">SUMIFS(Homogeneos_ingresos_totales,Años_homogeneos,$T59)/1000</f>
        <v>0</v>
      </c>
    </row>
    <row r="60" spans="2:26" ht="12" customHeight="1">
      <c r="B60" s="128" t="s">
        <v>89</v>
      </c>
      <c r="C60" s="142">
        <f t="shared" ref="C60:H70" si="23">IF($B$57=2019,AM94,W132)</f>
        <v>10.141690343819834</v>
      </c>
      <c r="D60" s="142" t="str">
        <f t="shared" si="23"/>
        <v>-</v>
      </c>
      <c r="E60" s="142">
        <f t="shared" si="23"/>
        <v>2.5523887897806818</v>
      </c>
      <c r="F60" s="142">
        <f t="shared" si="23"/>
        <v>-5.1250556481319318</v>
      </c>
      <c r="G60" s="142">
        <f t="shared" si="23"/>
        <v>9.2133056886023503</v>
      </c>
      <c r="H60" s="143">
        <f t="shared" si="23"/>
        <v>3.4751404567861672</v>
      </c>
      <c r="I60" s="144"/>
      <c r="J60" s="142">
        <f t="shared" si="16"/>
        <v>10.539987125048048</v>
      </c>
      <c r="K60" s="142">
        <f t="shared" si="16"/>
        <v>-97.240362996272395</v>
      </c>
      <c r="L60" s="142">
        <f t="shared" si="16"/>
        <v>1.6616353105021291</v>
      </c>
      <c r="M60" s="142">
        <f t="shared" si="16"/>
        <v>-3.5298668250477538</v>
      </c>
      <c r="N60" s="142">
        <f t="shared" si="16"/>
        <v>9.5550558582567593</v>
      </c>
      <c r="O60" s="143">
        <f t="shared" si="16"/>
        <v>4.3537060624350525</v>
      </c>
      <c r="T60" s="145">
        <f>B49</f>
        <v>2019</v>
      </c>
      <c r="U60" s="125">
        <f t="shared" si="17"/>
        <v>88305.851999999999</v>
      </c>
      <c r="V60" s="125">
        <f t="shared" si="18"/>
        <v>22619.681</v>
      </c>
      <c r="W60" s="125">
        <f t="shared" si="19"/>
        <v>71659.633000000002</v>
      </c>
      <c r="X60" s="125">
        <f t="shared" si="20"/>
        <v>21880.102999999999</v>
      </c>
      <c r="Y60" s="125">
        <f t="shared" si="21"/>
        <v>9142.372000000003</v>
      </c>
      <c r="Z60" s="146">
        <f t="shared" si="22"/>
        <v>213607.641</v>
      </c>
    </row>
    <row r="61" spans="2:26" ht="12" customHeight="1">
      <c r="B61" s="128" t="s">
        <v>90</v>
      </c>
      <c r="C61" s="142">
        <f t="shared" si="23"/>
        <v>11.515760139251412</v>
      </c>
      <c r="D61" s="142" t="str">
        <f t="shared" si="23"/>
        <v>-</v>
      </c>
      <c r="E61" s="142">
        <f t="shared" si="23"/>
        <v>1.2877042112595583</v>
      </c>
      <c r="F61" s="142">
        <f t="shared" si="23"/>
        <v>-1.6602940078717789</v>
      </c>
      <c r="G61" s="142">
        <f t="shared" si="23"/>
        <v>1.5049700322460295</v>
      </c>
      <c r="H61" s="143">
        <f t="shared" si="23"/>
        <v>4.0771764875391048</v>
      </c>
      <c r="I61" s="144"/>
      <c r="J61" s="142">
        <f t="shared" si="16"/>
        <v>10.75618529809957</v>
      </c>
      <c r="K61" s="142" t="str">
        <f t="shared" si="16"/>
        <v>-</v>
      </c>
      <c r="L61" s="142">
        <f t="shared" si="16"/>
        <v>1.6193606448108175</v>
      </c>
      <c r="M61" s="142">
        <f t="shared" si="16"/>
        <v>-2.9251216891732521</v>
      </c>
      <c r="N61" s="142">
        <f t="shared" si="16"/>
        <v>7.3851075719364836</v>
      </c>
      <c r="O61" s="143">
        <f t="shared" si="16"/>
        <v>4.3025526542935584</v>
      </c>
      <c r="T61" s="145">
        <f>B50</f>
        <v>2020</v>
      </c>
      <c r="U61" s="125">
        <f t="shared" si="17"/>
        <v>88237.237999999998</v>
      </c>
      <c r="V61" s="125">
        <f t="shared" si="18"/>
        <v>17405.436000000002</v>
      </c>
      <c r="W61" s="125">
        <f t="shared" si="19"/>
        <v>63559.970999999998</v>
      </c>
      <c r="X61" s="125">
        <f t="shared" si="20"/>
        <v>19324.793000000001</v>
      </c>
      <c r="Y61" s="125">
        <f t="shared" si="21"/>
        <v>8147.9029999999912</v>
      </c>
      <c r="Z61" s="146">
        <f t="shared" si="22"/>
        <v>196675.34099999999</v>
      </c>
    </row>
    <row r="62" spans="2:26" ht="12" customHeight="1">
      <c r="B62" s="128" t="s">
        <v>91</v>
      </c>
      <c r="C62" s="142">
        <f t="shared" si="23"/>
        <v>9.5678735589612458</v>
      </c>
      <c r="D62" s="142">
        <f t="shared" si="23"/>
        <v>22.020401622291185</v>
      </c>
      <c r="E62" s="142">
        <f t="shared" si="23"/>
        <v>6.9459296266872359</v>
      </c>
      <c r="F62" s="142">
        <f t="shared" si="23"/>
        <v>1.1201008383209023</v>
      </c>
      <c r="G62" s="142">
        <f t="shared" si="23"/>
        <v>-6.9722730274597282</v>
      </c>
      <c r="H62" s="143">
        <f t="shared" si="23"/>
        <v>10.64003523263764</v>
      </c>
      <c r="I62" s="144"/>
      <c r="J62" s="142">
        <f t="shared" si="16"/>
        <v>10.383358358880646</v>
      </c>
      <c r="K62" s="142">
        <f t="shared" si="16"/>
        <v>10.692455932790496</v>
      </c>
      <c r="L62" s="142">
        <f t="shared" si="16"/>
        <v>3.0938456289054908</v>
      </c>
      <c r="M62" s="142">
        <f t="shared" si="16"/>
        <v>-1.7218433777580051</v>
      </c>
      <c r="N62" s="142">
        <f t="shared" si="16"/>
        <v>3.4385136260464186</v>
      </c>
      <c r="O62" s="143">
        <f t="shared" si="16"/>
        <v>6.5281692363492585</v>
      </c>
      <c r="T62" s="145">
        <f>B51</f>
        <v>2021</v>
      </c>
      <c r="U62" s="125">
        <f t="shared" si="17"/>
        <v>94759.127999999997</v>
      </c>
      <c r="V62" s="125">
        <f t="shared" si="18"/>
        <v>27977.126</v>
      </c>
      <c r="W62" s="125">
        <f t="shared" si="19"/>
        <v>71704.337</v>
      </c>
      <c r="X62" s="125">
        <f t="shared" si="20"/>
        <v>20226.608</v>
      </c>
      <c r="Y62" s="125">
        <f t="shared" si="21"/>
        <v>9870.2809999999881</v>
      </c>
      <c r="Z62" s="146">
        <f t="shared" si="22"/>
        <v>224537.48</v>
      </c>
    </row>
    <row r="63" spans="2:26" ht="12" customHeight="1">
      <c r="B63" s="128" t="s">
        <v>92</v>
      </c>
      <c r="C63" s="142">
        <f t="shared" si="23"/>
        <v>6.9075438841125392</v>
      </c>
      <c r="D63" s="142">
        <f t="shared" si="23"/>
        <v>12.314805037394795</v>
      </c>
      <c r="E63" s="142">
        <f t="shared" si="23"/>
        <v>0.61989195940396369</v>
      </c>
      <c r="F63" s="142">
        <f t="shared" si="23"/>
        <v>-0.48673069341891456</v>
      </c>
      <c r="G63" s="142">
        <f t="shared" si="23"/>
        <v>2.3254465852058623</v>
      </c>
      <c r="H63" s="143">
        <f t="shared" si="23"/>
        <v>2.964258195528942</v>
      </c>
      <c r="I63" s="144"/>
      <c r="J63" s="142">
        <f t="shared" si="16"/>
        <v>10.057012403216776</v>
      </c>
      <c r="K63" s="142">
        <f t="shared" si="16"/>
        <v>10.73564134276481</v>
      </c>
      <c r="L63" s="142">
        <f t="shared" si="16"/>
        <v>2.7760174691962769</v>
      </c>
      <c r="M63" s="142">
        <f t="shared" si="16"/>
        <v>-1.4829549873202377</v>
      </c>
      <c r="N63" s="142">
        <f t="shared" si="16"/>
        <v>3.196362489086789</v>
      </c>
      <c r="O63" s="143">
        <f t="shared" si="16"/>
        <v>6.117579790435788</v>
      </c>
      <c r="T63" s="145">
        <f>B52</f>
        <v>2022</v>
      </c>
      <c r="U63" s="125">
        <f t="shared" si="17"/>
        <v>110029.24400000001</v>
      </c>
      <c r="V63" s="125">
        <f t="shared" si="18"/>
        <v>32169.96</v>
      </c>
      <c r="W63" s="125">
        <f t="shared" si="19"/>
        <v>84449.524999999994</v>
      </c>
      <c r="X63" s="125">
        <f t="shared" si="20"/>
        <v>20724.048999999999</v>
      </c>
      <c r="Y63" s="125">
        <f t="shared" si="21"/>
        <v>10926.481</v>
      </c>
      <c r="Z63" s="146">
        <f t="shared" si="22"/>
        <v>258299.25899999999</v>
      </c>
    </row>
    <row r="64" spans="2:26" ht="12" customHeight="1">
      <c r="B64" s="128" t="s">
        <v>93</v>
      </c>
      <c r="C64" s="142">
        <f t="shared" si="23"/>
        <v>9.4471474587921307</v>
      </c>
      <c r="D64" s="142">
        <f t="shared" si="23"/>
        <v>-13.884720628475597</v>
      </c>
      <c r="E64" s="142">
        <f t="shared" si="23"/>
        <v>-12.006247403944959</v>
      </c>
      <c r="F64" s="142">
        <f t="shared" si="23"/>
        <v>7.2450784613981547</v>
      </c>
      <c r="G64" s="142">
        <f t="shared" si="23"/>
        <v>8.6957345293291972</v>
      </c>
      <c r="H64" s="143">
        <f t="shared" si="23"/>
        <v>0.12020698149252299</v>
      </c>
      <c r="I64" s="144"/>
      <c r="J64" s="142">
        <f t="shared" si="16"/>
        <v>10.016074738638507</v>
      </c>
      <c r="K64" s="142">
        <f t="shared" si="16"/>
        <v>9.9438447315580358</v>
      </c>
      <c r="L64" s="142">
        <f t="shared" si="16"/>
        <v>1.4832817499227431</v>
      </c>
      <c r="M64" s="142">
        <f t="shared" si="16"/>
        <v>-5.9358437564551107E-2</v>
      </c>
      <c r="N64" s="142">
        <f t="shared" si="16"/>
        <v>4.1517339064392402</v>
      </c>
      <c r="O64" s="143">
        <f t="shared" si="16"/>
        <v>5.6018969805154999</v>
      </c>
      <c r="T64" s="145">
        <f>B53</f>
        <v>2023</v>
      </c>
      <c r="U64" s="125">
        <f t="shared" si="17"/>
        <v>120691.12</v>
      </c>
      <c r="V64" s="125">
        <f t="shared" si="18"/>
        <v>36303.127999999997</v>
      </c>
      <c r="W64" s="125">
        <f t="shared" si="19"/>
        <v>84815.792000000001</v>
      </c>
      <c r="X64" s="125">
        <f t="shared" si="20"/>
        <v>21257.131000000001</v>
      </c>
      <c r="Y64" s="125">
        <f t="shared" si="21"/>
        <v>11916.56600000005</v>
      </c>
      <c r="Z64" s="146">
        <f t="shared" si="22"/>
        <v>274983.73700000002</v>
      </c>
    </row>
    <row r="65" spans="2:26" ht="12" customHeight="1">
      <c r="B65" s="128" t="s">
        <v>94</v>
      </c>
      <c r="C65" s="142">
        <f t="shared" si="23"/>
        <v>8.335467005213081</v>
      </c>
      <c r="D65" s="142">
        <f t="shared" si="23"/>
        <v>1.2123117696400958</v>
      </c>
      <c r="E65" s="142">
        <f t="shared" si="23"/>
        <v>1.7369341398020475</v>
      </c>
      <c r="F65" s="142">
        <f t="shared" si="23"/>
        <v>2.8842080689434884</v>
      </c>
      <c r="G65" s="142">
        <f t="shared" si="23"/>
        <v>6.0419105495113108</v>
      </c>
      <c r="H65" s="143">
        <f t="shared" si="23"/>
        <v>5.8895565091198909</v>
      </c>
      <c r="I65" s="144"/>
      <c r="J65" s="142">
        <f t="shared" si="16"/>
        <v>9.454821565250338</v>
      </c>
      <c r="K65" s="142">
        <f t="shared" si="16"/>
        <v>9.0876484719960953</v>
      </c>
      <c r="L65" s="142">
        <f t="shared" si="16"/>
        <v>1.5366917655334649</v>
      </c>
      <c r="M65" s="142">
        <f t="shared" si="16"/>
        <v>0.38668416707455266</v>
      </c>
      <c r="N65" s="142">
        <f t="shared" si="16"/>
        <v>4.426247491203938</v>
      </c>
      <c r="O65" s="143">
        <f t="shared" si="16"/>
        <v>5.6746440550994262</v>
      </c>
      <c r="T65" s="147"/>
    </row>
    <row r="66" spans="2:26" ht="12" customHeight="1">
      <c r="B66" s="128" t="s">
        <v>95</v>
      </c>
      <c r="C66" s="142">
        <f t="shared" si="23"/>
        <v>10.197407446450606</v>
      </c>
      <c r="D66" s="142">
        <f t="shared" si="23"/>
        <v>12.218273219165331</v>
      </c>
      <c r="E66" s="142">
        <f t="shared" si="23"/>
        <v>-10.094648735472129</v>
      </c>
      <c r="F66" s="142">
        <f t="shared" si="23"/>
        <v>6.3413339051101305</v>
      </c>
      <c r="G66" s="142" t="str">
        <f t="shared" si="23"/>
        <v>-</v>
      </c>
      <c r="H66" s="143">
        <f t="shared" si="23"/>
        <v>8.3468712263647618</v>
      </c>
      <c r="I66" s="144"/>
      <c r="J66" s="142">
        <f t="shared" si="16"/>
        <v>9.5113995695830926</v>
      </c>
      <c r="K66" s="142">
        <f t="shared" si="16"/>
        <v>10.529429605539166</v>
      </c>
      <c r="L66" s="142">
        <f t="shared" si="16"/>
        <v>0.28036302428586957</v>
      </c>
      <c r="M66" s="142">
        <f t="shared" si="16"/>
        <v>1.1540970837097855</v>
      </c>
      <c r="N66" s="142">
        <f t="shared" si="16"/>
        <v>16.400736827325431</v>
      </c>
      <c r="O66" s="143">
        <f t="shared" si="16"/>
        <v>6.0245217011824082</v>
      </c>
      <c r="T66" s="145">
        <f>T60</f>
        <v>2019</v>
      </c>
      <c r="U66" s="148" t="str">
        <f t="shared" ref="U66:Z70" si="24">IF(U59=0,"-",IF(ABS((U60-U59)/ABS(U59))*100&gt;=100,"-",IF((U60/U59)&lt;0,"-",((U60-U59)/ABS(U59))*100)))</f>
        <v>-</v>
      </c>
      <c r="V66" s="148" t="str">
        <f t="shared" si="24"/>
        <v>-</v>
      </c>
      <c r="W66" s="148" t="str">
        <f t="shared" si="24"/>
        <v>-</v>
      </c>
      <c r="X66" s="148" t="str">
        <f t="shared" si="24"/>
        <v>-</v>
      </c>
      <c r="Y66" s="148" t="str">
        <f t="shared" si="24"/>
        <v>-</v>
      </c>
      <c r="Z66" s="149" t="str">
        <f t="shared" si="24"/>
        <v>-</v>
      </c>
    </row>
    <row r="67" spans="2:26" ht="12" customHeight="1">
      <c r="B67" s="128" t="s">
        <v>96</v>
      </c>
      <c r="C67" s="142">
        <f t="shared" si="23"/>
        <v>10.641487741975579</v>
      </c>
      <c r="D67" s="142">
        <f t="shared" si="23"/>
        <v>2.6642134314627421</v>
      </c>
      <c r="E67" s="142">
        <f t="shared" si="23"/>
        <v>-0.52783011239982547</v>
      </c>
      <c r="F67" s="142">
        <f t="shared" si="23"/>
        <v>1.2991510702831006</v>
      </c>
      <c r="G67" s="142">
        <f t="shared" si="23"/>
        <v>-15.186923364087255</v>
      </c>
      <c r="H67" s="143">
        <f t="shared" si="23"/>
        <v>3.4171955060248234</v>
      </c>
      <c r="I67" s="144"/>
      <c r="J67" s="142">
        <f t="shared" si="16"/>
        <v>9.5835974777520736</v>
      </c>
      <c r="K67" s="142">
        <f t="shared" si="16"/>
        <v>10.570827502436266</v>
      </c>
      <c r="L67" s="142">
        <f t="shared" si="16"/>
        <v>0.2291062863864845</v>
      </c>
      <c r="M67" s="142">
        <f t="shared" si="16"/>
        <v>1.1711069649128518</v>
      </c>
      <c r="N67" s="142">
        <f t="shared" si="16"/>
        <v>12.742424120766849</v>
      </c>
      <c r="O67" s="143">
        <f t="shared" si="16"/>
        <v>5.8570357484655426</v>
      </c>
      <c r="T67" s="145">
        <f>T61</f>
        <v>2020</v>
      </c>
      <c r="U67" s="148">
        <f t="shared" si="24"/>
        <v>-7.7700399742478443E-2</v>
      </c>
      <c r="V67" s="148">
        <f t="shared" si="24"/>
        <v>-23.051806079847008</v>
      </c>
      <c r="W67" s="148">
        <f t="shared" si="24"/>
        <v>-11.302963273618779</v>
      </c>
      <c r="X67" s="148">
        <f t="shared" si="24"/>
        <v>-11.678692737415348</v>
      </c>
      <c r="Y67" s="148">
        <f t="shared" si="24"/>
        <v>-10.87758187918859</v>
      </c>
      <c r="Z67" s="149">
        <f t="shared" si="24"/>
        <v>-7.9268231795135158</v>
      </c>
    </row>
    <row r="68" spans="2:26" ht="12" customHeight="1">
      <c r="B68" s="128" t="s">
        <v>97</v>
      </c>
      <c r="C68" s="142">
        <f t="shared" si="23"/>
        <v>8.9570445202446631</v>
      </c>
      <c r="D68" s="142">
        <f t="shared" si="23"/>
        <v>8.6670529746375191</v>
      </c>
      <c r="E68" s="142">
        <f t="shared" si="23"/>
        <v>-0.14503128314607053</v>
      </c>
      <c r="F68" s="142">
        <f t="shared" si="23"/>
        <v>5.8075396502688941</v>
      </c>
      <c r="G68" s="142">
        <f t="shared" si="23"/>
        <v>-6.2211112563511755</v>
      </c>
      <c r="H68" s="143">
        <f t="shared" si="23"/>
        <v>5.818254285375664</v>
      </c>
      <c r="I68" s="144"/>
      <c r="J68" s="142">
        <f t="shared" si="16"/>
        <v>9.5015201954468633</v>
      </c>
      <c r="K68" s="142">
        <f t="shared" si="16"/>
        <v>9.6603127893539273</v>
      </c>
      <c r="L68" s="142">
        <f t="shared" si="16"/>
        <v>0.17022036880699204</v>
      </c>
      <c r="M68" s="142">
        <f t="shared" si="16"/>
        <v>1.6450325348968435</v>
      </c>
      <c r="N68" s="142">
        <f t="shared" si="16"/>
        <v>10.782085834693676</v>
      </c>
      <c r="O68" s="143">
        <f t="shared" si="16"/>
        <v>5.8497891954869985</v>
      </c>
      <c r="T68" s="145">
        <f>T62</f>
        <v>2021</v>
      </c>
      <c r="U68" s="148">
        <f t="shared" si="24"/>
        <v>7.391312497791465</v>
      </c>
      <c r="V68" s="148">
        <f t="shared" si="24"/>
        <v>60.737863734065598</v>
      </c>
      <c r="W68" s="148">
        <f t="shared" si="24"/>
        <v>12.813671673953412</v>
      </c>
      <c r="X68" s="148">
        <f t="shared" si="24"/>
        <v>4.6666217847715039</v>
      </c>
      <c r="Y68" s="148">
        <f t="shared" si="24"/>
        <v>21.138911447522126</v>
      </c>
      <c r="Z68" s="149">
        <f t="shared" si="24"/>
        <v>14.166564480495817</v>
      </c>
    </row>
    <row r="69" spans="2:26" ht="12" customHeight="1">
      <c r="B69" s="128" t="s">
        <v>98</v>
      </c>
      <c r="C69" s="142">
        <f t="shared" si="23"/>
        <v>11.403706910864528</v>
      </c>
      <c r="D69" s="142">
        <f t="shared" si="23"/>
        <v>9.3017777330423552</v>
      </c>
      <c r="E69" s="142">
        <f t="shared" si="23"/>
        <v>-8.4926860339568453</v>
      </c>
      <c r="F69" s="142">
        <f t="shared" si="23"/>
        <v>11.62328243203841</v>
      </c>
      <c r="G69" s="142">
        <f t="shared" si="23"/>
        <v>-12.518238391480462</v>
      </c>
      <c r="H69" s="143">
        <f t="shared" si="23"/>
        <v>4.8777602679675871</v>
      </c>
      <c r="I69" s="144"/>
      <c r="J69" s="142">
        <f t="shared" si="16"/>
        <v>9.6876252146881505</v>
      </c>
      <c r="K69" s="142">
        <f t="shared" si="16"/>
        <v>10.209136464562537</v>
      </c>
      <c r="L69" s="142">
        <f t="shared" si="16"/>
        <v>-0.39977348321330214</v>
      </c>
      <c r="M69" s="142">
        <f t="shared" si="16"/>
        <v>2.5022525513281622</v>
      </c>
      <c r="N69" s="142">
        <f t="shared" si="16"/>
        <v>8.4358848803685138</v>
      </c>
      <c r="O69" s="143">
        <f t="shared" si="16"/>
        <v>5.7820017275389946</v>
      </c>
      <c r="T69" s="145">
        <f>T63</f>
        <v>2022</v>
      </c>
      <c r="U69" s="148">
        <f t="shared" si="24"/>
        <v>16.114664963991661</v>
      </c>
      <c r="V69" s="148">
        <f t="shared" si="24"/>
        <v>14.986650165567394</v>
      </c>
      <c r="W69" s="148">
        <f t="shared" si="24"/>
        <v>17.774640326149303</v>
      </c>
      <c r="X69" s="148">
        <f t="shared" si="24"/>
        <v>2.4593396974915365</v>
      </c>
      <c r="Y69" s="148">
        <f t="shared" si="24"/>
        <v>10.700809835100063</v>
      </c>
      <c r="Z69" s="149">
        <f t="shared" si="24"/>
        <v>15.03614407714916</v>
      </c>
    </row>
    <row r="70" spans="2:26" ht="12" customHeight="1">
      <c r="B70" s="128" t="s">
        <v>99</v>
      </c>
      <c r="C70" s="142">
        <f t="shared" si="23"/>
        <v>9.7243968758110171</v>
      </c>
      <c r="D70" s="142" t="str">
        <f t="shared" si="23"/>
        <v>-</v>
      </c>
      <c r="E70" s="142">
        <f t="shared" si="23"/>
        <v>31.562542712988229</v>
      </c>
      <c r="F70" s="142">
        <f t="shared" si="23"/>
        <v>3.3865795619539645</v>
      </c>
      <c r="G70" s="142">
        <f t="shared" si="23"/>
        <v>16.140666556178878</v>
      </c>
      <c r="H70" s="143">
        <f t="shared" si="23"/>
        <v>20.540369328150721</v>
      </c>
      <c r="I70" s="144"/>
      <c r="J70" s="142">
        <f t="shared" si="16"/>
        <v>9.6900384046990311</v>
      </c>
      <c r="K70" s="142">
        <f t="shared" si="16"/>
        <v>12.847911529886883</v>
      </c>
      <c r="L70" s="142">
        <f t="shared" si="16"/>
        <v>0.43371114283947376</v>
      </c>
      <c r="M70" s="142">
        <f t="shared" si="16"/>
        <v>2.5722869116937805</v>
      </c>
      <c r="N70" s="142">
        <f t="shared" si="16"/>
        <v>9.0613345687416729</v>
      </c>
      <c r="O70" s="143">
        <f t="shared" si="16"/>
        <v>6.4593596066026535</v>
      </c>
      <c r="T70" s="145">
        <f>T64</f>
        <v>2023</v>
      </c>
      <c r="U70" s="148">
        <f t="shared" si="24"/>
        <v>9.6900384046990169</v>
      </c>
      <c r="V70" s="148">
        <f t="shared" si="24"/>
        <v>12.847911529886883</v>
      </c>
      <c r="W70" s="148">
        <f t="shared" si="24"/>
        <v>0.43371114283947376</v>
      </c>
      <c r="X70" s="148">
        <f t="shared" si="24"/>
        <v>2.5722869116937628</v>
      </c>
      <c r="Y70" s="148">
        <f t="shared" si="24"/>
        <v>9.0613345687422147</v>
      </c>
      <c r="Z70" s="149">
        <f t="shared" si="24"/>
        <v>6.4593596066026784</v>
      </c>
    </row>
    <row r="71" spans="2:26" ht="12" customHeight="1">
      <c r="B71" s="150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</row>
    <row r="72" spans="2:26" ht="13.5" customHeight="1" thickBot="1">
      <c r="B72" s="124">
        <f>Año_seleccionado_C.3.2</f>
        <v>2024</v>
      </c>
      <c r="C72" s="142"/>
      <c r="D72" s="142"/>
      <c r="E72" s="142"/>
      <c r="F72" s="142"/>
      <c r="G72" s="142"/>
      <c r="H72" s="152"/>
      <c r="I72" s="144"/>
      <c r="J72" s="142"/>
      <c r="K72" s="142"/>
      <c r="L72" s="142"/>
      <c r="M72" s="142"/>
      <c r="N72" s="142"/>
      <c r="O72" s="152"/>
      <c r="U72"/>
      <c r="V72"/>
      <c r="W72"/>
      <c r="X72"/>
      <c r="Y72"/>
      <c r="Z72"/>
    </row>
    <row r="73" spans="2:26" ht="6" customHeight="1">
      <c r="B73" s="141"/>
      <c r="C73" s="142"/>
      <c r="D73" s="142"/>
      <c r="E73" s="142"/>
      <c r="F73" s="142"/>
      <c r="G73" s="142"/>
      <c r="H73" s="152"/>
      <c r="I73" s="144"/>
      <c r="J73" s="142"/>
      <c r="K73" s="142"/>
      <c r="L73" s="142"/>
      <c r="M73" s="142"/>
      <c r="N73" s="142"/>
      <c r="O73" s="152"/>
    </row>
    <row r="74" spans="2:26" ht="12" customHeight="1">
      <c r="B74" s="150" t="s">
        <v>213</v>
      </c>
      <c r="C74" s="142">
        <f>IF($T117="SI"," ",W143)</f>
        <v>6.6329242927477425</v>
      </c>
      <c r="D74" s="142">
        <f t="shared" ref="D74:H85" si="25">IF($T117="SI"," ",X143)</f>
        <v>31.939169246002503</v>
      </c>
      <c r="E74" s="142">
        <f t="shared" si="25"/>
        <v>4.110890161768662E-2</v>
      </c>
      <c r="F74" s="142">
        <f t="shared" si="25"/>
        <v>-2.3849213329539789</v>
      </c>
      <c r="G74" s="142">
        <f t="shared" si="25"/>
        <v>3.1310155854830768</v>
      </c>
      <c r="H74" s="143">
        <f t="shared" si="25"/>
        <v>4.2124780289843375</v>
      </c>
      <c r="I74" s="144"/>
      <c r="J74" s="142">
        <f t="shared" ref="J74:N85" si="26">IF($T117="SI"," ",AD143)</f>
        <v>6.6329242927477425</v>
      </c>
      <c r="K74" s="142">
        <f t="shared" si="26"/>
        <v>31.939169246002503</v>
      </c>
      <c r="L74" s="142">
        <f t="shared" si="26"/>
        <v>4.110890161768662E-2</v>
      </c>
      <c r="M74" s="142">
        <f t="shared" si="26"/>
        <v>-2.3849213329539789</v>
      </c>
      <c r="N74" s="142">
        <f>IF($T117="SI"," ",AH143)</f>
        <v>3.1310155854830768</v>
      </c>
      <c r="O74" s="143">
        <f t="shared" ref="O74:O85" si="27">IF($T117="SI"," ",AI143)</f>
        <v>4.2124780289843375</v>
      </c>
      <c r="T74" s="313">
        <v>2015</v>
      </c>
      <c r="U74" s="133">
        <v>-0.91399388748647126</v>
      </c>
      <c r="V74" s="133">
        <v>15.658087658524098</v>
      </c>
      <c r="W74" s="133">
        <v>6.5616315259629774</v>
      </c>
      <c r="X74" s="133">
        <v>1.9041413307527739</v>
      </c>
      <c r="Y74" s="133">
        <v>14.893192625385449</v>
      </c>
      <c r="Z74" s="247">
        <v>4.2735047167147737</v>
      </c>
    </row>
    <row r="75" spans="2:26" ht="12" customHeight="1">
      <c r="B75" s="150" t="s">
        <v>89</v>
      </c>
      <c r="C75" s="142">
        <f>IF($T118="SI"," ",W144)</f>
        <v>11.21552497724127</v>
      </c>
      <c r="D75" s="142">
        <f t="shared" si="25"/>
        <v>41.716130375924195</v>
      </c>
      <c r="E75" s="142">
        <f t="shared" si="25"/>
        <v>6.7622658133649107</v>
      </c>
      <c r="F75" s="142">
        <f t="shared" si="25"/>
        <v>23.384651636664771</v>
      </c>
      <c r="G75" s="142">
        <f t="shared" si="25"/>
        <v>4.0513808067080115</v>
      </c>
      <c r="H75" s="143">
        <f t="shared" si="25"/>
        <v>9.576156956464887</v>
      </c>
      <c r="I75" s="144"/>
      <c r="J75" s="142">
        <f t="shared" si="26"/>
        <v>8.0944725392835171</v>
      </c>
      <c r="K75" s="142" t="str">
        <f t="shared" si="26"/>
        <v>-</v>
      </c>
      <c r="L75" s="142">
        <f t="shared" si="26"/>
        <v>4.3486201111757969</v>
      </c>
      <c r="M75" s="142">
        <f t="shared" si="26"/>
        <v>9.5800919159614608</v>
      </c>
      <c r="N75" s="142">
        <f t="shared" si="26"/>
        <v>3.5583810443183941</v>
      </c>
      <c r="O75" s="143">
        <f t="shared" si="27"/>
        <v>6.7331090327433678</v>
      </c>
      <c r="T75" s="313">
        <v>2016</v>
      </c>
      <c r="U75" s="133">
        <v>1.6025780287013628E-2</v>
      </c>
      <c r="V75" s="133">
        <v>3.8506830929162907</v>
      </c>
      <c r="W75" s="133">
        <v>3.2253005018691572</v>
      </c>
      <c r="X75" s="133">
        <v>1.0496292245014052</v>
      </c>
      <c r="Y75" s="133">
        <v>-0.87441183172638748</v>
      </c>
      <c r="Z75" s="247">
        <v>1.5809261122444529</v>
      </c>
    </row>
    <row r="76" spans="2:26" ht="12" customHeight="1">
      <c r="B76" s="150" t="s">
        <v>90</v>
      </c>
      <c r="C76" s="142" t="str">
        <f t="shared" ref="C76:C85" si="28">IF($T119="SI"," ",W145)</f>
        <v xml:space="preserve"> </v>
      </c>
      <c r="D76" s="142" t="str">
        <f t="shared" si="25"/>
        <v xml:space="preserve"> </v>
      </c>
      <c r="E76" s="142" t="str">
        <f t="shared" si="25"/>
        <v xml:space="preserve"> </v>
      </c>
      <c r="F76" s="142" t="str">
        <f t="shared" si="25"/>
        <v xml:space="preserve"> </v>
      </c>
      <c r="G76" s="142" t="str">
        <f t="shared" si="25"/>
        <v xml:space="preserve"> </v>
      </c>
      <c r="H76" s="143" t="str">
        <f t="shared" si="25"/>
        <v xml:space="preserve"> </v>
      </c>
      <c r="I76" s="144"/>
      <c r="J76" s="142" t="str">
        <f t="shared" si="26"/>
        <v xml:space="preserve"> </v>
      </c>
      <c r="K76" s="142" t="str">
        <f t="shared" si="26"/>
        <v xml:space="preserve"> </v>
      </c>
      <c r="L76" s="142" t="str">
        <f t="shared" si="26"/>
        <v xml:space="preserve"> </v>
      </c>
      <c r="M76" s="142" t="str">
        <f t="shared" si="26"/>
        <v xml:space="preserve"> </v>
      </c>
      <c r="N76" s="142" t="str">
        <f t="shared" si="26"/>
        <v xml:space="preserve"> </v>
      </c>
      <c r="O76" s="143" t="str">
        <f t="shared" si="27"/>
        <v xml:space="preserve"> </v>
      </c>
      <c r="T76" s="313">
        <v>2017</v>
      </c>
      <c r="U76" s="133">
        <f>'Homogeneous Revenue (rates)'!J220</f>
        <v>7.0210211043219006</v>
      </c>
      <c r="V76" s="133">
        <f>'Homogeneous Revenue (rates)'!K220</f>
        <v>2.2178708835690655</v>
      </c>
      <c r="W76" s="133">
        <f>'Homogeneous Revenue (rates)'!L220</f>
        <v>8.5637511855893695</v>
      </c>
      <c r="X76" s="133">
        <f>'Homogeneous Revenue (rates)'!M220</f>
        <v>1.4273280193252156</v>
      </c>
      <c r="Y76" s="133">
        <f>'Homogeneous Revenue (rates)'!N220</f>
        <v>4.0091268747614475</v>
      </c>
      <c r="Z76" s="247">
        <f>'Homogeneous Revenue (rates)'!I220</f>
        <v>6.2030138491132867</v>
      </c>
    </row>
    <row r="77" spans="2:26" ht="12" customHeight="1">
      <c r="B77" s="150" t="s">
        <v>214</v>
      </c>
      <c r="C77" s="142" t="str">
        <f t="shared" si="28"/>
        <v xml:space="preserve"> </v>
      </c>
      <c r="D77" s="142" t="str">
        <f t="shared" si="25"/>
        <v xml:space="preserve"> </v>
      </c>
      <c r="E77" s="142" t="str">
        <f t="shared" si="25"/>
        <v xml:space="preserve"> </v>
      </c>
      <c r="F77" s="142" t="str">
        <f t="shared" si="25"/>
        <v xml:space="preserve"> </v>
      </c>
      <c r="G77" s="142" t="str">
        <f t="shared" si="25"/>
        <v xml:space="preserve"> </v>
      </c>
      <c r="H77" s="143" t="str">
        <f t="shared" si="25"/>
        <v xml:space="preserve"> </v>
      </c>
      <c r="I77" s="144"/>
      <c r="J77" s="142" t="str">
        <f t="shared" si="26"/>
        <v xml:space="preserve"> </v>
      </c>
      <c r="K77" s="142" t="str">
        <f t="shared" si="26"/>
        <v xml:space="preserve"> </v>
      </c>
      <c r="L77" s="142" t="str">
        <f t="shared" si="26"/>
        <v xml:space="preserve"> </v>
      </c>
      <c r="M77" s="142" t="str">
        <f t="shared" si="26"/>
        <v xml:space="preserve"> </v>
      </c>
      <c r="N77" s="142" t="str">
        <f t="shared" si="26"/>
        <v xml:space="preserve"> </v>
      </c>
      <c r="O77" s="143" t="str">
        <f t="shared" si="27"/>
        <v xml:space="preserve"> </v>
      </c>
      <c r="T77" s="313">
        <v>2018</v>
      </c>
      <c r="U77" s="133">
        <f>'Homogeneous Revenue (rates)'!J232</f>
        <v>7.5409946286532641</v>
      </c>
      <c r="V77" s="133">
        <f>'Homogeneous Revenue (rates)'!K232</f>
        <v>12.046138182479371</v>
      </c>
      <c r="W77" s="133">
        <f>'Homogeneous Revenue (rates)'!L232</f>
        <v>3.4843525527809733</v>
      </c>
      <c r="X77" s="133">
        <f>'Homogeneous Revenue (rates)'!M232</f>
        <v>1.0474688722031995</v>
      </c>
      <c r="Y77" s="133">
        <f>'Homogeneous Revenue (rates)'!N232</f>
        <v>4.7654400340738263</v>
      </c>
      <c r="Z77" s="247">
        <f>'Homogeneous Revenue (rates)'!I232</f>
        <v>5.8459747271889588</v>
      </c>
    </row>
    <row r="78" spans="2:26" ht="12" customHeight="1">
      <c r="B78" s="150" t="s">
        <v>92</v>
      </c>
      <c r="C78" s="142" t="str">
        <f t="shared" si="28"/>
        <v xml:space="preserve"> </v>
      </c>
      <c r="D78" s="142" t="str">
        <f t="shared" si="25"/>
        <v xml:space="preserve"> </v>
      </c>
      <c r="E78" s="142" t="str">
        <f t="shared" si="25"/>
        <v xml:space="preserve"> </v>
      </c>
      <c r="F78" s="142" t="str">
        <f t="shared" si="25"/>
        <v xml:space="preserve"> </v>
      </c>
      <c r="G78" s="142" t="str">
        <f t="shared" si="25"/>
        <v xml:space="preserve"> </v>
      </c>
      <c r="H78" s="143" t="str">
        <f t="shared" si="25"/>
        <v xml:space="preserve"> </v>
      </c>
      <c r="I78" s="144"/>
      <c r="J78" s="142" t="str">
        <f t="shared" si="26"/>
        <v xml:space="preserve"> </v>
      </c>
      <c r="K78" s="142" t="str">
        <f t="shared" si="26"/>
        <v xml:space="preserve"> </v>
      </c>
      <c r="L78" s="142" t="str">
        <f t="shared" si="26"/>
        <v xml:space="preserve"> </v>
      </c>
      <c r="M78" s="142" t="str">
        <f t="shared" si="26"/>
        <v xml:space="preserve"> </v>
      </c>
      <c r="N78" s="142" t="str">
        <f t="shared" si="26"/>
        <v xml:space="preserve"> </v>
      </c>
      <c r="O78" s="143" t="str">
        <f t="shared" si="27"/>
        <v xml:space="preserve"> </v>
      </c>
      <c r="T78" s="313">
        <v>2019</v>
      </c>
      <c r="U78" s="133">
        <f>'Homogeneous Revenue (rates)'!J244</f>
        <v>6.1464326761179962</v>
      </c>
      <c r="V78" s="133">
        <f>'Homogeneous Revenue (rates)'!K244</f>
        <v>-10.0448907017271</v>
      </c>
      <c r="W78" s="133">
        <f>'Homogeneous Revenue (rates)'!L244</f>
        <v>2.2649987399367069</v>
      </c>
      <c r="X78" s="133">
        <f>'Homogeneous Revenue (rates)'!M244</f>
        <v>3.983298582690372</v>
      </c>
      <c r="Y78" s="133">
        <f>'Homogeneous Revenue (rates)'!N244</f>
        <v>-10.995640988821362</v>
      </c>
      <c r="Z78" s="247">
        <f>'Homogeneous Revenue (rates)'!I244</f>
        <v>1.8515216961595402</v>
      </c>
    </row>
    <row r="79" spans="2:26" ht="12" customHeight="1">
      <c r="B79" s="150" t="s">
        <v>93</v>
      </c>
      <c r="C79" s="142" t="str">
        <f t="shared" si="28"/>
        <v xml:space="preserve"> </v>
      </c>
      <c r="D79" s="142" t="str">
        <f t="shared" si="25"/>
        <v xml:space="preserve"> </v>
      </c>
      <c r="E79" s="142" t="str">
        <f t="shared" si="25"/>
        <v xml:space="preserve"> </v>
      </c>
      <c r="F79" s="142" t="str">
        <f t="shared" si="25"/>
        <v xml:space="preserve"> </v>
      </c>
      <c r="G79" s="142" t="str">
        <f t="shared" si="25"/>
        <v xml:space="preserve"> </v>
      </c>
      <c r="H79" s="143" t="str">
        <f t="shared" si="25"/>
        <v xml:space="preserve"> </v>
      </c>
      <c r="I79" s="153"/>
      <c r="J79" s="142" t="str">
        <f t="shared" si="26"/>
        <v xml:space="preserve"> </v>
      </c>
      <c r="K79" s="142" t="str">
        <f t="shared" si="26"/>
        <v xml:space="preserve"> </v>
      </c>
      <c r="L79" s="142" t="str">
        <f t="shared" si="26"/>
        <v xml:space="preserve"> </v>
      </c>
      <c r="M79" s="142" t="str">
        <f t="shared" si="26"/>
        <v xml:space="preserve"> </v>
      </c>
      <c r="N79" s="142" t="str">
        <f t="shared" si="26"/>
        <v xml:space="preserve"> </v>
      </c>
      <c r="O79" s="143" t="str">
        <f t="shared" si="27"/>
        <v xml:space="preserve"> </v>
      </c>
    </row>
    <row r="80" spans="2:26" ht="12" customHeight="1">
      <c r="B80" s="150" t="s">
        <v>94</v>
      </c>
      <c r="C80" s="142" t="str">
        <f t="shared" si="28"/>
        <v xml:space="preserve"> </v>
      </c>
      <c r="D80" s="142" t="str">
        <f t="shared" si="25"/>
        <v xml:space="preserve"> </v>
      </c>
      <c r="E80" s="142" t="str">
        <f t="shared" si="25"/>
        <v xml:space="preserve"> </v>
      </c>
      <c r="F80" s="142" t="str">
        <f t="shared" si="25"/>
        <v xml:space="preserve"> </v>
      </c>
      <c r="G80" s="142" t="str">
        <f t="shared" si="25"/>
        <v xml:space="preserve"> </v>
      </c>
      <c r="H80" s="143" t="str">
        <f t="shared" si="25"/>
        <v xml:space="preserve"> </v>
      </c>
      <c r="I80" s="153"/>
      <c r="J80" s="142" t="str">
        <f t="shared" si="26"/>
        <v xml:space="preserve"> </v>
      </c>
      <c r="K80" s="142" t="str">
        <f t="shared" si="26"/>
        <v xml:space="preserve"> </v>
      </c>
      <c r="L80" s="142" t="str">
        <f t="shared" si="26"/>
        <v xml:space="preserve"> </v>
      </c>
      <c r="M80" s="142" t="str">
        <f t="shared" si="26"/>
        <v xml:space="preserve"> </v>
      </c>
      <c r="N80" s="142" t="str">
        <f t="shared" si="26"/>
        <v xml:space="preserve"> </v>
      </c>
      <c r="O80" s="143" t="str">
        <f t="shared" si="27"/>
        <v xml:space="preserve"> </v>
      </c>
    </row>
    <row r="81" spans="1:51" ht="12" customHeight="1">
      <c r="B81" s="150" t="s">
        <v>215</v>
      </c>
      <c r="C81" s="142" t="str">
        <f t="shared" si="28"/>
        <v xml:space="preserve"> </v>
      </c>
      <c r="D81" s="142" t="str">
        <f t="shared" si="25"/>
        <v xml:space="preserve"> </v>
      </c>
      <c r="E81" s="142" t="str">
        <f t="shared" si="25"/>
        <v xml:space="preserve"> </v>
      </c>
      <c r="F81" s="142" t="str">
        <f t="shared" si="25"/>
        <v xml:space="preserve"> </v>
      </c>
      <c r="G81" s="142" t="str">
        <f t="shared" si="25"/>
        <v xml:space="preserve"> </v>
      </c>
      <c r="H81" s="143" t="str">
        <f t="shared" si="25"/>
        <v xml:space="preserve"> </v>
      </c>
      <c r="I81" s="153"/>
      <c r="J81" s="142" t="str">
        <f t="shared" si="26"/>
        <v xml:space="preserve"> </v>
      </c>
      <c r="K81" s="142" t="str">
        <f t="shared" si="26"/>
        <v xml:space="preserve"> </v>
      </c>
      <c r="L81" s="142" t="str">
        <f t="shared" si="26"/>
        <v xml:space="preserve"> </v>
      </c>
      <c r="M81" s="142" t="str">
        <f t="shared" si="26"/>
        <v xml:space="preserve"> </v>
      </c>
      <c r="N81" s="142" t="str">
        <f t="shared" si="26"/>
        <v xml:space="preserve"> </v>
      </c>
      <c r="O81" s="143" t="str">
        <f t="shared" si="27"/>
        <v xml:space="preserve"> </v>
      </c>
    </row>
    <row r="82" spans="1:51" ht="12" customHeight="1">
      <c r="B82" s="150" t="s">
        <v>96</v>
      </c>
      <c r="C82" s="142" t="str">
        <f t="shared" si="28"/>
        <v xml:space="preserve"> </v>
      </c>
      <c r="D82" s="142" t="str">
        <f t="shared" si="25"/>
        <v xml:space="preserve"> </v>
      </c>
      <c r="E82" s="142" t="str">
        <f t="shared" si="25"/>
        <v xml:space="preserve"> </v>
      </c>
      <c r="F82" s="142" t="str">
        <f t="shared" si="25"/>
        <v xml:space="preserve"> </v>
      </c>
      <c r="G82" s="142" t="str">
        <f t="shared" si="25"/>
        <v xml:space="preserve"> </v>
      </c>
      <c r="H82" s="143" t="str">
        <f t="shared" si="25"/>
        <v xml:space="preserve"> </v>
      </c>
      <c r="I82" s="153"/>
      <c r="J82" s="142" t="str">
        <f t="shared" si="26"/>
        <v xml:space="preserve"> </v>
      </c>
      <c r="K82" s="142" t="str">
        <f t="shared" si="26"/>
        <v xml:space="preserve"> </v>
      </c>
      <c r="L82" s="142" t="str">
        <f t="shared" si="26"/>
        <v xml:space="preserve"> </v>
      </c>
      <c r="M82" s="142" t="str">
        <f t="shared" si="26"/>
        <v xml:space="preserve"> </v>
      </c>
      <c r="N82" s="142" t="str">
        <f t="shared" si="26"/>
        <v xml:space="preserve"> </v>
      </c>
      <c r="O82" s="143" t="str">
        <f t="shared" si="27"/>
        <v xml:space="preserve"> </v>
      </c>
    </row>
    <row r="83" spans="1:51" ht="12" customHeight="1">
      <c r="B83" s="150" t="s">
        <v>97</v>
      </c>
      <c r="C83" s="142" t="str">
        <f t="shared" si="28"/>
        <v xml:space="preserve"> </v>
      </c>
      <c r="D83" s="142" t="str">
        <f t="shared" si="25"/>
        <v xml:space="preserve"> </v>
      </c>
      <c r="E83" s="142" t="str">
        <f t="shared" si="25"/>
        <v xml:space="preserve"> </v>
      </c>
      <c r="F83" s="142" t="str">
        <f t="shared" si="25"/>
        <v xml:space="preserve"> </v>
      </c>
      <c r="G83" s="142" t="str">
        <f t="shared" si="25"/>
        <v xml:space="preserve"> </v>
      </c>
      <c r="H83" s="143" t="str">
        <f t="shared" si="25"/>
        <v xml:space="preserve"> </v>
      </c>
      <c r="I83" s="153"/>
      <c r="J83" s="142" t="str">
        <f t="shared" si="26"/>
        <v xml:space="preserve"> </v>
      </c>
      <c r="K83" s="142" t="str">
        <f t="shared" si="26"/>
        <v xml:space="preserve"> </v>
      </c>
      <c r="L83" s="142" t="str">
        <f t="shared" si="26"/>
        <v xml:space="preserve"> </v>
      </c>
      <c r="M83" s="142" t="str">
        <f t="shared" si="26"/>
        <v xml:space="preserve"> </v>
      </c>
      <c r="N83" s="142" t="str">
        <f t="shared" si="26"/>
        <v xml:space="preserve"> </v>
      </c>
      <c r="O83" s="143" t="str">
        <f t="shared" si="27"/>
        <v xml:space="preserve"> </v>
      </c>
    </row>
    <row r="84" spans="1:51" ht="12" customHeight="1">
      <c r="B84" s="150" t="s">
        <v>98</v>
      </c>
      <c r="C84" s="142" t="str">
        <f t="shared" si="28"/>
        <v xml:space="preserve"> </v>
      </c>
      <c r="D84" s="142" t="str">
        <f t="shared" si="25"/>
        <v xml:space="preserve"> </v>
      </c>
      <c r="E84" s="142" t="str">
        <f t="shared" si="25"/>
        <v xml:space="preserve"> </v>
      </c>
      <c r="F84" s="142" t="str">
        <f t="shared" si="25"/>
        <v xml:space="preserve"> </v>
      </c>
      <c r="G84" s="142" t="str">
        <f t="shared" si="25"/>
        <v xml:space="preserve"> </v>
      </c>
      <c r="H84" s="143" t="str">
        <f t="shared" si="25"/>
        <v xml:space="preserve"> </v>
      </c>
      <c r="I84" s="153"/>
      <c r="J84" s="142" t="str">
        <f t="shared" si="26"/>
        <v xml:space="preserve"> </v>
      </c>
      <c r="K84" s="142" t="str">
        <f t="shared" si="26"/>
        <v xml:space="preserve"> </v>
      </c>
      <c r="L84" s="142" t="str">
        <f t="shared" si="26"/>
        <v xml:space="preserve"> </v>
      </c>
      <c r="M84" s="142" t="str">
        <f t="shared" si="26"/>
        <v xml:space="preserve"> </v>
      </c>
      <c r="N84" s="142" t="str">
        <f t="shared" si="26"/>
        <v xml:space="preserve"> </v>
      </c>
      <c r="O84" s="143" t="str">
        <f t="shared" si="27"/>
        <v xml:space="preserve"> </v>
      </c>
    </row>
    <row r="85" spans="1:51" ht="12" customHeight="1">
      <c r="B85" s="150" t="s">
        <v>216</v>
      </c>
      <c r="C85" s="142" t="str">
        <f t="shared" si="28"/>
        <v xml:space="preserve"> </v>
      </c>
      <c r="D85" s="142" t="str">
        <f t="shared" si="25"/>
        <v xml:space="preserve"> </v>
      </c>
      <c r="E85" s="142" t="str">
        <f t="shared" si="25"/>
        <v xml:space="preserve"> </v>
      </c>
      <c r="F85" s="142" t="str">
        <f t="shared" si="25"/>
        <v xml:space="preserve"> </v>
      </c>
      <c r="G85" s="142" t="str">
        <f t="shared" si="25"/>
        <v xml:space="preserve"> </v>
      </c>
      <c r="H85" s="143" t="str">
        <f t="shared" si="25"/>
        <v xml:space="preserve"> </v>
      </c>
      <c r="I85" s="153"/>
      <c r="J85" s="142" t="str">
        <f t="shared" si="26"/>
        <v xml:space="preserve"> </v>
      </c>
      <c r="K85" s="142" t="str">
        <f t="shared" si="26"/>
        <v xml:space="preserve"> </v>
      </c>
      <c r="L85" s="142" t="str">
        <f t="shared" si="26"/>
        <v xml:space="preserve"> </v>
      </c>
      <c r="M85" s="142" t="str">
        <f t="shared" si="26"/>
        <v xml:space="preserve"> </v>
      </c>
      <c r="N85" s="142" t="str">
        <f t="shared" si="26"/>
        <v xml:space="preserve"> </v>
      </c>
      <c r="O85" s="143" t="str">
        <f t="shared" si="27"/>
        <v xml:space="preserve"> </v>
      </c>
    </row>
    <row r="86" spans="1:51" ht="12" customHeight="1">
      <c r="B86" s="150"/>
    </row>
    <row r="87" spans="1:51" ht="12" customHeight="1">
      <c r="A87" s="110"/>
      <c r="B87" s="154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</row>
    <row r="88" spans="1:51" ht="25.2" customHeight="1">
      <c r="A88" s="155" t="str">
        <f>CONCATENATE("TAX REVENUE MONTHLY REPORT. ",$S$8," ",$S$7)</f>
        <v>TAX REVENUE MONTHLY REPORT. FEBRUARY 2024</v>
      </c>
      <c r="B88" s="155"/>
      <c r="C88" s="156"/>
      <c r="D88" s="157"/>
      <c r="E88" s="158"/>
      <c r="F88" s="159"/>
      <c r="G88" s="159"/>
      <c r="H88" s="81"/>
      <c r="I88" s="160"/>
      <c r="J88" s="160"/>
      <c r="K88" s="161"/>
      <c r="L88" s="160"/>
      <c r="M88" s="160"/>
      <c r="N88" s="160"/>
      <c r="O88" s="70"/>
      <c r="P88" s="162" t="s">
        <v>182</v>
      </c>
    </row>
    <row r="89" spans="1:51" ht="15" hidden="1" customHeight="1">
      <c r="B89" s="163"/>
      <c r="J89" s="65"/>
      <c r="K89" s="65"/>
      <c r="L89" s="65"/>
      <c r="M89" s="65"/>
      <c r="N89" s="65"/>
    </row>
    <row r="90" spans="1:51" ht="15" hidden="1" customHeight="1">
      <c r="J90" s="65"/>
      <c r="K90" s="65"/>
      <c r="L90" s="65"/>
      <c r="M90" s="65"/>
      <c r="N90" s="65"/>
      <c r="AD90" s="140" t="s">
        <v>106</v>
      </c>
    </row>
    <row r="91" spans="1:51" ht="15" hidden="1" customHeight="1">
      <c r="J91" s="65"/>
      <c r="K91" s="65"/>
      <c r="L91" s="65"/>
      <c r="M91" s="65"/>
      <c r="N91" s="65"/>
      <c r="W91" s="120" t="s">
        <v>101</v>
      </c>
      <c r="X91" s="120" t="s">
        <v>102</v>
      </c>
      <c r="Y91" s="120" t="s">
        <v>103</v>
      </c>
      <c r="Z91" s="120" t="s">
        <v>104</v>
      </c>
      <c r="AA91" s="120" t="s">
        <v>8</v>
      </c>
      <c r="AB91" s="140" t="s">
        <v>87</v>
      </c>
      <c r="AD91" s="120" t="s">
        <v>101</v>
      </c>
      <c r="AE91" s="120" t="s">
        <v>102</v>
      </c>
      <c r="AF91" s="120" t="s">
        <v>103</v>
      </c>
      <c r="AG91" s="120" t="s">
        <v>104</v>
      </c>
      <c r="AH91" s="120" t="s">
        <v>8</v>
      </c>
      <c r="AI91" s="140" t="s">
        <v>87</v>
      </c>
    </row>
    <row r="92" spans="1:51" ht="15" hidden="1" customHeight="1">
      <c r="J92" s="65"/>
      <c r="K92" s="65"/>
      <c r="L92" s="65"/>
      <c r="M92" s="65"/>
      <c r="N92" s="65"/>
    </row>
    <row r="93" spans="1:51" ht="15" hidden="1" customHeight="1">
      <c r="J93" s="65"/>
      <c r="K93" s="65"/>
      <c r="L93" s="65"/>
      <c r="M93" s="65"/>
      <c r="N93" s="65"/>
      <c r="U93" s="164">
        <f t="shared" ref="U93:U104" si="29">Año_seleccionado_C.1.2-2</f>
        <v>2022</v>
      </c>
      <c r="V93" s="165" t="s">
        <v>217</v>
      </c>
      <c r="W93" s="166">
        <f t="shared" ref="W93:W128" si="30">SUMIFS(Homogeneos_IRPF,Años_homogeneos,$U93,Mes_homogeneos,$V93)/1000</f>
        <v>14253.13</v>
      </c>
      <c r="X93" s="166">
        <f t="shared" ref="X93:X128" si="31">SUMIFS(Homogeneos_IS,Años_homogeneos,$U93,Mes_homogeneos,$V93)/1000</f>
        <v>553.47299999999996</v>
      </c>
      <c r="Y93" s="166">
        <f t="shared" ref="Y93:Y128" si="32">SUMIFS(Homogeneos_IVA,Años_homogeneos,$U93,Mes_homogeneos,$V93)/1000</f>
        <v>7943.326</v>
      </c>
      <c r="Z93" s="166">
        <f t="shared" ref="Z93:Z128" si="33">SUMIFS(Homogeneos_IIEE,Años_homogeneos,$U93,Mes_homogeneos,$V93)/1000</f>
        <v>1730.498</v>
      </c>
      <c r="AA93" s="166">
        <f>AB93-SUM(W93:Z93)</f>
        <v>1000.635000000002</v>
      </c>
      <c r="AB93" s="146">
        <f t="shared" ref="AB93:AB128" si="34">SUMIFS(Homogeneos_ingresos_totales,Años_homogeneos,$U93,Mes_homogeneos,$V93)/1000</f>
        <v>25481.062000000002</v>
      </c>
      <c r="AD93" s="166">
        <f>W93</f>
        <v>14253.13</v>
      </c>
      <c r="AE93" s="166">
        <f t="shared" ref="AE93:AI93" si="35">X93</f>
        <v>553.47299999999996</v>
      </c>
      <c r="AF93" s="166">
        <f t="shared" si="35"/>
        <v>7943.326</v>
      </c>
      <c r="AG93" s="166">
        <f t="shared" si="35"/>
        <v>1730.498</v>
      </c>
      <c r="AH93" s="166">
        <f t="shared" si="35"/>
        <v>1000.635000000002</v>
      </c>
      <c r="AI93" s="146">
        <f t="shared" si="35"/>
        <v>25481.062000000002</v>
      </c>
      <c r="AK93" s="164">
        <v>2019</v>
      </c>
      <c r="AL93" s="165" t="s">
        <v>217</v>
      </c>
      <c r="AM93" s="169">
        <f>'Homogeneous Revenue (rates)'!D233</f>
        <v>6.8691807749214195</v>
      </c>
      <c r="AN93" s="170">
        <f>'Homogeneous Revenue (rates)'!E233</f>
        <v>77.797687111705827</v>
      </c>
      <c r="AO93" s="170">
        <f>'Homogeneous Revenue (rates)'!F233</f>
        <v>-2.411092816884544</v>
      </c>
      <c r="AP93" s="170">
        <f>'Homogeneous Revenue (rates)'!G233</f>
        <v>2.5269005081050313</v>
      </c>
      <c r="AQ93" s="170">
        <f>'Homogeneous Revenue (rates)'!H233</f>
        <v>-19.502645117050985</v>
      </c>
      <c r="AR93" s="149">
        <f>'Homogeneous Revenue (rates)'!C233</f>
        <v>4.8228975779667094</v>
      </c>
      <c r="AT93" s="169">
        <f>'Homogeneous Revenue (rates)'!J233</f>
        <v>6.8691807749214195</v>
      </c>
      <c r="AU93" s="170">
        <f>'Homogeneous Revenue (rates)'!K233</f>
        <v>77.797687111705827</v>
      </c>
      <c r="AV93" s="170">
        <f>'Homogeneous Revenue (rates)'!L233</f>
        <v>-2.411092816884544</v>
      </c>
      <c r="AW93" s="170">
        <f>'Homogeneous Revenue (rates)'!M233</f>
        <v>2.5269005081050313</v>
      </c>
      <c r="AX93" s="170">
        <f>'Homogeneous Revenue (rates)'!N233</f>
        <v>-19.502645117050985</v>
      </c>
      <c r="AY93" s="149">
        <f>'Homogeneous Revenue (rates)'!I233</f>
        <v>4.8228975779667094</v>
      </c>
    </row>
    <row r="94" spans="1:51" ht="15" hidden="1" customHeight="1">
      <c r="J94" s="65"/>
      <c r="K94" s="65"/>
      <c r="L94" s="65"/>
      <c r="M94" s="65"/>
      <c r="N94" s="65"/>
      <c r="U94" s="167">
        <f t="shared" si="29"/>
        <v>2022</v>
      </c>
      <c r="V94" s="98" t="s">
        <v>218</v>
      </c>
      <c r="W94" s="125">
        <f t="shared" si="30"/>
        <v>6710.0550000000003</v>
      </c>
      <c r="X94" s="125">
        <f t="shared" si="31"/>
        <v>-12.641</v>
      </c>
      <c r="Y94" s="125">
        <f t="shared" si="32"/>
        <v>13838.409</v>
      </c>
      <c r="Z94" s="125">
        <f t="shared" si="33"/>
        <v>1547.671</v>
      </c>
      <c r="AA94" s="125">
        <f t="shared" ref="AA94:AA128" si="36">AB94-SUM(W94:Z94)</f>
        <v>872.4989999999998</v>
      </c>
      <c r="AB94" s="146">
        <f t="shared" si="34"/>
        <v>22955.992999999999</v>
      </c>
      <c r="AD94" s="125">
        <f>AD93+W94</f>
        <v>20963.184999999998</v>
      </c>
      <c r="AE94" s="125">
        <f t="shared" ref="AE94:AI104" si="37">AE93+X94</f>
        <v>540.83199999999999</v>
      </c>
      <c r="AF94" s="125">
        <f t="shared" si="37"/>
        <v>21781.735000000001</v>
      </c>
      <c r="AG94" s="125">
        <f t="shared" si="37"/>
        <v>3278.1689999999999</v>
      </c>
      <c r="AH94" s="125">
        <f t="shared" si="37"/>
        <v>1873.1340000000018</v>
      </c>
      <c r="AI94" s="146">
        <f t="shared" si="37"/>
        <v>48437.055</v>
      </c>
      <c r="AK94" s="167">
        <v>2019</v>
      </c>
      <c r="AL94" s="98" t="s">
        <v>218</v>
      </c>
      <c r="AM94" s="137">
        <f>'Homogeneous Revenue (rates)'!D234</f>
        <v>2.998905436427949</v>
      </c>
      <c r="AN94" s="148">
        <f>'Homogeneous Revenue (rates)'!E234</f>
        <v>-46.028209193329218</v>
      </c>
      <c r="AO94" s="148">
        <f>'Homogeneous Revenue (rates)'!F234</f>
        <v>4.8792080552039554</v>
      </c>
      <c r="AP94" s="148">
        <f>'Homogeneous Revenue (rates)'!G234</f>
        <v>11.902009705261014</v>
      </c>
      <c r="AQ94" s="148">
        <f>'Homogeneous Revenue (rates)'!H234</f>
        <v>-38.011824920578889</v>
      </c>
      <c r="AR94" s="149">
        <f>'Homogeneous Revenue (rates)'!C234</f>
        <v>2.8013629979175736</v>
      </c>
      <c r="AT94" s="137">
        <f>'Homogeneous Revenue (rates)'!J234</f>
        <v>5.6497447646236987</v>
      </c>
      <c r="AU94" s="148" t="str">
        <f>'Homogeneous Revenue (rates)'!K234</f>
        <v>-</v>
      </c>
      <c r="AV94" s="148">
        <f>'Homogeneous Revenue (rates)'!L234</f>
        <v>4.1919696326207605</v>
      </c>
      <c r="AW94" s="148">
        <f>'Homogeneous Revenue (rates)'!M234</f>
        <v>7.137553343730624</v>
      </c>
      <c r="AX94" s="148">
        <f>'Homogeneous Revenue (rates)'!N234</f>
        <v>-29.202663167348714</v>
      </c>
      <c r="AY94" s="149">
        <f>'Homogeneous Revenue (rates)'!I234</f>
        <v>3.6198750973037916</v>
      </c>
    </row>
    <row r="95" spans="1:51" ht="15" hidden="1" customHeight="1">
      <c r="J95" s="65"/>
      <c r="K95" s="65"/>
      <c r="L95" s="65"/>
      <c r="M95" s="65"/>
      <c r="N95" s="65"/>
      <c r="U95" s="167">
        <f t="shared" si="29"/>
        <v>2022</v>
      </c>
      <c r="V95" s="98" t="s">
        <v>219</v>
      </c>
      <c r="W95" s="125">
        <f t="shared" si="30"/>
        <v>5966.7619999999997</v>
      </c>
      <c r="X95" s="125">
        <f t="shared" si="31"/>
        <v>-8.0809999999999995</v>
      </c>
      <c r="Y95" s="125">
        <f t="shared" si="32"/>
        <v>2776.4140000000002</v>
      </c>
      <c r="Z95" s="125">
        <f t="shared" si="33"/>
        <v>1567.373</v>
      </c>
      <c r="AA95" s="125">
        <f t="shared" si="36"/>
        <v>691.24300000000039</v>
      </c>
      <c r="AB95" s="146">
        <f t="shared" si="34"/>
        <v>10993.710999999999</v>
      </c>
      <c r="AD95" s="125">
        <f t="shared" ref="AD95:AD104" si="38">AD94+W95</f>
        <v>26929.946999999996</v>
      </c>
      <c r="AE95" s="125">
        <f t="shared" si="37"/>
        <v>532.75099999999998</v>
      </c>
      <c r="AF95" s="125">
        <f t="shared" si="37"/>
        <v>24558.149000000001</v>
      </c>
      <c r="AG95" s="125">
        <f t="shared" si="37"/>
        <v>4845.5419999999995</v>
      </c>
      <c r="AH95" s="125">
        <f t="shared" si="37"/>
        <v>2564.3770000000022</v>
      </c>
      <c r="AI95" s="146">
        <f t="shared" si="37"/>
        <v>59430.766000000003</v>
      </c>
      <c r="AK95" s="167">
        <v>2019</v>
      </c>
      <c r="AL95" s="98" t="s">
        <v>219</v>
      </c>
      <c r="AM95" s="137">
        <f>'Homogeneous Revenue (rates)'!D235</f>
        <v>7.7362239011957374</v>
      </c>
      <c r="AN95" s="148" t="str">
        <f>'Homogeneous Revenue (rates)'!E235</f>
        <v>-</v>
      </c>
      <c r="AO95" s="148">
        <f>'Homogeneous Revenue (rates)'!F235</f>
        <v>-3.5225569263374856</v>
      </c>
      <c r="AP95" s="148">
        <f>'Homogeneous Revenue (rates)'!G235</f>
        <v>4.2633172579040863</v>
      </c>
      <c r="AQ95" s="148">
        <f>'Homogeneous Revenue (rates)'!H235</f>
        <v>1.8229139645482058</v>
      </c>
      <c r="AR95" s="149">
        <f>'Homogeneous Revenue (rates)'!C235</f>
        <v>0.42899684795035764</v>
      </c>
      <c r="AT95" s="137">
        <f>'Homogeneous Revenue (rates)'!J235</f>
        <v>6.1068255066311741</v>
      </c>
      <c r="AU95" s="148" t="str">
        <f>'Homogeneous Revenue (rates)'!K235</f>
        <v>-</v>
      </c>
      <c r="AV95" s="148">
        <f>'Homogeneous Revenue (rates)'!L235</f>
        <v>3.1346317162058419</v>
      </c>
      <c r="AW95" s="148">
        <f>'Homogeneous Revenue (rates)'!M235</f>
        <v>6.2135226686556928</v>
      </c>
      <c r="AX95" s="148">
        <f>'Homogeneous Revenue (rates)'!N235</f>
        <v>-21.971772969779092</v>
      </c>
      <c r="AY95" s="149">
        <f>'Homogeneous Revenue (rates)'!I235</f>
        <v>2.9857007828918154</v>
      </c>
    </row>
    <row r="96" spans="1:51" ht="15" hidden="1" customHeight="1">
      <c r="J96" s="65"/>
      <c r="K96" s="65"/>
      <c r="L96" s="65"/>
      <c r="M96" s="65"/>
      <c r="N96" s="65"/>
      <c r="U96" s="167">
        <f t="shared" si="29"/>
        <v>2022</v>
      </c>
      <c r="V96" s="98" t="s">
        <v>220</v>
      </c>
      <c r="W96" s="125">
        <f t="shared" si="30"/>
        <v>12311.951999999999</v>
      </c>
      <c r="X96" s="125">
        <f t="shared" si="31"/>
        <v>7431.9579999999996</v>
      </c>
      <c r="Y96" s="125">
        <f t="shared" si="32"/>
        <v>9400.268</v>
      </c>
      <c r="Z96" s="125">
        <f t="shared" si="33"/>
        <v>2051.6010000000001</v>
      </c>
      <c r="AA96" s="125">
        <f t="shared" si="36"/>
        <v>972.12200000000303</v>
      </c>
      <c r="AB96" s="146">
        <f t="shared" si="34"/>
        <v>32167.901000000002</v>
      </c>
      <c r="AD96" s="125">
        <f t="shared" si="38"/>
        <v>39241.898999999998</v>
      </c>
      <c r="AE96" s="125">
        <f t="shared" si="37"/>
        <v>7964.7089999999998</v>
      </c>
      <c r="AF96" s="125">
        <f t="shared" si="37"/>
        <v>33958.417000000001</v>
      </c>
      <c r="AG96" s="125">
        <f t="shared" si="37"/>
        <v>6897.143</v>
      </c>
      <c r="AH96" s="125">
        <f t="shared" si="37"/>
        <v>3536.4990000000053</v>
      </c>
      <c r="AI96" s="146">
        <f t="shared" si="37"/>
        <v>91598.667000000001</v>
      </c>
      <c r="AK96" s="167">
        <v>2019</v>
      </c>
      <c r="AL96" s="98" t="s">
        <v>220</v>
      </c>
      <c r="AM96" s="137">
        <f>'Homogeneous Revenue (rates)'!D236</f>
        <v>3.7760010333247473</v>
      </c>
      <c r="AN96" s="148">
        <f>'Homogeneous Revenue (rates)'!E236</f>
        <v>4.768239273496472</v>
      </c>
      <c r="AO96" s="148">
        <f>'Homogeneous Revenue (rates)'!F236</f>
        <v>2.4197310604210012</v>
      </c>
      <c r="AP96" s="148">
        <f>'Homogeneous Revenue (rates)'!G236</f>
        <v>1.9251524620005029</v>
      </c>
      <c r="AQ96" s="148">
        <f>'Homogeneous Revenue (rates)'!H236</f>
        <v>-11.898389469619328</v>
      </c>
      <c r="AR96" s="149">
        <f>'Homogeneous Revenue (rates)'!C236</f>
        <v>2.9746567446594674</v>
      </c>
      <c r="AT96" s="137">
        <f>'Homogeneous Revenue (rates)'!J236</f>
        <v>5.390609272808633</v>
      </c>
      <c r="AU96" s="148">
        <f>'Homogeneous Revenue (rates)'!K236</f>
        <v>0.75096436147229939</v>
      </c>
      <c r="AV96" s="148">
        <f>'Homogeneous Revenue (rates)'!L236</f>
        <v>2.9142532374119137</v>
      </c>
      <c r="AW96" s="148">
        <f>'Homogeneous Revenue (rates)'!M236</f>
        <v>4.9970202199949263</v>
      </c>
      <c r="AX96" s="148">
        <f>'Homogeneous Revenue (rates)'!N236</f>
        <v>-19.637409567596556</v>
      </c>
      <c r="AY96" s="149">
        <f>'Homogeneous Revenue (rates)'!I236</f>
        <v>2.9817853321344905</v>
      </c>
    </row>
    <row r="97" spans="10:51" ht="15" hidden="1" customHeight="1">
      <c r="J97" s="65"/>
      <c r="K97" s="65"/>
      <c r="L97" s="65"/>
      <c r="M97" s="65"/>
      <c r="N97" s="65"/>
      <c r="U97" s="167">
        <f t="shared" si="29"/>
        <v>2022</v>
      </c>
      <c r="V97" s="98" t="s">
        <v>221</v>
      </c>
      <c r="W97" s="125">
        <f t="shared" si="30"/>
        <v>4066.221</v>
      </c>
      <c r="X97" s="125">
        <f t="shared" si="31"/>
        <v>217.81100000000001</v>
      </c>
      <c r="Y97" s="125">
        <f t="shared" si="32"/>
        <v>5005.7110000000002</v>
      </c>
      <c r="Z97" s="125">
        <f t="shared" si="33"/>
        <v>1653.8920000000001</v>
      </c>
      <c r="AA97" s="125">
        <f t="shared" si="36"/>
        <v>983.29500000000007</v>
      </c>
      <c r="AB97" s="146">
        <f t="shared" si="34"/>
        <v>11926.93</v>
      </c>
      <c r="AD97" s="125">
        <f t="shared" si="38"/>
        <v>43308.119999999995</v>
      </c>
      <c r="AE97" s="125">
        <f t="shared" si="37"/>
        <v>8182.5199999999995</v>
      </c>
      <c r="AF97" s="125">
        <f t="shared" si="37"/>
        <v>38964.128000000004</v>
      </c>
      <c r="AG97" s="125">
        <f t="shared" si="37"/>
        <v>8551.0349999999999</v>
      </c>
      <c r="AH97" s="125">
        <f t="shared" si="37"/>
        <v>4519.7940000000053</v>
      </c>
      <c r="AI97" s="146">
        <f t="shared" si="37"/>
        <v>103525.59700000001</v>
      </c>
      <c r="AK97" s="167">
        <v>2019</v>
      </c>
      <c r="AL97" s="98" t="s">
        <v>221</v>
      </c>
      <c r="AM97" s="137">
        <f>'Homogeneous Revenue (rates)'!D237</f>
        <v>7.1593105940265733</v>
      </c>
      <c r="AN97" s="148">
        <f>'Homogeneous Revenue (rates)'!E237</f>
        <v>21.176722624409745</v>
      </c>
      <c r="AO97" s="148">
        <f>'Homogeneous Revenue (rates)'!F237</f>
        <v>2.7933964181027457</v>
      </c>
      <c r="AP97" s="148">
        <f>'Homogeneous Revenue (rates)'!G237</f>
        <v>6.7864672504927226</v>
      </c>
      <c r="AQ97" s="148">
        <f>'Homogeneous Revenue (rates)'!H237</f>
        <v>-27.95368137135365</v>
      </c>
      <c r="AR97" s="149">
        <f>'Homogeneous Revenue (rates)'!C237</f>
        <v>1.5443792912170942</v>
      </c>
      <c r="AT97" s="137">
        <f>'Homogeneous Revenue (rates)'!J237</f>
        <v>5.5277917448928768</v>
      </c>
      <c r="AU97" s="148">
        <f>'Homogeneous Revenue (rates)'!K237</f>
        <v>1.1050903008266846</v>
      </c>
      <c r="AV97" s="148">
        <f>'Homogeneous Revenue (rates)'!L237</f>
        <v>2.9008610821974612</v>
      </c>
      <c r="AW97" s="148">
        <f>'Homogeneous Revenue (rates)'!M237</f>
        <v>5.3514544061180871</v>
      </c>
      <c r="AX97" s="148">
        <f>'Homogeneous Revenue (rates)'!N237</f>
        <v>-21.622975399899254</v>
      </c>
      <c r="AY97" s="149">
        <f>'Homogeneous Revenue (rates)'!I237</f>
        <v>2.8296858461171852</v>
      </c>
    </row>
    <row r="98" spans="10:51" ht="15" hidden="1" customHeight="1">
      <c r="J98" s="65"/>
      <c r="K98" s="65"/>
      <c r="L98" s="65"/>
      <c r="M98" s="65"/>
      <c r="N98" s="65"/>
      <c r="U98" s="167">
        <f t="shared" si="29"/>
        <v>2022</v>
      </c>
      <c r="V98" s="98" t="s">
        <v>222</v>
      </c>
      <c r="W98" s="125">
        <f t="shared" si="30"/>
        <v>3116.2739999999999</v>
      </c>
      <c r="X98" s="125">
        <f t="shared" si="31"/>
        <v>271.89600000000002</v>
      </c>
      <c r="Y98" s="125">
        <f t="shared" si="32"/>
        <v>3734.0309999999999</v>
      </c>
      <c r="Z98" s="125">
        <f t="shared" si="33"/>
        <v>1666.5519999999999</v>
      </c>
      <c r="AA98" s="125">
        <f t="shared" si="36"/>
        <v>950.28199999999924</v>
      </c>
      <c r="AB98" s="146">
        <f t="shared" si="34"/>
        <v>9739.0349999999999</v>
      </c>
      <c r="AD98" s="125">
        <f t="shared" si="38"/>
        <v>46424.393999999993</v>
      </c>
      <c r="AE98" s="125">
        <f t="shared" si="37"/>
        <v>8454.4159999999993</v>
      </c>
      <c r="AF98" s="125">
        <f t="shared" si="37"/>
        <v>42698.159000000007</v>
      </c>
      <c r="AG98" s="125">
        <f t="shared" si="37"/>
        <v>10217.587</v>
      </c>
      <c r="AH98" s="125">
        <f t="shared" si="37"/>
        <v>5470.0760000000046</v>
      </c>
      <c r="AI98" s="146">
        <f t="shared" si="37"/>
        <v>113264.63200000001</v>
      </c>
      <c r="AK98" s="167">
        <v>2019</v>
      </c>
      <c r="AL98" s="98" t="s">
        <v>222</v>
      </c>
      <c r="AM98" s="137">
        <f>'Homogeneous Revenue (rates)'!D238</f>
        <v>-2.7544995314526641</v>
      </c>
      <c r="AN98" s="148">
        <f>'Homogeneous Revenue (rates)'!E238</f>
        <v>81.383813237838623</v>
      </c>
      <c r="AO98" s="148">
        <f>'Homogeneous Revenue (rates)'!F238</f>
        <v>6.6961702840356505</v>
      </c>
      <c r="AP98" s="148">
        <f>'Homogeneous Revenue (rates)'!G238</f>
        <v>4.8213770888377878</v>
      </c>
      <c r="AQ98" s="148">
        <f>'Homogeneous Revenue (rates)'!H238</f>
        <v>-2.8434955516672593</v>
      </c>
      <c r="AR98" s="149">
        <f>'Homogeneous Revenue (rates)'!C238</f>
        <v>4.8492289406799634</v>
      </c>
      <c r="AT98" s="137">
        <f>'Homogeneous Revenue (rates)'!J238</f>
        <v>5.0833253868681592</v>
      </c>
      <c r="AU98" s="148">
        <f>'Homogeneous Revenue (rates)'!K238</f>
        <v>3.6250274969857736</v>
      </c>
      <c r="AV98" s="148">
        <f>'Homogeneous Revenue (rates)'!L238</f>
        <v>3.2419431690771856</v>
      </c>
      <c r="AW98" s="148">
        <f>'Homogeneous Revenue (rates)'!M238</f>
        <v>5.2578136453659505</v>
      </c>
      <c r="AX98" s="148">
        <f>'Homogeneous Revenue (rates)'!N238</f>
        <v>-18.525820618504348</v>
      </c>
      <c r="AY98" s="149">
        <f>'Homogeneous Revenue (rates)'!I238</f>
        <v>3.0024271606684292</v>
      </c>
    </row>
    <row r="99" spans="10:51" ht="15" hidden="1" customHeight="1">
      <c r="J99" s="65"/>
      <c r="K99" s="65"/>
      <c r="L99" s="65"/>
      <c r="M99" s="65"/>
      <c r="N99" s="65"/>
      <c r="U99" s="167">
        <f t="shared" si="29"/>
        <v>2022</v>
      </c>
      <c r="V99" s="98" t="s">
        <v>223</v>
      </c>
      <c r="W99" s="125">
        <f t="shared" si="30"/>
        <v>23277.556</v>
      </c>
      <c r="X99" s="125">
        <f t="shared" si="31"/>
        <v>919.15300000000002</v>
      </c>
      <c r="Y99" s="125">
        <f t="shared" si="32"/>
        <v>11388.745000000001</v>
      </c>
      <c r="Z99" s="125">
        <f t="shared" si="33"/>
        <v>1824.799</v>
      </c>
      <c r="AA99" s="125">
        <f t="shared" si="36"/>
        <v>929.40800000000309</v>
      </c>
      <c r="AB99" s="146">
        <f t="shared" si="34"/>
        <v>38339.661</v>
      </c>
      <c r="AD99" s="125">
        <f t="shared" si="38"/>
        <v>69701.95</v>
      </c>
      <c r="AE99" s="125">
        <f t="shared" si="37"/>
        <v>9373.5689999999995</v>
      </c>
      <c r="AF99" s="125">
        <f t="shared" si="37"/>
        <v>54086.90400000001</v>
      </c>
      <c r="AG99" s="125">
        <f t="shared" si="37"/>
        <v>12042.385999999999</v>
      </c>
      <c r="AH99" s="125">
        <f t="shared" si="37"/>
        <v>6399.4840000000077</v>
      </c>
      <c r="AI99" s="146">
        <f t="shared" si="37"/>
        <v>151604.29300000001</v>
      </c>
      <c r="AK99" s="167">
        <v>2019</v>
      </c>
      <c r="AL99" s="98" t="s">
        <v>223</v>
      </c>
      <c r="AM99" s="137">
        <f>'Homogeneous Revenue (rates)'!D239</f>
        <v>9.6593299148634664</v>
      </c>
      <c r="AN99" s="148">
        <f>'Homogeneous Revenue (rates)'!E239</f>
        <v>29.403535774541851</v>
      </c>
      <c r="AO99" s="148">
        <f>'Homogeneous Revenue (rates)'!F239</f>
        <v>2.0290949037070272</v>
      </c>
      <c r="AP99" s="148">
        <f>'Homogeneous Revenue (rates)'!G239</f>
        <v>2.6323970374272463</v>
      </c>
      <c r="AQ99" s="148">
        <f>'Homogeneous Revenue (rates)'!H239</f>
        <v>-7.9230093715884191</v>
      </c>
      <c r="AR99" s="149">
        <f>'Homogeneous Revenue (rates)'!C239</f>
        <v>6.5703603105762411</v>
      </c>
      <c r="AT99" s="137">
        <f>'Homogeneous Revenue (rates)'!J239</f>
        <v>6.5479862613158861</v>
      </c>
      <c r="AU99" s="148">
        <f>'Homogeneous Revenue (rates)'!K239</f>
        <v>6.4097028269818681</v>
      </c>
      <c r="AV99" s="148">
        <f>'Homogeneous Revenue (rates)'!L239</f>
        <v>2.9749359620250595</v>
      </c>
      <c r="AW99" s="148">
        <f>'Homogeneous Revenue (rates)'!M239</f>
        <v>4.8598340976032457</v>
      </c>
      <c r="AX99" s="148">
        <f>'Homogeneous Revenue (rates)'!N239</f>
        <v>-16.605041269137182</v>
      </c>
      <c r="AY99" s="149">
        <f>'Homogeneous Revenue (rates)'!I239</f>
        <v>3.8859742118898817</v>
      </c>
    </row>
    <row r="100" spans="10:51" ht="15" hidden="1" customHeight="1">
      <c r="J100" s="65"/>
      <c r="K100" s="65"/>
      <c r="L100" s="65"/>
      <c r="M100" s="65"/>
      <c r="N100" s="65"/>
      <c r="U100" s="167">
        <f t="shared" si="29"/>
        <v>2022</v>
      </c>
      <c r="V100" s="98" t="s">
        <v>224</v>
      </c>
      <c r="W100" s="125">
        <f t="shared" si="30"/>
        <v>5748.6180000000004</v>
      </c>
      <c r="X100" s="125">
        <f t="shared" si="31"/>
        <v>8002.3010000000004</v>
      </c>
      <c r="Y100" s="125">
        <f t="shared" si="32"/>
        <v>6549.48</v>
      </c>
      <c r="Z100" s="125">
        <f t="shared" si="33"/>
        <v>1781.5809999999999</v>
      </c>
      <c r="AA100" s="125">
        <f t="shared" si="36"/>
        <v>758.23099999999977</v>
      </c>
      <c r="AB100" s="146">
        <f t="shared" si="34"/>
        <v>22840.210999999999</v>
      </c>
      <c r="AD100" s="125">
        <f t="shared" si="38"/>
        <v>75450.567999999999</v>
      </c>
      <c r="AE100" s="125">
        <f t="shared" si="37"/>
        <v>17375.87</v>
      </c>
      <c r="AF100" s="125">
        <f t="shared" si="37"/>
        <v>60636.384000000005</v>
      </c>
      <c r="AG100" s="125">
        <f t="shared" si="37"/>
        <v>13823.966999999999</v>
      </c>
      <c r="AH100" s="125">
        <f t="shared" si="37"/>
        <v>7157.7150000000074</v>
      </c>
      <c r="AI100" s="146">
        <f t="shared" si="37"/>
        <v>174444.50400000002</v>
      </c>
      <c r="AK100" s="167">
        <v>2019</v>
      </c>
      <c r="AL100" s="98" t="s">
        <v>224</v>
      </c>
      <c r="AM100" s="137">
        <f>'Homogeneous Revenue (rates)'!D240</f>
        <v>0.55378464415406192</v>
      </c>
      <c r="AN100" s="148">
        <f>'Homogeneous Revenue (rates)'!E240</f>
        <v>3.3951105653865277</v>
      </c>
      <c r="AO100" s="148">
        <f>'Homogeneous Revenue (rates)'!F240</f>
        <v>4.45118636387694</v>
      </c>
      <c r="AP100" s="148">
        <f>'Homogeneous Revenue (rates)'!G240</f>
        <v>9.1337026062293525</v>
      </c>
      <c r="AQ100" s="148">
        <f>'Homogeneous Revenue (rates)'!H240</f>
        <v>-1.6734543598952296</v>
      </c>
      <c r="AR100" s="149">
        <f>'Homogeneous Revenue (rates)'!C240</f>
        <v>3.3471543701446982</v>
      </c>
      <c r="AT100" s="137">
        <f>'Homogeneous Revenue (rates)'!J240</f>
        <v>6.0507400106279716</v>
      </c>
      <c r="AU100" s="148">
        <f>'Homogeneous Revenue (rates)'!K240</f>
        <v>5.0602597414854609</v>
      </c>
      <c r="AV100" s="148">
        <f>'Homogeneous Revenue (rates)'!L240</f>
        <v>3.1091718510638597</v>
      </c>
      <c r="AW100" s="148">
        <f>'Homogeneous Revenue (rates)'!M240</f>
        <v>5.4504103643018667</v>
      </c>
      <c r="AX100" s="148">
        <f>'Homogeneous Revenue (rates)'!N240</f>
        <v>-15.249926356469858</v>
      </c>
      <c r="AY100" s="149">
        <f>'Homogeneous Revenue (rates)'!I240</f>
        <v>3.8188379428806472</v>
      </c>
    </row>
    <row r="101" spans="10:51" ht="15" hidden="1" customHeight="1">
      <c r="J101" s="65"/>
      <c r="K101" s="65"/>
      <c r="L101" s="65"/>
      <c r="M101" s="65"/>
      <c r="N101" s="65"/>
      <c r="U101" s="167">
        <f t="shared" si="29"/>
        <v>2022</v>
      </c>
      <c r="V101" s="98" t="s">
        <v>225</v>
      </c>
      <c r="W101" s="125">
        <f t="shared" si="30"/>
        <v>5149.28</v>
      </c>
      <c r="X101" s="125">
        <f t="shared" si="31"/>
        <v>-54.35</v>
      </c>
      <c r="Y101" s="125">
        <f t="shared" si="32"/>
        <v>4106.0559999999996</v>
      </c>
      <c r="Z101" s="125">
        <f t="shared" si="33"/>
        <v>1836.43</v>
      </c>
      <c r="AA101" s="125">
        <f t="shared" si="36"/>
        <v>937.55000000000109</v>
      </c>
      <c r="AB101" s="146">
        <f t="shared" si="34"/>
        <v>11974.966</v>
      </c>
      <c r="AD101" s="125">
        <f t="shared" si="38"/>
        <v>80599.847999999998</v>
      </c>
      <c r="AE101" s="125">
        <f t="shared" si="37"/>
        <v>17321.52</v>
      </c>
      <c r="AF101" s="125">
        <f t="shared" si="37"/>
        <v>64742.44</v>
      </c>
      <c r="AG101" s="125">
        <f t="shared" si="37"/>
        <v>15660.396999999999</v>
      </c>
      <c r="AH101" s="125">
        <f t="shared" si="37"/>
        <v>8095.2650000000085</v>
      </c>
      <c r="AI101" s="146">
        <f t="shared" si="37"/>
        <v>186419.47000000003</v>
      </c>
      <c r="AK101" s="167">
        <v>2019</v>
      </c>
      <c r="AL101" s="98" t="s">
        <v>225</v>
      </c>
      <c r="AM101" s="137">
        <f>'Homogeneous Revenue (rates)'!D241</f>
        <v>4.7619875135459182</v>
      </c>
      <c r="AN101" s="148" t="str">
        <f>'Homogeneous Revenue (rates)'!E241</f>
        <v>-</v>
      </c>
      <c r="AO101" s="148">
        <f>'Homogeneous Revenue (rates)'!F241</f>
        <v>-7.773206013825634</v>
      </c>
      <c r="AP101" s="148">
        <f>'Homogeneous Revenue (rates)'!G241</f>
        <v>1.1332805990668322</v>
      </c>
      <c r="AQ101" s="148">
        <f>'Homogeneous Revenue (rates)'!H241</f>
        <v>-8.8065025740392855</v>
      </c>
      <c r="AR101" s="149">
        <f>'Homogeneous Revenue (rates)'!C241</f>
        <v>-1.9821615252051505</v>
      </c>
      <c r="AT101" s="137">
        <f>'Homogeneous Revenue (rates)'!J241</f>
        <v>5.9688690045782407</v>
      </c>
      <c r="AU101" s="148">
        <f>'Homogeneous Revenue (rates)'!K241</f>
        <v>4.4489145888073063</v>
      </c>
      <c r="AV101" s="148">
        <f>'Homogeneous Revenue (rates)'!L241</f>
        <v>2.4837502015203254</v>
      </c>
      <c r="AW101" s="148">
        <f>'Homogeneous Revenue (rates)'!M241</f>
        <v>4.9324781282210486</v>
      </c>
      <c r="AX101" s="148">
        <f>'Homogeneous Revenue (rates)'!N241</f>
        <v>-14.452262284783778</v>
      </c>
      <c r="AY101" s="149">
        <f>'Homogeneous Revenue (rates)'!I241</f>
        <v>3.4408815051932109</v>
      </c>
    </row>
    <row r="102" spans="10:51" ht="15" hidden="1" customHeight="1">
      <c r="J102" s="65"/>
      <c r="K102" s="65"/>
      <c r="L102" s="65"/>
      <c r="M102" s="65"/>
      <c r="N102" s="65"/>
      <c r="U102" s="167">
        <f t="shared" si="29"/>
        <v>2022</v>
      </c>
      <c r="V102" s="98" t="s">
        <v>226</v>
      </c>
      <c r="W102" s="125">
        <f t="shared" si="30"/>
        <v>12150.067999999999</v>
      </c>
      <c r="X102" s="125">
        <f t="shared" si="31"/>
        <v>15878.522999999999</v>
      </c>
      <c r="Y102" s="125">
        <f t="shared" si="32"/>
        <v>12093.253000000001</v>
      </c>
      <c r="Z102" s="125">
        <f t="shared" si="33"/>
        <v>1783.027</v>
      </c>
      <c r="AA102" s="125">
        <f t="shared" si="36"/>
        <v>933.32200000000012</v>
      </c>
      <c r="AB102" s="146">
        <f t="shared" si="34"/>
        <v>42838.192999999999</v>
      </c>
      <c r="AD102" s="125">
        <f t="shared" si="38"/>
        <v>92749.915999999997</v>
      </c>
      <c r="AE102" s="125">
        <f t="shared" si="37"/>
        <v>33200.042999999998</v>
      </c>
      <c r="AF102" s="125">
        <f t="shared" si="37"/>
        <v>76835.692999999999</v>
      </c>
      <c r="AG102" s="125">
        <f t="shared" si="37"/>
        <v>17443.423999999999</v>
      </c>
      <c r="AH102" s="125">
        <f t="shared" si="37"/>
        <v>9028.5870000000086</v>
      </c>
      <c r="AI102" s="146">
        <f t="shared" si="37"/>
        <v>229257.66300000003</v>
      </c>
      <c r="AK102" s="167">
        <v>2019</v>
      </c>
      <c r="AL102" s="98" t="s">
        <v>226</v>
      </c>
      <c r="AM102" s="137">
        <f>'Homogeneous Revenue (rates)'!D242</f>
        <v>5.0128452044830354</v>
      </c>
      <c r="AN102" s="148">
        <f>'Homogeneous Revenue (rates)'!E242</f>
        <v>-16.804130719089592</v>
      </c>
      <c r="AO102" s="148">
        <f>'Homogeneous Revenue (rates)'!F242</f>
        <v>1.0553537312918357</v>
      </c>
      <c r="AP102" s="148">
        <f>'Homogeneous Revenue (rates)'!G242</f>
        <v>1.1799248941440983</v>
      </c>
      <c r="AQ102" s="148">
        <f>'Homogeneous Revenue (rates)'!H242</f>
        <v>-3.0083311814512292</v>
      </c>
      <c r="AR102" s="149">
        <f>'Homogeneous Revenue (rates)'!C242</f>
        <v>-4.7085388651401372</v>
      </c>
      <c r="AT102" s="137">
        <f>'Homogeneous Revenue (rates)'!J242</f>
        <v>5.8420353788837573</v>
      </c>
      <c r="AU102" s="148">
        <f>'Homogeneous Revenue (rates)'!K242</f>
        <v>-6.4039574835832127</v>
      </c>
      <c r="AV102" s="148">
        <f>'Homogeneous Revenue (rates)'!L242</f>
        <v>2.2559794940713283</v>
      </c>
      <c r="AW102" s="148">
        <f>'Homogeneous Revenue (rates)'!M242</f>
        <v>4.5356755827965696</v>
      </c>
      <c r="AX102" s="148">
        <f>'Homogeneous Revenue (rates)'!N242</f>
        <v>-13.464337367123736</v>
      </c>
      <c r="AY102" s="149">
        <f>'Homogeneous Revenue (rates)'!I242</f>
        <v>1.8906395651101071</v>
      </c>
    </row>
    <row r="103" spans="10:51" ht="15" hidden="1" customHeight="1">
      <c r="J103" s="65"/>
      <c r="K103" s="65"/>
      <c r="L103" s="65"/>
      <c r="M103" s="65"/>
      <c r="N103" s="65"/>
      <c r="U103" s="167">
        <f t="shared" si="29"/>
        <v>2022</v>
      </c>
      <c r="V103" s="98" t="s">
        <v>227</v>
      </c>
      <c r="W103" s="125">
        <f t="shared" si="30"/>
        <v>10058.51</v>
      </c>
      <c r="X103" s="125">
        <f t="shared" si="31"/>
        <v>-933.88599999999997</v>
      </c>
      <c r="Y103" s="125">
        <f t="shared" si="32"/>
        <v>5411.6329999999998</v>
      </c>
      <c r="Z103" s="125">
        <f t="shared" si="33"/>
        <v>1639.3820000000001</v>
      </c>
      <c r="AA103" s="125">
        <f t="shared" si="36"/>
        <v>1010.9170000000013</v>
      </c>
      <c r="AB103" s="146">
        <f t="shared" si="34"/>
        <v>17186.556</v>
      </c>
      <c r="AD103" s="125">
        <f t="shared" si="38"/>
        <v>102808.42599999999</v>
      </c>
      <c r="AE103" s="125">
        <f t="shared" si="37"/>
        <v>32266.156999999999</v>
      </c>
      <c r="AF103" s="125">
        <f t="shared" si="37"/>
        <v>82247.326000000001</v>
      </c>
      <c r="AG103" s="125">
        <f t="shared" si="37"/>
        <v>19082.806</v>
      </c>
      <c r="AH103" s="125">
        <f t="shared" si="37"/>
        <v>10039.50400000001</v>
      </c>
      <c r="AI103" s="146">
        <f t="shared" si="37"/>
        <v>246444.21900000004</v>
      </c>
      <c r="AK103" s="167">
        <v>2019</v>
      </c>
      <c r="AL103" s="98" t="s">
        <v>227</v>
      </c>
      <c r="AM103" s="137">
        <f>'Homogeneous Revenue (rates)'!D243</f>
        <v>9.7894191119840261</v>
      </c>
      <c r="AN103" s="148">
        <f>'Homogeneous Revenue (rates)'!E243</f>
        <v>-13.819620084719816</v>
      </c>
      <c r="AO103" s="148">
        <f>'Homogeneous Revenue (rates)'!F243</f>
        <v>5.1050577599783287</v>
      </c>
      <c r="AP103" s="148">
        <f>'Homogeneous Revenue (rates)'!G243</f>
        <v>0.99997173016018315</v>
      </c>
      <c r="AQ103" s="148">
        <f>'Homogeneous Revenue (rates)'!H243</f>
        <v>-14.815130067629426</v>
      </c>
      <c r="AR103" s="149">
        <f>'Homogeneous Revenue (rates)'!C243</f>
        <v>5.1724530259065293</v>
      </c>
      <c r="AT103" s="137">
        <f>'Homogeneous Revenue (rates)'!J243</f>
        <v>6.2236872614311132</v>
      </c>
      <c r="AU103" s="148">
        <f>'Homogeneous Revenue (rates)'!K243</f>
        <v>-6.9967581972743762</v>
      </c>
      <c r="AV103" s="148">
        <f>'Homogeneous Revenue (rates)'!L243</f>
        <v>2.4257164878512101</v>
      </c>
      <c r="AW103" s="148">
        <f>'Homogeneous Revenue (rates)'!M243</f>
        <v>4.191614068338092</v>
      </c>
      <c r="AX103" s="148">
        <f>'Homogeneous Revenue (rates)'!N243</f>
        <v>-13.607492567347009</v>
      </c>
      <c r="AY103" s="149">
        <f>'Homogeneous Revenue (rates)'!I243</f>
        <v>2.1158441598510014</v>
      </c>
    </row>
    <row r="104" spans="10:51" ht="15" hidden="1" customHeight="1">
      <c r="J104" s="65"/>
      <c r="K104" s="65"/>
      <c r="L104" s="65"/>
      <c r="M104" s="65"/>
      <c r="N104" s="65"/>
      <c r="U104" s="167">
        <f t="shared" si="29"/>
        <v>2022</v>
      </c>
      <c r="V104" s="98" t="s">
        <v>228</v>
      </c>
      <c r="W104" s="125">
        <f t="shared" si="30"/>
        <v>7220.8180000000002</v>
      </c>
      <c r="X104" s="125">
        <f t="shared" si="31"/>
        <v>-96.197000000000003</v>
      </c>
      <c r="Y104" s="125">
        <f t="shared" si="32"/>
        <v>2202.1990000000001</v>
      </c>
      <c r="Z104" s="125">
        <f t="shared" si="33"/>
        <v>1641.2429999999999</v>
      </c>
      <c r="AA104" s="125">
        <f t="shared" si="36"/>
        <v>886.97700000000077</v>
      </c>
      <c r="AB104" s="146">
        <f t="shared" si="34"/>
        <v>11855.04</v>
      </c>
      <c r="AD104" s="125">
        <f t="shared" si="38"/>
        <v>110029.24399999999</v>
      </c>
      <c r="AE104" s="125">
        <f t="shared" si="37"/>
        <v>32169.96</v>
      </c>
      <c r="AF104" s="125">
        <f t="shared" si="37"/>
        <v>84449.524999999994</v>
      </c>
      <c r="AG104" s="125">
        <f t="shared" si="37"/>
        <v>20724.048999999999</v>
      </c>
      <c r="AH104" s="125">
        <f t="shared" si="37"/>
        <v>10926.481000000011</v>
      </c>
      <c r="AI104" s="146">
        <f t="shared" si="37"/>
        <v>258299.25900000005</v>
      </c>
      <c r="AK104" s="167">
        <v>2019</v>
      </c>
      <c r="AL104" s="98" t="s">
        <v>228</v>
      </c>
      <c r="AM104" s="137">
        <f>'Homogeneous Revenue (rates)'!D244</f>
        <v>5.0072234415954657</v>
      </c>
      <c r="AN104" s="148" t="str">
        <f>'Homogeneous Revenue (rates)'!E244</f>
        <v>-</v>
      </c>
      <c r="AO104" s="148">
        <f>'Homogeneous Revenue (rates)'!F244</f>
        <v>-2.4407790112872791</v>
      </c>
      <c r="AP104" s="148">
        <f>'Homogeneous Revenue (rates)'!G244</f>
        <v>1.5270256533750581</v>
      </c>
      <c r="AQ104" s="148">
        <f>'Homogeneous Revenue (rates)'!H244</f>
        <v>22.734778527181032</v>
      </c>
      <c r="AR104" s="149">
        <f>'Homogeneous Revenue (rates)'!C244</f>
        <v>-3.5777587619406552</v>
      </c>
      <c r="AT104" s="137">
        <f>'Homogeneous Revenue (rates)'!J244</f>
        <v>6.1464326761179962</v>
      </c>
      <c r="AU104" s="148">
        <f>'Homogeneous Revenue (rates)'!K244</f>
        <v>-10.0448907017271</v>
      </c>
      <c r="AV104" s="148">
        <f>'Homogeneous Revenue (rates)'!L244</f>
        <v>2.2649987399367069</v>
      </c>
      <c r="AW104" s="148">
        <f>'Homogeneous Revenue (rates)'!M244</f>
        <v>3.983298582690372</v>
      </c>
      <c r="AX104" s="148">
        <f>'Homogeneous Revenue (rates)'!N244</f>
        <v>-10.995640988821362</v>
      </c>
      <c r="AY104" s="149">
        <f>'Homogeneous Revenue (rates)'!I244</f>
        <v>1.8515216961595402</v>
      </c>
    </row>
    <row r="105" spans="10:51" ht="15" hidden="1" customHeight="1">
      <c r="J105" s="65"/>
      <c r="K105" s="65"/>
      <c r="L105" s="65"/>
      <c r="M105" s="65"/>
      <c r="N105" s="65"/>
      <c r="U105" s="164">
        <f t="shared" ref="U105:U116" si="39">Año_seleccionado_C.1.2-1</f>
        <v>2023</v>
      </c>
      <c r="V105" s="165" t="s">
        <v>217</v>
      </c>
      <c r="W105" s="166">
        <f t="shared" si="30"/>
        <v>15782.134</v>
      </c>
      <c r="X105" s="166">
        <f t="shared" si="31"/>
        <v>264.60300000000001</v>
      </c>
      <c r="Y105" s="166">
        <f t="shared" si="32"/>
        <v>7952.049</v>
      </c>
      <c r="Z105" s="166">
        <f t="shared" si="33"/>
        <v>1694.1020000000001</v>
      </c>
      <c r="AA105" s="166">
        <f t="shared" si="36"/>
        <v>1099.2280000000028</v>
      </c>
      <c r="AB105" s="146">
        <f t="shared" si="34"/>
        <v>26792.116000000002</v>
      </c>
      <c r="AD105" s="166">
        <f>W105</f>
        <v>15782.134</v>
      </c>
      <c r="AE105" s="166">
        <f t="shared" ref="AE105:AI105" si="40">X105</f>
        <v>264.60300000000001</v>
      </c>
      <c r="AF105" s="166">
        <f t="shared" si="40"/>
        <v>7952.049</v>
      </c>
      <c r="AG105" s="166">
        <f t="shared" si="40"/>
        <v>1694.1020000000001</v>
      </c>
      <c r="AH105" s="166">
        <f t="shared" si="40"/>
        <v>1099.2280000000028</v>
      </c>
      <c r="AI105" s="146">
        <f t="shared" si="40"/>
        <v>26792.116000000002</v>
      </c>
    </row>
    <row r="106" spans="10:51" ht="15" hidden="1" customHeight="1">
      <c r="J106" s="65"/>
      <c r="K106" s="65"/>
      <c r="L106" s="65"/>
      <c r="M106" s="65"/>
      <c r="N106" s="65"/>
      <c r="U106" s="167">
        <f t="shared" si="39"/>
        <v>2023</v>
      </c>
      <c r="V106" s="98" t="s">
        <v>218</v>
      </c>
      <c r="W106" s="125">
        <f t="shared" si="30"/>
        <v>7390.5680000000002</v>
      </c>
      <c r="X106" s="125">
        <f t="shared" si="31"/>
        <v>-249.678</v>
      </c>
      <c r="Y106" s="125">
        <f t="shared" si="32"/>
        <v>14191.619000000001</v>
      </c>
      <c r="Z106" s="125">
        <f t="shared" si="33"/>
        <v>1468.3520000000001</v>
      </c>
      <c r="AA106" s="125">
        <f t="shared" si="36"/>
        <v>952.8849999999984</v>
      </c>
      <c r="AB106" s="146">
        <f t="shared" si="34"/>
        <v>23753.745999999999</v>
      </c>
      <c r="AD106" s="125">
        <f>AD105+W106</f>
        <v>23172.702000000001</v>
      </c>
      <c r="AE106" s="125">
        <f t="shared" ref="AE106:AI116" si="41">AE105+X106</f>
        <v>14.925000000000011</v>
      </c>
      <c r="AF106" s="125">
        <f t="shared" si="41"/>
        <v>22143.668000000001</v>
      </c>
      <c r="AG106" s="125">
        <f t="shared" si="41"/>
        <v>3162.4540000000002</v>
      </c>
      <c r="AH106" s="125">
        <f t="shared" si="41"/>
        <v>2052.1130000000012</v>
      </c>
      <c r="AI106" s="146">
        <f t="shared" si="41"/>
        <v>50545.862000000001</v>
      </c>
    </row>
    <row r="107" spans="10:51" ht="15" hidden="1" customHeight="1">
      <c r="J107" s="65"/>
      <c r="K107" s="65"/>
      <c r="L107" s="65"/>
      <c r="M107" s="65"/>
      <c r="N107" s="65"/>
      <c r="U107" s="167">
        <f t="shared" si="39"/>
        <v>2023</v>
      </c>
      <c r="V107" s="98" t="s">
        <v>219</v>
      </c>
      <c r="W107" s="125">
        <f t="shared" si="30"/>
        <v>6653.88</v>
      </c>
      <c r="X107" s="125">
        <f t="shared" si="31"/>
        <v>-267.09800000000001</v>
      </c>
      <c r="Y107" s="125">
        <f t="shared" si="32"/>
        <v>2812.1660000000002</v>
      </c>
      <c r="Z107" s="125">
        <f t="shared" si="33"/>
        <v>1541.35</v>
      </c>
      <c r="AA107" s="125">
        <f t="shared" si="36"/>
        <v>701.64599999999882</v>
      </c>
      <c r="AB107" s="146">
        <f t="shared" si="34"/>
        <v>11441.944</v>
      </c>
      <c r="AD107" s="125">
        <f t="shared" ref="AD107:AD116" si="42">AD106+W107</f>
        <v>29826.582000000002</v>
      </c>
      <c r="AE107" s="125">
        <f t="shared" si="41"/>
        <v>-252.173</v>
      </c>
      <c r="AF107" s="125">
        <f t="shared" si="41"/>
        <v>24955.834000000003</v>
      </c>
      <c r="AG107" s="125">
        <f t="shared" si="41"/>
        <v>4703.8040000000001</v>
      </c>
      <c r="AH107" s="125">
        <f t="shared" si="41"/>
        <v>2753.759</v>
      </c>
      <c r="AI107" s="146">
        <f t="shared" si="41"/>
        <v>61987.805999999997</v>
      </c>
    </row>
    <row r="108" spans="10:51" ht="15" hidden="1" customHeight="1">
      <c r="J108" s="65"/>
      <c r="K108" s="65"/>
      <c r="L108" s="65"/>
      <c r="M108" s="65"/>
      <c r="N108" s="65"/>
      <c r="U108" s="167">
        <f t="shared" si="39"/>
        <v>2023</v>
      </c>
      <c r="V108" s="98" t="s">
        <v>220</v>
      </c>
      <c r="W108" s="125">
        <f t="shared" si="30"/>
        <v>13489.944</v>
      </c>
      <c r="X108" s="125">
        <f t="shared" si="31"/>
        <v>9068.5049999999992</v>
      </c>
      <c r="Y108" s="125">
        <f t="shared" si="32"/>
        <v>10053.204</v>
      </c>
      <c r="Z108" s="125">
        <f t="shared" si="33"/>
        <v>2074.5810000000001</v>
      </c>
      <c r="AA108" s="125">
        <f t="shared" si="36"/>
        <v>904.34300000000076</v>
      </c>
      <c r="AB108" s="146">
        <f t="shared" si="34"/>
        <v>35590.576999999997</v>
      </c>
      <c r="AD108" s="125">
        <f t="shared" si="42"/>
        <v>43316.525999999998</v>
      </c>
      <c r="AE108" s="125">
        <f t="shared" si="41"/>
        <v>8816.3319999999985</v>
      </c>
      <c r="AF108" s="125">
        <f t="shared" si="41"/>
        <v>35009.038</v>
      </c>
      <c r="AG108" s="125">
        <f t="shared" si="41"/>
        <v>6778.3850000000002</v>
      </c>
      <c r="AH108" s="125">
        <f t="shared" si="41"/>
        <v>3658.1020000000008</v>
      </c>
      <c r="AI108" s="146">
        <f t="shared" si="41"/>
        <v>97578.383000000002</v>
      </c>
    </row>
    <row r="109" spans="10:51" ht="15" hidden="1" customHeight="1">
      <c r="J109" s="65"/>
      <c r="K109" s="65"/>
      <c r="L109" s="65"/>
      <c r="M109" s="65"/>
      <c r="N109" s="65"/>
      <c r="U109" s="167">
        <f t="shared" si="39"/>
        <v>2023</v>
      </c>
      <c r="V109" s="98" t="s">
        <v>221</v>
      </c>
      <c r="W109" s="125">
        <f t="shared" si="30"/>
        <v>4347.0969999999998</v>
      </c>
      <c r="X109" s="125">
        <f t="shared" si="31"/>
        <v>244.63399999999999</v>
      </c>
      <c r="Y109" s="125">
        <f t="shared" si="32"/>
        <v>5036.741</v>
      </c>
      <c r="Z109" s="125">
        <f t="shared" si="33"/>
        <v>1645.8420000000001</v>
      </c>
      <c r="AA109" s="125">
        <f t="shared" si="36"/>
        <v>1006.1610000000001</v>
      </c>
      <c r="AB109" s="146">
        <f t="shared" si="34"/>
        <v>12280.475</v>
      </c>
      <c r="AD109" s="125">
        <f t="shared" si="42"/>
        <v>47663.623</v>
      </c>
      <c r="AE109" s="125">
        <f t="shared" si="41"/>
        <v>9060.9659999999985</v>
      </c>
      <c r="AF109" s="125">
        <f t="shared" si="41"/>
        <v>40045.779000000002</v>
      </c>
      <c r="AG109" s="125">
        <f t="shared" si="41"/>
        <v>8424.2270000000008</v>
      </c>
      <c r="AH109" s="125">
        <f t="shared" si="41"/>
        <v>4664.2630000000008</v>
      </c>
      <c r="AI109" s="146">
        <f t="shared" si="41"/>
        <v>109858.85800000001</v>
      </c>
    </row>
    <row r="110" spans="10:51" ht="15" hidden="1" customHeight="1">
      <c r="J110" s="65"/>
      <c r="K110" s="65"/>
      <c r="L110" s="65"/>
      <c r="M110" s="65"/>
      <c r="N110" s="65"/>
      <c r="U110" s="167">
        <f t="shared" si="39"/>
        <v>2023</v>
      </c>
      <c r="V110" s="98" t="s">
        <v>222</v>
      </c>
      <c r="W110" s="125">
        <f t="shared" si="30"/>
        <v>3410.6729999999998</v>
      </c>
      <c r="X110" s="125">
        <f t="shared" si="31"/>
        <v>234.14400000000001</v>
      </c>
      <c r="Y110" s="125">
        <f t="shared" si="32"/>
        <v>3285.7139999999999</v>
      </c>
      <c r="Z110" s="125">
        <f t="shared" si="33"/>
        <v>1787.2950000000001</v>
      </c>
      <c r="AA110" s="125">
        <f t="shared" si="36"/>
        <v>1032.9159999999993</v>
      </c>
      <c r="AB110" s="146">
        <f t="shared" si="34"/>
        <v>9750.7420000000002</v>
      </c>
      <c r="AD110" s="125">
        <f t="shared" si="42"/>
        <v>51074.296000000002</v>
      </c>
      <c r="AE110" s="125">
        <f t="shared" si="41"/>
        <v>9295.1099999999988</v>
      </c>
      <c r="AF110" s="125">
        <f t="shared" si="41"/>
        <v>43331.493000000002</v>
      </c>
      <c r="AG110" s="125">
        <f t="shared" si="41"/>
        <v>10211.522000000001</v>
      </c>
      <c r="AH110" s="125">
        <f t="shared" si="41"/>
        <v>5697.1790000000001</v>
      </c>
      <c r="AI110" s="146">
        <f t="shared" si="41"/>
        <v>119609.60000000001</v>
      </c>
    </row>
    <row r="111" spans="10:51" ht="15" hidden="1" customHeight="1">
      <c r="J111" s="65"/>
      <c r="K111" s="65"/>
      <c r="L111" s="65"/>
      <c r="M111" s="65"/>
      <c r="N111" s="65"/>
      <c r="U111" s="167">
        <f t="shared" si="39"/>
        <v>2023</v>
      </c>
      <c r="V111" s="98" t="s">
        <v>223</v>
      </c>
      <c r="W111" s="125">
        <f t="shared" si="30"/>
        <v>25217.848999999998</v>
      </c>
      <c r="X111" s="125">
        <f t="shared" si="31"/>
        <v>930.29600000000005</v>
      </c>
      <c r="Y111" s="125">
        <f t="shared" si="32"/>
        <v>11586.56</v>
      </c>
      <c r="Z111" s="125">
        <f t="shared" si="33"/>
        <v>1877.43</v>
      </c>
      <c r="AA111" s="125">
        <f t="shared" si="36"/>
        <v>985.56200000000536</v>
      </c>
      <c r="AB111" s="146">
        <f t="shared" si="34"/>
        <v>40597.697</v>
      </c>
      <c r="AD111" s="125">
        <f t="shared" si="42"/>
        <v>76292.145000000004</v>
      </c>
      <c r="AE111" s="125">
        <f t="shared" si="41"/>
        <v>10225.405999999999</v>
      </c>
      <c r="AF111" s="125">
        <f t="shared" si="41"/>
        <v>54918.053</v>
      </c>
      <c r="AG111" s="125">
        <f t="shared" si="41"/>
        <v>12088.952000000001</v>
      </c>
      <c r="AH111" s="125">
        <f t="shared" si="41"/>
        <v>6682.7410000000054</v>
      </c>
      <c r="AI111" s="146">
        <f t="shared" si="41"/>
        <v>160207.29700000002</v>
      </c>
    </row>
    <row r="112" spans="10:51" ht="15" hidden="1" customHeight="1">
      <c r="J112" s="65"/>
      <c r="K112" s="65"/>
      <c r="L112" s="65"/>
      <c r="M112" s="65"/>
      <c r="N112" s="65"/>
      <c r="U112" s="167">
        <f t="shared" si="39"/>
        <v>2023</v>
      </c>
      <c r="V112" s="98" t="s">
        <v>224</v>
      </c>
      <c r="W112" s="125">
        <f t="shared" si="30"/>
        <v>6334.8280000000004</v>
      </c>
      <c r="X112" s="125">
        <f t="shared" si="31"/>
        <v>8980.0439999999999</v>
      </c>
      <c r="Y112" s="125">
        <f t="shared" si="32"/>
        <v>5888.3329999999996</v>
      </c>
      <c r="Z112" s="125">
        <f t="shared" si="33"/>
        <v>1894.557</v>
      </c>
      <c r="AA112" s="125">
        <f t="shared" si="36"/>
        <v>1648.8919999999998</v>
      </c>
      <c r="AB112" s="146">
        <f t="shared" si="34"/>
        <v>24746.653999999999</v>
      </c>
      <c r="AD112" s="125">
        <f t="shared" si="42"/>
        <v>82626.972999999998</v>
      </c>
      <c r="AE112" s="125">
        <f t="shared" si="41"/>
        <v>19205.449999999997</v>
      </c>
      <c r="AF112" s="125">
        <f t="shared" si="41"/>
        <v>60806.385999999999</v>
      </c>
      <c r="AG112" s="125">
        <f t="shared" si="41"/>
        <v>13983.509000000002</v>
      </c>
      <c r="AH112" s="125">
        <f t="shared" si="41"/>
        <v>8331.6330000000053</v>
      </c>
      <c r="AI112" s="146">
        <f t="shared" si="41"/>
        <v>184953.95100000003</v>
      </c>
    </row>
    <row r="113" spans="10:35" ht="15" hidden="1" customHeight="1">
      <c r="J113" s="65"/>
      <c r="K113" s="65"/>
      <c r="L113" s="65"/>
      <c r="M113" s="65"/>
      <c r="N113" s="65"/>
      <c r="U113" s="167">
        <f t="shared" si="39"/>
        <v>2023</v>
      </c>
      <c r="V113" s="98" t="s">
        <v>225</v>
      </c>
      <c r="W113" s="125">
        <f t="shared" si="30"/>
        <v>5697.24</v>
      </c>
      <c r="X113" s="125">
        <f t="shared" si="31"/>
        <v>-52.902000000000001</v>
      </c>
      <c r="Y113" s="125">
        <f t="shared" si="32"/>
        <v>4084.3829999999998</v>
      </c>
      <c r="Z113" s="125">
        <f t="shared" si="33"/>
        <v>1860.288</v>
      </c>
      <c r="AA113" s="125">
        <f t="shared" si="36"/>
        <v>795.16500000000087</v>
      </c>
      <c r="AB113" s="146">
        <f t="shared" si="34"/>
        <v>12384.174000000001</v>
      </c>
      <c r="AD113" s="125">
        <f t="shared" si="42"/>
        <v>88324.213000000003</v>
      </c>
      <c r="AE113" s="125">
        <f t="shared" si="41"/>
        <v>19152.547999999999</v>
      </c>
      <c r="AF113" s="125">
        <f t="shared" si="41"/>
        <v>64890.769</v>
      </c>
      <c r="AG113" s="125">
        <f t="shared" si="41"/>
        <v>15843.797000000002</v>
      </c>
      <c r="AH113" s="125">
        <f t="shared" si="41"/>
        <v>9126.7980000000061</v>
      </c>
      <c r="AI113" s="146">
        <f t="shared" si="41"/>
        <v>197338.12500000003</v>
      </c>
    </row>
    <row r="114" spans="10:35" ht="15" hidden="1" customHeight="1">
      <c r="J114" s="65"/>
      <c r="K114" s="65"/>
      <c r="L114" s="65"/>
      <c r="M114" s="65"/>
      <c r="N114" s="65"/>
      <c r="U114" s="167">
        <f t="shared" si="39"/>
        <v>2023</v>
      </c>
      <c r="V114" s="98" t="s">
        <v>226</v>
      </c>
      <c r="W114" s="125">
        <f t="shared" si="30"/>
        <v>13238.355</v>
      </c>
      <c r="X114" s="125">
        <f t="shared" si="31"/>
        <v>17254.723000000002</v>
      </c>
      <c r="Y114" s="125">
        <f t="shared" si="32"/>
        <v>12075.714</v>
      </c>
      <c r="Z114" s="125">
        <f t="shared" si="33"/>
        <v>1886.577</v>
      </c>
      <c r="AA114" s="125">
        <f t="shared" si="36"/>
        <v>875.2589999999982</v>
      </c>
      <c r="AB114" s="146">
        <f t="shared" si="34"/>
        <v>45330.627999999997</v>
      </c>
      <c r="AD114" s="125">
        <f t="shared" si="42"/>
        <v>101562.568</v>
      </c>
      <c r="AE114" s="125">
        <f t="shared" si="41"/>
        <v>36407.271000000001</v>
      </c>
      <c r="AF114" s="125">
        <f t="shared" si="41"/>
        <v>76966.483000000007</v>
      </c>
      <c r="AG114" s="125">
        <f t="shared" si="41"/>
        <v>17730.374000000003</v>
      </c>
      <c r="AH114" s="125">
        <f t="shared" si="41"/>
        <v>10002.057000000004</v>
      </c>
      <c r="AI114" s="146">
        <f t="shared" si="41"/>
        <v>242668.75300000003</v>
      </c>
    </row>
    <row r="115" spans="10:35" ht="15" hidden="1" customHeight="1">
      <c r="J115" s="65"/>
      <c r="K115" s="65"/>
      <c r="L115" s="65"/>
      <c r="M115" s="65"/>
      <c r="N115" s="65"/>
      <c r="U115" s="167">
        <f t="shared" si="39"/>
        <v>2023</v>
      </c>
      <c r="V115" s="98" t="s">
        <v>227</v>
      </c>
      <c r="W115" s="125">
        <f t="shared" si="30"/>
        <v>11205.553</v>
      </c>
      <c r="X115" s="125">
        <f t="shared" si="31"/>
        <v>-847.01800000000003</v>
      </c>
      <c r="Y115" s="125">
        <f t="shared" si="32"/>
        <v>4952.04</v>
      </c>
      <c r="Z115" s="125">
        <f t="shared" si="33"/>
        <v>1829.932</v>
      </c>
      <c r="AA115" s="125">
        <f t="shared" si="36"/>
        <v>884.36799999999857</v>
      </c>
      <c r="AB115" s="146">
        <f t="shared" si="34"/>
        <v>18024.875</v>
      </c>
      <c r="AD115" s="125">
        <f t="shared" si="42"/>
        <v>112768.121</v>
      </c>
      <c r="AE115" s="125">
        <f t="shared" si="41"/>
        <v>35560.252999999997</v>
      </c>
      <c r="AF115" s="125">
        <f t="shared" si="41"/>
        <v>81918.523000000001</v>
      </c>
      <c r="AG115" s="125">
        <f t="shared" si="41"/>
        <v>19560.306000000004</v>
      </c>
      <c r="AH115" s="125">
        <f t="shared" si="41"/>
        <v>10886.425000000003</v>
      </c>
      <c r="AI115" s="146">
        <f t="shared" si="41"/>
        <v>260693.62800000003</v>
      </c>
    </row>
    <row r="116" spans="10:35" ht="15" hidden="1" customHeight="1">
      <c r="J116" s="65"/>
      <c r="K116" s="65"/>
      <c r="L116" s="65"/>
      <c r="M116" s="65"/>
      <c r="N116" s="65"/>
      <c r="U116" s="167">
        <f t="shared" si="39"/>
        <v>2023</v>
      </c>
      <c r="V116" s="98" t="s">
        <v>228</v>
      </c>
      <c r="W116" s="125">
        <f t="shared" si="30"/>
        <v>7922.9989999999998</v>
      </c>
      <c r="X116" s="125">
        <f t="shared" si="31"/>
        <v>742.875</v>
      </c>
      <c r="Y116" s="125">
        <f t="shared" si="32"/>
        <v>2897.2689999999998</v>
      </c>
      <c r="Z116" s="125">
        <f t="shared" si="33"/>
        <v>1696.825</v>
      </c>
      <c r="AA116" s="125">
        <f t="shared" si="36"/>
        <v>1030.1409999999996</v>
      </c>
      <c r="AB116" s="146">
        <f t="shared" si="34"/>
        <v>14290.109</v>
      </c>
      <c r="AD116" s="125">
        <f t="shared" si="42"/>
        <v>120691.12</v>
      </c>
      <c r="AE116" s="125">
        <f t="shared" si="41"/>
        <v>36303.127999999997</v>
      </c>
      <c r="AF116" s="125">
        <f t="shared" si="41"/>
        <v>84815.792000000001</v>
      </c>
      <c r="AG116" s="125">
        <f t="shared" si="41"/>
        <v>21257.131000000005</v>
      </c>
      <c r="AH116" s="125">
        <f t="shared" si="41"/>
        <v>11916.566000000003</v>
      </c>
      <c r="AI116" s="146">
        <f t="shared" si="41"/>
        <v>274983.73700000002</v>
      </c>
    </row>
    <row r="117" spans="10:35" ht="15" hidden="1" customHeight="1">
      <c r="J117" s="65"/>
      <c r="K117" s="65"/>
      <c r="L117" s="65"/>
      <c r="M117" s="65"/>
      <c r="N117" s="65"/>
      <c r="R117"/>
      <c r="S117" s="129">
        <f>IF(S118="",IF(V117=" ","",1),2)</f>
        <v>2</v>
      </c>
      <c r="T117" s="2" t="str">
        <f>IF(SUMIFS(Data!$D$8:$D$367,Data!$A$8:$A$367,$U117,Data!$C$8:$C$367,$V105),"NO","SI")</f>
        <v>NO</v>
      </c>
      <c r="U117" s="164">
        <f t="shared" ref="U117:U128" si="43">Año_seleccionado_C.1.2</f>
        <v>2024</v>
      </c>
      <c r="V117" s="165" t="s">
        <v>217</v>
      </c>
      <c r="W117" s="166">
        <f t="shared" si="30"/>
        <v>16828.951000000001</v>
      </c>
      <c r="X117" s="166">
        <f t="shared" si="31"/>
        <v>349.11500000000001</v>
      </c>
      <c r="Y117" s="166">
        <f t="shared" si="32"/>
        <v>7955.3180000000002</v>
      </c>
      <c r="Z117" s="166">
        <f t="shared" si="33"/>
        <v>1653.6990000000001</v>
      </c>
      <c r="AA117" s="166">
        <f t="shared" si="36"/>
        <v>1133.6449999999968</v>
      </c>
      <c r="AB117" s="146">
        <f t="shared" si="34"/>
        <v>27920.727999999999</v>
      </c>
      <c r="AD117" s="166">
        <f>W117</f>
        <v>16828.951000000001</v>
      </c>
      <c r="AE117" s="166">
        <f t="shared" ref="AE117:AI117" si="44">X117</f>
        <v>349.11500000000001</v>
      </c>
      <c r="AF117" s="166">
        <f t="shared" si="44"/>
        <v>7955.3180000000002</v>
      </c>
      <c r="AG117" s="166">
        <f t="shared" si="44"/>
        <v>1653.6990000000001</v>
      </c>
      <c r="AH117" s="166">
        <f t="shared" si="44"/>
        <v>1133.6449999999968</v>
      </c>
      <c r="AI117" s="146">
        <f t="shared" si="44"/>
        <v>27920.727999999999</v>
      </c>
    </row>
    <row r="118" spans="10:35" ht="15" hidden="1" customHeight="1">
      <c r="J118" s="65"/>
      <c r="K118" s="65"/>
      <c r="L118" s="65"/>
      <c r="M118" s="65"/>
      <c r="N118" s="65"/>
      <c r="R118"/>
      <c r="S118" s="129">
        <f t="shared" ref="S118:S127" si="45">IF(S119="",IF(V118=" ","",1),2)</f>
        <v>1</v>
      </c>
      <c r="T118" s="2" t="str">
        <f>IF(SUMIFS(Data!$D$8:$D$367,Data!$A$8:$A$367,$U118,Data!$C$8:$C$367,$V106),"NO","SI")</f>
        <v>NO</v>
      </c>
      <c r="U118" s="167">
        <f t="shared" si="43"/>
        <v>2024</v>
      </c>
      <c r="V118" s="98" t="str">
        <f>IF($T118="SI"," ",V106)</f>
        <v>FEBRUARY</v>
      </c>
      <c r="W118" s="125">
        <f t="shared" si="30"/>
        <v>8219.4590000000007</v>
      </c>
      <c r="X118" s="125">
        <f t="shared" si="31"/>
        <v>-145.52199999999999</v>
      </c>
      <c r="Y118" s="125">
        <f t="shared" si="32"/>
        <v>15151.294</v>
      </c>
      <c r="Z118" s="125">
        <f t="shared" si="33"/>
        <v>1811.721</v>
      </c>
      <c r="AA118" s="125">
        <f t="shared" si="36"/>
        <v>991.48999999999796</v>
      </c>
      <c r="AB118" s="146">
        <f t="shared" si="34"/>
        <v>26028.441999999999</v>
      </c>
      <c r="AD118" s="125">
        <f>AD117+W118</f>
        <v>25048.410000000003</v>
      </c>
      <c r="AE118" s="125">
        <f t="shared" ref="AE118:AI128" si="46">AE117+X118</f>
        <v>203.59300000000002</v>
      </c>
      <c r="AF118" s="125">
        <f t="shared" si="46"/>
        <v>23106.612000000001</v>
      </c>
      <c r="AG118" s="125">
        <f t="shared" si="46"/>
        <v>3465.42</v>
      </c>
      <c r="AH118" s="125">
        <f t="shared" si="46"/>
        <v>2125.1349999999948</v>
      </c>
      <c r="AI118" s="146">
        <f t="shared" si="46"/>
        <v>53949.17</v>
      </c>
    </row>
    <row r="119" spans="10:35" ht="15" hidden="1" customHeight="1">
      <c r="J119" s="65"/>
      <c r="K119" s="65"/>
      <c r="L119" s="65"/>
      <c r="M119" s="65"/>
      <c r="N119" s="65"/>
      <c r="R119"/>
      <c r="S119" s="129" t="str">
        <f t="shared" si="45"/>
        <v/>
      </c>
      <c r="T119" s="2" t="str">
        <f>IF(SUMIFS(Data!$D$8:$D$367,Data!$A$8:$A$367,$U119,Data!$C$8:$C$367,$V107),"NO","SI")</f>
        <v>SI</v>
      </c>
      <c r="U119" s="167">
        <f t="shared" si="43"/>
        <v>2024</v>
      </c>
      <c r="V119" s="98" t="str">
        <f t="shared" ref="V119:V128" si="47">IF($T119="SI"," ",V107)</f>
        <v xml:space="preserve"> </v>
      </c>
      <c r="W119" s="125">
        <f t="shared" si="30"/>
        <v>0</v>
      </c>
      <c r="X119" s="125">
        <f t="shared" si="31"/>
        <v>0</v>
      </c>
      <c r="Y119" s="125">
        <f t="shared" si="32"/>
        <v>0</v>
      </c>
      <c r="Z119" s="125">
        <f t="shared" si="33"/>
        <v>0</v>
      </c>
      <c r="AA119" s="125">
        <f t="shared" si="36"/>
        <v>0</v>
      </c>
      <c r="AB119" s="146">
        <f t="shared" si="34"/>
        <v>0</v>
      </c>
      <c r="AD119" s="125">
        <f t="shared" ref="AD119:AD128" si="48">AD118+W119</f>
        <v>25048.410000000003</v>
      </c>
      <c r="AE119" s="125">
        <f t="shared" si="46"/>
        <v>203.59300000000002</v>
      </c>
      <c r="AF119" s="125">
        <f t="shared" si="46"/>
        <v>23106.612000000001</v>
      </c>
      <c r="AG119" s="125">
        <f t="shared" si="46"/>
        <v>3465.42</v>
      </c>
      <c r="AH119" s="125">
        <f t="shared" si="46"/>
        <v>2125.1349999999948</v>
      </c>
      <c r="AI119" s="146">
        <f t="shared" si="46"/>
        <v>53949.17</v>
      </c>
    </row>
    <row r="120" spans="10:35" ht="15" hidden="1" customHeight="1">
      <c r="J120" s="65"/>
      <c r="K120" s="65"/>
      <c r="L120" s="65"/>
      <c r="M120" s="65"/>
      <c r="N120" s="65"/>
      <c r="R120"/>
      <c r="S120" s="129" t="str">
        <f t="shared" si="45"/>
        <v/>
      </c>
      <c r="T120" s="2" t="str">
        <f>IF(SUMIFS(Data!$D$8:$D$367,Data!$A$8:$A$367,$U120,Data!$C$8:$C$367,$V108),"NO","SI")</f>
        <v>SI</v>
      </c>
      <c r="U120" s="167">
        <f t="shared" si="43"/>
        <v>2024</v>
      </c>
      <c r="V120" s="98" t="str">
        <f t="shared" si="47"/>
        <v xml:space="preserve"> </v>
      </c>
      <c r="W120" s="125">
        <f t="shared" si="30"/>
        <v>0</v>
      </c>
      <c r="X120" s="125">
        <f t="shared" si="31"/>
        <v>0</v>
      </c>
      <c r="Y120" s="125">
        <f t="shared" si="32"/>
        <v>0</v>
      </c>
      <c r="Z120" s="125">
        <f t="shared" si="33"/>
        <v>0</v>
      </c>
      <c r="AA120" s="125">
        <f t="shared" si="36"/>
        <v>0</v>
      </c>
      <c r="AB120" s="146">
        <f t="shared" si="34"/>
        <v>0</v>
      </c>
      <c r="AD120" s="125">
        <f t="shared" si="48"/>
        <v>25048.410000000003</v>
      </c>
      <c r="AE120" s="125">
        <f t="shared" si="46"/>
        <v>203.59300000000002</v>
      </c>
      <c r="AF120" s="125">
        <f t="shared" si="46"/>
        <v>23106.612000000001</v>
      </c>
      <c r="AG120" s="125">
        <f t="shared" si="46"/>
        <v>3465.42</v>
      </c>
      <c r="AH120" s="125">
        <f t="shared" si="46"/>
        <v>2125.1349999999948</v>
      </c>
      <c r="AI120" s="146">
        <f t="shared" si="46"/>
        <v>53949.17</v>
      </c>
    </row>
    <row r="121" spans="10:35" ht="15" hidden="1" customHeight="1">
      <c r="J121" s="65"/>
      <c r="K121" s="65"/>
      <c r="L121" s="65"/>
      <c r="M121" s="65"/>
      <c r="N121" s="65"/>
      <c r="R121"/>
      <c r="S121" s="129" t="str">
        <f t="shared" si="45"/>
        <v/>
      </c>
      <c r="T121" s="2" t="str">
        <f>IF(SUMIFS(Data!$D$8:$D$367,Data!$A$8:$A$367,$U121,Data!$C$8:$C$367,$V109),"NO","SI")</f>
        <v>SI</v>
      </c>
      <c r="U121" s="167">
        <f t="shared" si="43"/>
        <v>2024</v>
      </c>
      <c r="V121" s="98" t="str">
        <f t="shared" si="47"/>
        <v xml:space="preserve"> </v>
      </c>
      <c r="W121" s="125">
        <f t="shared" si="30"/>
        <v>0</v>
      </c>
      <c r="X121" s="125">
        <f t="shared" si="31"/>
        <v>0</v>
      </c>
      <c r="Y121" s="125">
        <f t="shared" si="32"/>
        <v>0</v>
      </c>
      <c r="Z121" s="125">
        <f t="shared" si="33"/>
        <v>0</v>
      </c>
      <c r="AA121" s="125">
        <f t="shared" si="36"/>
        <v>0</v>
      </c>
      <c r="AB121" s="146">
        <f t="shared" si="34"/>
        <v>0</v>
      </c>
      <c r="AD121" s="125">
        <f t="shared" si="48"/>
        <v>25048.410000000003</v>
      </c>
      <c r="AE121" s="125">
        <f t="shared" si="46"/>
        <v>203.59300000000002</v>
      </c>
      <c r="AF121" s="125">
        <f t="shared" si="46"/>
        <v>23106.612000000001</v>
      </c>
      <c r="AG121" s="125">
        <f t="shared" si="46"/>
        <v>3465.42</v>
      </c>
      <c r="AH121" s="125">
        <f t="shared" si="46"/>
        <v>2125.1349999999948</v>
      </c>
      <c r="AI121" s="146">
        <f t="shared" si="46"/>
        <v>53949.17</v>
      </c>
    </row>
    <row r="122" spans="10:35" ht="15" hidden="1" customHeight="1">
      <c r="J122" s="65"/>
      <c r="K122" s="65"/>
      <c r="L122" s="65"/>
      <c r="M122" s="65"/>
      <c r="N122" s="65"/>
      <c r="R122"/>
      <c r="S122" s="129" t="str">
        <f t="shared" si="45"/>
        <v/>
      </c>
      <c r="T122" s="2" t="str">
        <f>IF(SUMIFS(Data!$D$8:$D$367,Data!$A$8:$A$367,$U122,Data!$C$8:$C$367,$V110),"NO","SI")</f>
        <v>SI</v>
      </c>
      <c r="U122" s="167">
        <f t="shared" si="43"/>
        <v>2024</v>
      </c>
      <c r="V122" s="98" t="str">
        <f t="shared" si="47"/>
        <v xml:space="preserve"> </v>
      </c>
      <c r="W122" s="125">
        <f t="shared" si="30"/>
        <v>0</v>
      </c>
      <c r="X122" s="125">
        <f t="shared" si="31"/>
        <v>0</v>
      </c>
      <c r="Y122" s="125">
        <f t="shared" si="32"/>
        <v>0</v>
      </c>
      <c r="Z122" s="125">
        <f t="shared" si="33"/>
        <v>0</v>
      </c>
      <c r="AA122" s="125">
        <f t="shared" si="36"/>
        <v>0</v>
      </c>
      <c r="AB122" s="146">
        <f t="shared" si="34"/>
        <v>0</v>
      </c>
      <c r="AD122" s="125">
        <f t="shared" si="48"/>
        <v>25048.410000000003</v>
      </c>
      <c r="AE122" s="125">
        <f t="shared" si="46"/>
        <v>203.59300000000002</v>
      </c>
      <c r="AF122" s="125">
        <f t="shared" si="46"/>
        <v>23106.612000000001</v>
      </c>
      <c r="AG122" s="125">
        <f t="shared" si="46"/>
        <v>3465.42</v>
      </c>
      <c r="AH122" s="125">
        <f t="shared" si="46"/>
        <v>2125.1349999999948</v>
      </c>
      <c r="AI122" s="146">
        <f t="shared" si="46"/>
        <v>53949.17</v>
      </c>
    </row>
    <row r="123" spans="10:35" ht="15" hidden="1" customHeight="1">
      <c r="J123" s="65"/>
      <c r="K123" s="65"/>
      <c r="L123" s="65"/>
      <c r="M123" s="65"/>
      <c r="N123" s="65"/>
      <c r="R123"/>
      <c r="S123" s="129" t="str">
        <f t="shared" si="45"/>
        <v/>
      </c>
      <c r="T123" s="2" t="str">
        <f>IF(SUMIFS(Data!$D$8:$D$367,Data!$A$8:$A$367,$U123,Data!$C$8:$C$367,$V111),"NO","SI")</f>
        <v>SI</v>
      </c>
      <c r="U123" s="167">
        <f t="shared" si="43"/>
        <v>2024</v>
      </c>
      <c r="V123" s="98" t="str">
        <f t="shared" si="47"/>
        <v xml:space="preserve"> </v>
      </c>
      <c r="W123" s="125">
        <f t="shared" si="30"/>
        <v>0</v>
      </c>
      <c r="X123" s="125">
        <f t="shared" si="31"/>
        <v>0</v>
      </c>
      <c r="Y123" s="125">
        <f t="shared" si="32"/>
        <v>0</v>
      </c>
      <c r="Z123" s="125">
        <f t="shared" si="33"/>
        <v>0</v>
      </c>
      <c r="AA123" s="125">
        <f t="shared" si="36"/>
        <v>0</v>
      </c>
      <c r="AB123" s="146">
        <f t="shared" si="34"/>
        <v>0</v>
      </c>
      <c r="AD123" s="125">
        <f t="shared" si="48"/>
        <v>25048.410000000003</v>
      </c>
      <c r="AE123" s="125">
        <f t="shared" si="46"/>
        <v>203.59300000000002</v>
      </c>
      <c r="AF123" s="125">
        <f t="shared" si="46"/>
        <v>23106.612000000001</v>
      </c>
      <c r="AG123" s="125">
        <f t="shared" si="46"/>
        <v>3465.42</v>
      </c>
      <c r="AH123" s="125">
        <f t="shared" si="46"/>
        <v>2125.1349999999948</v>
      </c>
      <c r="AI123" s="146">
        <f t="shared" si="46"/>
        <v>53949.17</v>
      </c>
    </row>
    <row r="124" spans="10:35" ht="15" hidden="1" customHeight="1">
      <c r="J124" s="65"/>
      <c r="K124" s="65"/>
      <c r="L124" s="65"/>
      <c r="M124" s="65"/>
      <c r="N124" s="65"/>
      <c r="R124"/>
      <c r="S124" s="129" t="str">
        <f t="shared" si="45"/>
        <v/>
      </c>
      <c r="T124" s="2" t="str">
        <f>IF(SUMIFS(Data!$D$8:$D$367,Data!$A$8:$A$367,$U124,Data!$C$8:$C$367,$V112),"NO","SI")</f>
        <v>SI</v>
      </c>
      <c r="U124" s="167">
        <f t="shared" si="43"/>
        <v>2024</v>
      </c>
      <c r="V124" s="98" t="str">
        <f t="shared" si="47"/>
        <v xml:space="preserve"> </v>
      </c>
      <c r="W124" s="125">
        <f t="shared" si="30"/>
        <v>0</v>
      </c>
      <c r="X124" s="125">
        <f t="shared" si="31"/>
        <v>0</v>
      </c>
      <c r="Y124" s="125">
        <f t="shared" si="32"/>
        <v>0</v>
      </c>
      <c r="Z124" s="125">
        <f t="shared" si="33"/>
        <v>0</v>
      </c>
      <c r="AA124" s="125">
        <f t="shared" si="36"/>
        <v>0</v>
      </c>
      <c r="AB124" s="146">
        <f t="shared" si="34"/>
        <v>0</v>
      </c>
      <c r="AD124" s="125">
        <f t="shared" si="48"/>
        <v>25048.410000000003</v>
      </c>
      <c r="AE124" s="125">
        <f t="shared" si="46"/>
        <v>203.59300000000002</v>
      </c>
      <c r="AF124" s="125">
        <f t="shared" si="46"/>
        <v>23106.612000000001</v>
      </c>
      <c r="AG124" s="125">
        <f t="shared" si="46"/>
        <v>3465.42</v>
      </c>
      <c r="AH124" s="125">
        <f t="shared" si="46"/>
        <v>2125.1349999999948</v>
      </c>
      <c r="AI124" s="146">
        <f t="shared" si="46"/>
        <v>53949.17</v>
      </c>
    </row>
    <row r="125" spans="10:35" ht="15" hidden="1" customHeight="1">
      <c r="J125" s="65"/>
      <c r="K125" s="65"/>
      <c r="L125" s="65"/>
      <c r="M125" s="65"/>
      <c r="N125" s="65"/>
      <c r="R125"/>
      <c r="S125" s="129" t="str">
        <f t="shared" si="45"/>
        <v/>
      </c>
      <c r="T125" s="2" t="str">
        <f>IF(SUMIFS(Data!$D$8:$D$367,Data!$A$8:$A$367,$U125,Data!$C$8:$C$367,$V113),"NO","SI")</f>
        <v>SI</v>
      </c>
      <c r="U125" s="167">
        <f t="shared" si="43"/>
        <v>2024</v>
      </c>
      <c r="V125" s="98" t="str">
        <f t="shared" si="47"/>
        <v xml:space="preserve"> </v>
      </c>
      <c r="W125" s="125">
        <f t="shared" si="30"/>
        <v>0</v>
      </c>
      <c r="X125" s="125">
        <f t="shared" si="31"/>
        <v>0</v>
      </c>
      <c r="Y125" s="125">
        <f t="shared" si="32"/>
        <v>0</v>
      </c>
      <c r="Z125" s="125">
        <f t="shared" si="33"/>
        <v>0</v>
      </c>
      <c r="AA125" s="125">
        <f t="shared" si="36"/>
        <v>0</v>
      </c>
      <c r="AB125" s="146">
        <f t="shared" si="34"/>
        <v>0</v>
      </c>
      <c r="AD125" s="125">
        <f t="shared" si="48"/>
        <v>25048.410000000003</v>
      </c>
      <c r="AE125" s="125">
        <f t="shared" si="46"/>
        <v>203.59300000000002</v>
      </c>
      <c r="AF125" s="125">
        <f t="shared" si="46"/>
        <v>23106.612000000001</v>
      </c>
      <c r="AG125" s="125">
        <f t="shared" si="46"/>
        <v>3465.42</v>
      </c>
      <c r="AH125" s="125">
        <f t="shared" si="46"/>
        <v>2125.1349999999948</v>
      </c>
      <c r="AI125" s="146">
        <f t="shared" si="46"/>
        <v>53949.17</v>
      </c>
    </row>
    <row r="126" spans="10:35" ht="15" hidden="1" customHeight="1">
      <c r="J126" s="65"/>
      <c r="K126" s="65"/>
      <c r="L126" s="65"/>
      <c r="M126" s="65"/>
      <c r="N126" s="65"/>
      <c r="R126"/>
      <c r="S126" s="129" t="str">
        <f t="shared" si="45"/>
        <v/>
      </c>
      <c r="T126" s="2" t="str">
        <f>IF(SUMIFS(Data!$D$8:$D$367,Data!$A$8:$A$367,$U126,Data!$C$8:$C$367,$V114),"NO","SI")</f>
        <v>SI</v>
      </c>
      <c r="U126" s="167">
        <f t="shared" si="43"/>
        <v>2024</v>
      </c>
      <c r="V126" s="98" t="str">
        <f>IF($T126="SI"," ",V114)</f>
        <v xml:space="preserve"> </v>
      </c>
      <c r="W126" s="125">
        <f t="shared" si="30"/>
        <v>0</v>
      </c>
      <c r="X126" s="125">
        <f t="shared" si="31"/>
        <v>0</v>
      </c>
      <c r="Y126" s="125">
        <f t="shared" si="32"/>
        <v>0</v>
      </c>
      <c r="Z126" s="125">
        <f t="shared" si="33"/>
        <v>0</v>
      </c>
      <c r="AA126" s="125">
        <f t="shared" si="36"/>
        <v>0</v>
      </c>
      <c r="AB126" s="146">
        <f t="shared" si="34"/>
        <v>0</v>
      </c>
      <c r="AD126" s="125">
        <f t="shared" si="48"/>
        <v>25048.410000000003</v>
      </c>
      <c r="AE126" s="125">
        <f t="shared" si="46"/>
        <v>203.59300000000002</v>
      </c>
      <c r="AF126" s="125">
        <f t="shared" si="46"/>
        <v>23106.612000000001</v>
      </c>
      <c r="AG126" s="125">
        <f t="shared" si="46"/>
        <v>3465.42</v>
      </c>
      <c r="AH126" s="125">
        <f t="shared" si="46"/>
        <v>2125.1349999999948</v>
      </c>
      <c r="AI126" s="146">
        <f t="shared" si="46"/>
        <v>53949.17</v>
      </c>
    </row>
    <row r="127" spans="10:35" ht="15" hidden="1" customHeight="1">
      <c r="J127" s="65"/>
      <c r="K127" s="65"/>
      <c r="L127" s="65"/>
      <c r="M127" s="65"/>
      <c r="N127" s="65"/>
      <c r="R127"/>
      <c r="S127" s="129" t="str">
        <f t="shared" si="45"/>
        <v/>
      </c>
      <c r="T127" s="2" t="str">
        <f>IF(SUMIFS(Data!$D$8:$D$367,Data!$A$8:$A$367,$U127,Data!$C$8:$C$367,$V115),"NO","SI")</f>
        <v>SI</v>
      </c>
      <c r="U127" s="167">
        <f t="shared" si="43"/>
        <v>2024</v>
      </c>
      <c r="V127" s="98" t="str">
        <f>IF($T127="SI"," ",V115)</f>
        <v xml:space="preserve"> </v>
      </c>
      <c r="W127" s="125">
        <f t="shared" si="30"/>
        <v>0</v>
      </c>
      <c r="X127" s="125">
        <f t="shared" si="31"/>
        <v>0</v>
      </c>
      <c r="Y127" s="125">
        <f t="shared" si="32"/>
        <v>0</v>
      </c>
      <c r="Z127" s="125">
        <f t="shared" si="33"/>
        <v>0</v>
      </c>
      <c r="AA127" s="125">
        <f t="shared" si="36"/>
        <v>0</v>
      </c>
      <c r="AB127" s="146">
        <f t="shared" si="34"/>
        <v>0</v>
      </c>
      <c r="AD127" s="125">
        <f t="shared" si="48"/>
        <v>25048.410000000003</v>
      </c>
      <c r="AE127" s="125">
        <f t="shared" si="46"/>
        <v>203.59300000000002</v>
      </c>
      <c r="AF127" s="125">
        <f t="shared" si="46"/>
        <v>23106.612000000001</v>
      </c>
      <c r="AG127" s="125">
        <f t="shared" si="46"/>
        <v>3465.42</v>
      </c>
      <c r="AH127" s="125">
        <f t="shared" si="46"/>
        <v>2125.1349999999948</v>
      </c>
      <c r="AI127" s="146">
        <f t="shared" si="46"/>
        <v>53949.17</v>
      </c>
    </row>
    <row r="128" spans="10:35" ht="15" hidden="1" customHeight="1">
      <c r="J128" s="65"/>
      <c r="K128" s="65"/>
      <c r="L128" s="65"/>
      <c r="M128" s="65"/>
      <c r="N128" s="65"/>
      <c r="R128"/>
      <c r="S128" s="129" t="str">
        <f>IF(V128=" ","",1)</f>
        <v/>
      </c>
      <c r="T128" s="2" t="str">
        <f>IF(SUMIFS(Data!$D$8:$D$367,Data!$A$8:$A$367,$U128,Data!$C$8:$C$367,$V116),"NO","SI")</f>
        <v>SI</v>
      </c>
      <c r="U128" s="167">
        <f t="shared" si="43"/>
        <v>2024</v>
      </c>
      <c r="V128" s="98" t="str">
        <f t="shared" si="47"/>
        <v xml:space="preserve"> </v>
      </c>
      <c r="W128" s="125">
        <f t="shared" si="30"/>
        <v>0</v>
      </c>
      <c r="X128" s="125">
        <f t="shared" si="31"/>
        <v>0</v>
      </c>
      <c r="Y128" s="125">
        <f t="shared" si="32"/>
        <v>0</v>
      </c>
      <c r="Z128" s="125">
        <f t="shared" si="33"/>
        <v>0</v>
      </c>
      <c r="AA128" s="125">
        <f t="shared" si="36"/>
        <v>0</v>
      </c>
      <c r="AB128" s="146">
        <f t="shared" si="34"/>
        <v>0</v>
      </c>
      <c r="AD128" s="125">
        <f t="shared" si="48"/>
        <v>25048.410000000003</v>
      </c>
      <c r="AE128" s="125">
        <f t="shared" si="46"/>
        <v>203.59300000000002</v>
      </c>
      <c r="AF128" s="125">
        <f t="shared" si="46"/>
        <v>23106.612000000001</v>
      </c>
      <c r="AG128" s="125">
        <f t="shared" si="46"/>
        <v>3465.42</v>
      </c>
      <c r="AH128" s="125">
        <f t="shared" si="46"/>
        <v>2125.1349999999948</v>
      </c>
      <c r="AI128" s="146">
        <f t="shared" si="46"/>
        <v>53949.17</v>
      </c>
    </row>
    <row r="129" spans="10:35" ht="15" hidden="1" customHeight="1">
      <c r="J129" s="65"/>
      <c r="K129" s="65"/>
      <c r="L129" s="65"/>
      <c r="M129" s="65"/>
      <c r="N129" s="65"/>
    </row>
    <row r="130" spans="10:35" ht="15" hidden="1" customHeight="1">
      <c r="J130" s="65"/>
      <c r="K130" s="65"/>
      <c r="L130" s="65"/>
      <c r="M130" s="65"/>
      <c r="N130" s="65"/>
      <c r="W130" s="140" t="s">
        <v>107</v>
      </c>
      <c r="AD130" s="168"/>
    </row>
    <row r="131" spans="10:35" ht="15" hidden="1" customHeight="1">
      <c r="J131" s="65"/>
      <c r="K131" s="65"/>
      <c r="L131" s="65"/>
      <c r="M131" s="65"/>
      <c r="N131" s="65"/>
      <c r="U131" s="164">
        <f t="shared" ref="U131:U142" si="49">Año_seleccionado_C.1.2-1</f>
        <v>2023</v>
      </c>
      <c r="V131" s="165" t="s">
        <v>217</v>
      </c>
      <c r="W131" s="169">
        <f>IF(W93=0,"-",IF(ABS((W105-W93)/ABS(W93))*100&gt;=100,"-",IF((W105/W93)&lt;0,"-",((W105-W93)/ABS(W93))*100)))</f>
        <v>10.727496346416549</v>
      </c>
      <c r="X131" s="170">
        <f t="shared" ref="X131:AB131" si="50">IF(X93=0,"-",IF(ABS((X105-X93)/ABS(X93))*100&gt;=100,"-",IF((X105/X93)&lt;0,"-",((X105-X93)/ABS(X93))*100)))</f>
        <v>-52.192247860329225</v>
      </c>
      <c r="Y131" s="170">
        <f t="shared" si="50"/>
        <v>0.10981546017373522</v>
      </c>
      <c r="Z131" s="170">
        <f t="shared" si="50"/>
        <v>-2.1032095963127353</v>
      </c>
      <c r="AA131" s="170">
        <f t="shared" si="50"/>
        <v>9.8530433174934462</v>
      </c>
      <c r="AB131" s="149">
        <f t="shared" si="50"/>
        <v>5.1452094108165509</v>
      </c>
      <c r="AD131" s="169">
        <f>IF(AD93=0,"-",IF(ABS((AD105-AD93)/ABS(AD93))*100&gt;=100,"-",IF((AD105/AD93)&lt;0,"-",((AD105-AD93)/ABS(AD93))*100)))</f>
        <v>10.727496346416549</v>
      </c>
      <c r="AE131" s="170">
        <f t="shared" ref="AE131:AI131" si="51">IF(AE93=0,"-",IF(ABS((AE105-AE93)/ABS(AE93))*100&gt;=100,"-",IF((AE105/AE93)&lt;0,"-",((AE105-AE93)/ABS(AE93))*100)))</f>
        <v>-52.192247860329225</v>
      </c>
      <c r="AF131" s="170">
        <f t="shared" si="51"/>
        <v>0.10981546017373522</v>
      </c>
      <c r="AG131" s="170">
        <f t="shared" si="51"/>
        <v>-2.1032095963127353</v>
      </c>
      <c r="AH131" s="170">
        <f t="shared" si="51"/>
        <v>9.8530433174934462</v>
      </c>
      <c r="AI131" s="149">
        <f t="shared" si="51"/>
        <v>5.1452094108165509</v>
      </c>
    </row>
    <row r="132" spans="10:35" ht="15" hidden="1" customHeight="1">
      <c r="J132" s="65"/>
      <c r="K132" s="65"/>
      <c r="L132" s="65"/>
      <c r="M132" s="65"/>
      <c r="N132" s="65"/>
      <c r="U132" s="167">
        <f t="shared" si="49"/>
        <v>2023</v>
      </c>
      <c r="V132" s="98" t="s">
        <v>218</v>
      </c>
      <c r="W132" s="137">
        <f t="shared" ref="W132:AB147" si="52">IF(W94=0,"-",IF(ABS((W106-W94)/ABS(W94))*100&gt;=100,"-",IF((W106/W94)&lt;0,"-",((W106-W94)/ABS(W94))*100)))</f>
        <v>10.141690343819834</v>
      </c>
      <c r="X132" s="148" t="str">
        <f t="shared" si="52"/>
        <v>-</v>
      </c>
      <c r="Y132" s="148">
        <f t="shared" si="52"/>
        <v>2.5523887897806818</v>
      </c>
      <c r="Z132" s="148">
        <f t="shared" si="52"/>
        <v>-5.1250556481319318</v>
      </c>
      <c r="AA132" s="148">
        <f t="shared" si="52"/>
        <v>9.2133056886023503</v>
      </c>
      <c r="AB132" s="149">
        <f t="shared" si="52"/>
        <v>3.4751404567861672</v>
      </c>
      <c r="AD132" s="137">
        <f t="shared" ref="AD132:AI147" si="53">IF(AD94=0,"-",IF(ABS((AD106-AD94)/ABS(AD94))*100&gt;=100,"-",IF((AD106/AD94)&lt;0,"-",((AD106-AD94)/ABS(AD94))*100)))</f>
        <v>10.539987125048048</v>
      </c>
      <c r="AE132" s="148">
        <f t="shared" si="53"/>
        <v>-97.240362996272395</v>
      </c>
      <c r="AF132" s="148">
        <f t="shared" si="53"/>
        <v>1.6616353105021291</v>
      </c>
      <c r="AG132" s="148">
        <f t="shared" si="53"/>
        <v>-3.5298668250477538</v>
      </c>
      <c r="AH132" s="148">
        <f t="shared" si="53"/>
        <v>9.5550558582567593</v>
      </c>
      <c r="AI132" s="149">
        <f t="shared" si="53"/>
        <v>4.3537060624350525</v>
      </c>
    </row>
    <row r="133" spans="10:35" ht="15" hidden="1" customHeight="1">
      <c r="J133" s="65"/>
      <c r="K133" s="65"/>
      <c r="L133" s="65"/>
      <c r="M133" s="65"/>
      <c r="N133" s="65"/>
      <c r="U133" s="167">
        <f t="shared" si="49"/>
        <v>2023</v>
      </c>
      <c r="V133" s="98" t="s">
        <v>219</v>
      </c>
      <c r="W133" s="137">
        <f t="shared" si="52"/>
        <v>11.515760139251412</v>
      </c>
      <c r="X133" s="148" t="str">
        <f t="shared" si="52"/>
        <v>-</v>
      </c>
      <c r="Y133" s="148">
        <f t="shared" si="52"/>
        <v>1.2877042112595583</v>
      </c>
      <c r="Z133" s="148">
        <f t="shared" si="52"/>
        <v>-1.6602940078717789</v>
      </c>
      <c r="AA133" s="148">
        <f t="shared" si="52"/>
        <v>1.5049700322460295</v>
      </c>
      <c r="AB133" s="149">
        <f t="shared" si="52"/>
        <v>4.0771764875391048</v>
      </c>
      <c r="AD133" s="137">
        <f t="shared" si="53"/>
        <v>10.75618529809957</v>
      </c>
      <c r="AE133" s="148" t="str">
        <f t="shared" si="53"/>
        <v>-</v>
      </c>
      <c r="AF133" s="148">
        <f t="shared" si="53"/>
        <v>1.6193606448108175</v>
      </c>
      <c r="AG133" s="148">
        <f t="shared" si="53"/>
        <v>-2.9251216891732521</v>
      </c>
      <c r="AH133" s="148">
        <f t="shared" si="53"/>
        <v>7.3851075719364836</v>
      </c>
      <c r="AI133" s="149">
        <f t="shared" si="53"/>
        <v>4.3025526542935584</v>
      </c>
    </row>
    <row r="134" spans="10:35" ht="15" hidden="1" customHeight="1">
      <c r="J134" s="65"/>
      <c r="K134" s="65"/>
      <c r="L134" s="65"/>
      <c r="M134" s="65"/>
      <c r="N134" s="65"/>
      <c r="U134" s="167">
        <f t="shared" si="49"/>
        <v>2023</v>
      </c>
      <c r="V134" s="98" t="s">
        <v>220</v>
      </c>
      <c r="W134" s="137">
        <f t="shared" si="52"/>
        <v>9.5678735589612458</v>
      </c>
      <c r="X134" s="148">
        <f t="shared" si="52"/>
        <v>22.020401622291185</v>
      </c>
      <c r="Y134" s="148">
        <f t="shared" si="52"/>
        <v>6.9459296266872359</v>
      </c>
      <c r="Z134" s="148">
        <f t="shared" si="52"/>
        <v>1.1201008383209023</v>
      </c>
      <c r="AA134" s="148">
        <f t="shared" si="52"/>
        <v>-6.9722730274597282</v>
      </c>
      <c r="AB134" s="149">
        <f t="shared" si="52"/>
        <v>10.64003523263764</v>
      </c>
      <c r="AD134" s="137">
        <f t="shared" si="53"/>
        <v>10.383358358880646</v>
      </c>
      <c r="AE134" s="148">
        <f t="shared" si="53"/>
        <v>10.692455932790496</v>
      </c>
      <c r="AF134" s="148">
        <f t="shared" si="53"/>
        <v>3.0938456289054908</v>
      </c>
      <c r="AG134" s="148">
        <f t="shared" si="53"/>
        <v>-1.7218433777580051</v>
      </c>
      <c r="AH134" s="148">
        <f t="shared" si="53"/>
        <v>3.4385136260464186</v>
      </c>
      <c r="AI134" s="149">
        <f t="shared" si="53"/>
        <v>6.5281692363492585</v>
      </c>
    </row>
    <row r="135" spans="10:35" ht="15" hidden="1" customHeight="1">
      <c r="J135" s="65"/>
      <c r="K135" s="65"/>
      <c r="L135" s="65"/>
      <c r="M135" s="65"/>
      <c r="N135" s="65"/>
      <c r="U135" s="167">
        <f t="shared" si="49"/>
        <v>2023</v>
      </c>
      <c r="V135" s="98" t="s">
        <v>221</v>
      </c>
      <c r="W135" s="137">
        <f t="shared" si="52"/>
        <v>6.9075438841125392</v>
      </c>
      <c r="X135" s="148">
        <f t="shared" si="52"/>
        <v>12.314805037394795</v>
      </c>
      <c r="Y135" s="148">
        <f t="shared" si="52"/>
        <v>0.61989195940396369</v>
      </c>
      <c r="Z135" s="148">
        <f t="shared" si="52"/>
        <v>-0.48673069341891456</v>
      </c>
      <c r="AA135" s="148">
        <f t="shared" si="52"/>
        <v>2.3254465852058623</v>
      </c>
      <c r="AB135" s="149">
        <f t="shared" si="52"/>
        <v>2.964258195528942</v>
      </c>
      <c r="AD135" s="137">
        <f t="shared" si="53"/>
        <v>10.057012403216776</v>
      </c>
      <c r="AE135" s="148">
        <f t="shared" si="53"/>
        <v>10.73564134276481</v>
      </c>
      <c r="AF135" s="148">
        <f t="shared" si="53"/>
        <v>2.7760174691962769</v>
      </c>
      <c r="AG135" s="148">
        <f t="shared" si="53"/>
        <v>-1.4829549873202377</v>
      </c>
      <c r="AH135" s="148">
        <f t="shared" si="53"/>
        <v>3.196362489086789</v>
      </c>
      <c r="AI135" s="149">
        <f t="shared" si="53"/>
        <v>6.117579790435788</v>
      </c>
    </row>
    <row r="136" spans="10:35" ht="15" hidden="1" customHeight="1">
      <c r="J136" s="65"/>
      <c r="K136" s="65"/>
      <c r="L136" s="65"/>
      <c r="M136" s="65"/>
      <c r="N136" s="65"/>
      <c r="U136" s="167">
        <f t="shared" si="49"/>
        <v>2023</v>
      </c>
      <c r="V136" s="98" t="s">
        <v>222</v>
      </c>
      <c r="W136" s="137">
        <f t="shared" si="52"/>
        <v>9.4471474587921307</v>
      </c>
      <c r="X136" s="148">
        <f t="shared" si="52"/>
        <v>-13.884720628475597</v>
      </c>
      <c r="Y136" s="148">
        <f t="shared" si="52"/>
        <v>-12.006247403944959</v>
      </c>
      <c r="Z136" s="148">
        <f t="shared" si="52"/>
        <v>7.2450784613981547</v>
      </c>
      <c r="AA136" s="148">
        <f t="shared" si="52"/>
        <v>8.6957345293291972</v>
      </c>
      <c r="AB136" s="149">
        <f t="shared" si="52"/>
        <v>0.12020698149252299</v>
      </c>
      <c r="AD136" s="137">
        <f t="shared" si="53"/>
        <v>10.016074738638507</v>
      </c>
      <c r="AE136" s="148">
        <f t="shared" si="53"/>
        <v>9.9438447315580358</v>
      </c>
      <c r="AF136" s="148">
        <f t="shared" si="53"/>
        <v>1.4832817499227431</v>
      </c>
      <c r="AG136" s="148">
        <f t="shared" si="53"/>
        <v>-5.9358437564551107E-2</v>
      </c>
      <c r="AH136" s="148">
        <f t="shared" si="53"/>
        <v>4.1517339064392402</v>
      </c>
      <c r="AI136" s="149">
        <f t="shared" si="53"/>
        <v>5.6018969805154999</v>
      </c>
    </row>
    <row r="137" spans="10:35" ht="15" hidden="1" customHeight="1">
      <c r="J137" s="65"/>
      <c r="K137" s="65"/>
      <c r="L137" s="65"/>
      <c r="M137" s="65"/>
      <c r="N137" s="65"/>
      <c r="U137" s="167">
        <f t="shared" si="49"/>
        <v>2023</v>
      </c>
      <c r="V137" s="98" t="s">
        <v>223</v>
      </c>
      <c r="W137" s="137">
        <f t="shared" si="52"/>
        <v>8.335467005213081</v>
      </c>
      <c r="X137" s="148">
        <f t="shared" si="52"/>
        <v>1.2123117696400958</v>
      </c>
      <c r="Y137" s="148">
        <f t="shared" si="52"/>
        <v>1.7369341398020475</v>
      </c>
      <c r="Z137" s="148">
        <f t="shared" si="52"/>
        <v>2.8842080689434884</v>
      </c>
      <c r="AA137" s="148">
        <f t="shared" si="52"/>
        <v>6.0419105495113108</v>
      </c>
      <c r="AB137" s="149">
        <f t="shared" si="52"/>
        <v>5.8895565091198909</v>
      </c>
      <c r="AD137" s="137">
        <f t="shared" si="53"/>
        <v>9.454821565250338</v>
      </c>
      <c r="AE137" s="148">
        <f t="shared" si="53"/>
        <v>9.0876484719960953</v>
      </c>
      <c r="AF137" s="148">
        <f t="shared" si="53"/>
        <v>1.5366917655334649</v>
      </c>
      <c r="AG137" s="148">
        <f t="shared" si="53"/>
        <v>0.38668416707455266</v>
      </c>
      <c r="AH137" s="148">
        <f t="shared" si="53"/>
        <v>4.426247491203938</v>
      </c>
      <c r="AI137" s="149">
        <f t="shared" si="53"/>
        <v>5.6746440550994262</v>
      </c>
    </row>
    <row r="138" spans="10:35" ht="15" hidden="1" customHeight="1">
      <c r="J138" s="65"/>
      <c r="K138" s="65"/>
      <c r="L138" s="65"/>
      <c r="M138" s="65"/>
      <c r="N138" s="65"/>
      <c r="U138" s="167">
        <f t="shared" si="49"/>
        <v>2023</v>
      </c>
      <c r="V138" s="98" t="s">
        <v>224</v>
      </c>
      <c r="W138" s="137">
        <f t="shared" si="52"/>
        <v>10.197407446450606</v>
      </c>
      <c r="X138" s="148">
        <f t="shared" si="52"/>
        <v>12.218273219165331</v>
      </c>
      <c r="Y138" s="148">
        <f t="shared" si="52"/>
        <v>-10.094648735472129</v>
      </c>
      <c r="Z138" s="148">
        <f t="shared" si="52"/>
        <v>6.3413339051101305</v>
      </c>
      <c r="AA138" s="148" t="str">
        <f t="shared" si="52"/>
        <v>-</v>
      </c>
      <c r="AB138" s="149">
        <f t="shared" si="52"/>
        <v>8.3468712263647618</v>
      </c>
      <c r="AD138" s="137">
        <f t="shared" si="53"/>
        <v>9.5113995695830926</v>
      </c>
      <c r="AE138" s="148">
        <f t="shared" si="53"/>
        <v>10.529429605539166</v>
      </c>
      <c r="AF138" s="148">
        <f t="shared" si="53"/>
        <v>0.28036302428586957</v>
      </c>
      <c r="AG138" s="148">
        <f t="shared" si="53"/>
        <v>1.1540970837097855</v>
      </c>
      <c r="AH138" s="148">
        <f t="shared" si="53"/>
        <v>16.400736827325431</v>
      </c>
      <c r="AI138" s="149">
        <f t="shared" si="53"/>
        <v>6.0245217011824082</v>
      </c>
    </row>
    <row r="139" spans="10:35" ht="15" hidden="1" customHeight="1">
      <c r="J139" s="65"/>
      <c r="K139" s="65"/>
      <c r="L139" s="65"/>
      <c r="M139" s="65"/>
      <c r="N139" s="65"/>
      <c r="U139" s="167">
        <f t="shared" si="49"/>
        <v>2023</v>
      </c>
      <c r="V139" s="98" t="s">
        <v>225</v>
      </c>
      <c r="W139" s="137">
        <f t="shared" si="52"/>
        <v>10.641487741975579</v>
      </c>
      <c r="X139" s="148">
        <f t="shared" si="52"/>
        <v>2.6642134314627421</v>
      </c>
      <c r="Y139" s="148">
        <f t="shared" si="52"/>
        <v>-0.52783011239982547</v>
      </c>
      <c r="Z139" s="148">
        <f t="shared" si="52"/>
        <v>1.2991510702831006</v>
      </c>
      <c r="AA139" s="148">
        <f t="shared" si="52"/>
        <v>-15.186923364087255</v>
      </c>
      <c r="AB139" s="149">
        <f t="shared" si="52"/>
        <v>3.4171955060248234</v>
      </c>
      <c r="AD139" s="137">
        <f t="shared" si="53"/>
        <v>9.5835974777520736</v>
      </c>
      <c r="AE139" s="148">
        <f t="shared" si="53"/>
        <v>10.570827502436266</v>
      </c>
      <c r="AF139" s="148">
        <f t="shared" si="53"/>
        <v>0.2291062863864845</v>
      </c>
      <c r="AG139" s="148">
        <f t="shared" si="53"/>
        <v>1.1711069649128518</v>
      </c>
      <c r="AH139" s="148">
        <f t="shared" si="53"/>
        <v>12.742424120766849</v>
      </c>
      <c r="AI139" s="149">
        <f t="shared" si="53"/>
        <v>5.8570357484655426</v>
      </c>
    </row>
    <row r="140" spans="10:35" ht="15" hidden="1" customHeight="1">
      <c r="J140" s="65"/>
      <c r="K140" s="65"/>
      <c r="L140" s="65"/>
      <c r="M140" s="65"/>
      <c r="N140" s="65"/>
      <c r="U140" s="167">
        <f t="shared" si="49"/>
        <v>2023</v>
      </c>
      <c r="V140" s="98" t="s">
        <v>226</v>
      </c>
      <c r="W140" s="137">
        <f t="shared" si="52"/>
        <v>8.9570445202446631</v>
      </c>
      <c r="X140" s="148">
        <f t="shared" si="52"/>
        <v>8.6670529746375191</v>
      </c>
      <c r="Y140" s="148">
        <f t="shared" si="52"/>
        <v>-0.14503128314607053</v>
      </c>
      <c r="Z140" s="148">
        <f t="shared" si="52"/>
        <v>5.8075396502688941</v>
      </c>
      <c r="AA140" s="148">
        <f t="shared" si="52"/>
        <v>-6.2211112563511755</v>
      </c>
      <c r="AB140" s="149">
        <f t="shared" si="52"/>
        <v>5.818254285375664</v>
      </c>
      <c r="AD140" s="137">
        <f t="shared" si="53"/>
        <v>9.5015201954468633</v>
      </c>
      <c r="AE140" s="148">
        <f t="shared" si="53"/>
        <v>9.6603127893539273</v>
      </c>
      <c r="AF140" s="148">
        <f t="shared" si="53"/>
        <v>0.17022036880699204</v>
      </c>
      <c r="AG140" s="148">
        <f t="shared" si="53"/>
        <v>1.6450325348968435</v>
      </c>
      <c r="AH140" s="148">
        <f t="shared" si="53"/>
        <v>10.782085834693676</v>
      </c>
      <c r="AI140" s="149">
        <f t="shared" si="53"/>
        <v>5.8497891954869985</v>
      </c>
    </row>
    <row r="141" spans="10:35" ht="15" hidden="1" customHeight="1">
      <c r="J141" s="65"/>
      <c r="K141" s="65"/>
      <c r="L141" s="65"/>
      <c r="M141" s="65"/>
      <c r="N141" s="65"/>
      <c r="U141" s="167">
        <f t="shared" si="49"/>
        <v>2023</v>
      </c>
      <c r="V141" s="98" t="s">
        <v>227</v>
      </c>
      <c r="W141" s="137">
        <f t="shared" si="52"/>
        <v>11.403706910864528</v>
      </c>
      <c r="X141" s="148">
        <f t="shared" si="52"/>
        <v>9.3017777330423552</v>
      </c>
      <c r="Y141" s="148">
        <f t="shared" si="52"/>
        <v>-8.4926860339568453</v>
      </c>
      <c r="Z141" s="148">
        <f t="shared" si="52"/>
        <v>11.62328243203841</v>
      </c>
      <c r="AA141" s="148">
        <f t="shared" si="52"/>
        <v>-12.518238391480462</v>
      </c>
      <c r="AB141" s="149">
        <f t="shared" si="52"/>
        <v>4.8777602679675871</v>
      </c>
      <c r="AD141" s="137">
        <f t="shared" si="53"/>
        <v>9.6876252146881505</v>
      </c>
      <c r="AE141" s="148">
        <f t="shared" si="53"/>
        <v>10.209136464562537</v>
      </c>
      <c r="AF141" s="148">
        <f t="shared" si="53"/>
        <v>-0.39977348321330214</v>
      </c>
      <c r="AG141" s="148">
        <f t="shared" si="53"/>
        <v>2.5022525513281622</v>
      </c>
      <c r="AH141" s="148">
        <f t="shared" si="53"/>
        <v>8.4358848803685138</v>
      </c>
      <c r="AI141" s="149">
        <f t="shared" si="53"/>
        <v>5.7820017275389946</v>
      </c>
    </row>
    <row r="142" spans="10:35" ht="15" hidden="1" customHeight="1">
      <c r="J142" s="65"/>
      <c r="K142" s="65"/>
      <c r="L142" s="65"/>
      <c r="M142" s="65"/>
      <c r="N142" s="65"/>
      <c r="U142" s="167">
        <f t="shared" si="49"/>
        <v>2023</v>
      </c>
      <c r="V142" s="98" t="s">
        <v>228</v>
      </c>
      <c r="W142" s="137">
        <f t="shared" si="52"/>
        <v>9.7243968758110171</v>
      </c>
      <c r="X142" s="148" t="str">
        <f t="shared" si="52"/>
        <v>-</v>
      </c>
      <c r="Y142" s="148">
        <f t="shared" si="52"/>
        <v>31.562542712988229</v>
      </c>
      <c r="Z142" s="148">
        <f t="shared" si="52"/>
        <v>3.3865795619539645</v>
      </c>
      <c r="AA142" s="148">
        <f t="shared" si="52"/>
        <v>16.140666556178878</v>
      </c>
      <c r="AB142" s="149">
        <f t="shared" si="52"/>
        <v>20.540369328150721</v>
      </c>
      <c r="AD142" s="137">
        <f t="shared" si="53"/>
        <v>9.6900384046990311</v>
      </c>
      <c r="AE142" s="148">
        <f t="shared" si="53"/>
        <v>12.847911529886883</v>
      </c>
      <c r="AF142" s="148">
        <f t="shared" si="53"/>
        <v>0.43371114283947376</v>
      </c>
      <c r="AG142" s="148">
        <f t="shared" si="53"/>
        <v>2.5722869116937805</v>
      </c>
      <c r="AH142" s="148">
        <f t="shared" si="53"/>
        <v>9.0613345687416729</v>
      </c>
      <c r="AI142" s="149">
        <f t="shared" si="53"/>
        <v>6.4593596066026535</v>
      </c>
    </row>
    <row r="143" spans="10:35" ht="15" hidden="1" customHeight="1">
      <c r="J143" s="65"/>
      <c r="K143" s="65"/>
      <c r="L143" s="65"/>
      <c r="M143" s="65"/>
      <c r="N143" s="65"/>
      <c r="U143" s="164">
        <f t="shared" ref="U143:U154" si="54">Año_seleccionado_C.1.2</f>
        <v>2024</v>
      </c>
      <c r="V143" s="165" t="s">
        <v>217</v>
      </c>
      <c r="W143" s="169">
        <f t="shared" si="52"/>
        <v>6.6329242927477425</v>
      </c>
      <c r="X143" s="170">
        <f t="shared" si="52"/>
        <v>31.939169246002503</v>
      </c>
      <c r="Y143" s="170">
        <f t="shared" si="52"/>
        <v>4.110890161768662E-2</v>
      </c>
      <c r="Z143" s="170">
        <f t="shared" si="52"/>
        <v>-2.3849213329539789</v>
      </c>
      <c r="AA143" s="170">
        <f t="shared" si="52"/>
        <v>3.1310155854830768</v>
      </c>
      <c r="AB143" s="149">
        <f t="shared" si="52"/>
        <v>4.2124780289843375</v>
      </c>
      <c r="AD143" s="169">
        <f t="shared" si="53"/>
        <v>6.6329242927477425</v>
      </c>
      <c r="AE143" s="170">
        <f t="shared" si="53"/>
        <v>31.939169246002503</v>
      </c>
      <c r="AF143" s="170">
        <f t="shared" si="53"/>
        <v>4.110890161768662E-2</v>
      </c>
      <c r="AG143" s="170">
        <f t="shared" si="53"/>
        <v>-2.3849213329539789</v>
      </c>
      <c r="AH143" s="170">
        <f t="shared" si="53"/>
        <v>3.1310155854830768</v>
      </c>
      <c r="AI143" s="149">
        <f t="shared" si="53"/>
        <v>4.2124780289843375</v>
      </c>
    </row>
    <row r="144" spans="10:35" ht="15" hidden="1" customHeight="1">
      <c r="J144" s="65"/>
      <c r="K144" s="65"/>
      <c r="L144" s="65"/>
      <c r="M144" s="65"/>
      <c r="N144" s="65"/>
      <c r="U144" s="167">
        <f t="shared" si="54"/>
        <v>2024</v>
      </c>
      <c r="V144" s="98" t="s">
        <v>218</v>
      </c>
      <c r="W144" s="137">
        <f t="shared" si="52"/>
        <v>11.21552497724127</v>
      </c>
      <c r="X144" s="148">
        <f t="shared" si="52"/>
        <v>41.716130375924195</v>
      </c>
      <c r="Y144" s="148">
        <f t="shared" si="52"/>
        <v>6.7622658133649107</v>
      </c>
      <c r="Z144" s="148">
        <f t="shared" si="52"/>
        <v>23.384651636664771</v>
      </c>
      <c r="AA144" s="148">
        <f t="shared" si="52"/>
        <v>4.0513808067080115</v>
      </c>
      <c r="AB144" s="149">
        <f t="shared" si="52"/>
        <v>9.576156956464887</v>
      </c>
      <c r="AD144" s="137">
        <f t="shared" si="53"/>
        <v>8.0944725392835171</v>
      </c>
      <c r="AE144" s="148" t="str">
        <f t="shared" si="53"/>
        <v>-</v>
      </c>
      <c r="AF144" s="148">
        <f t="shared" si="53"/>
        <v>4.3486201111757969</v>
      </c>
      <c r="AG144" s="148">
        <f t="shared" si="53"/>
        <v>9.5800919159614608</v>
      </c>
      <c r="AH144" s="148">
        <f t="shared" si="53"/>
        <v>3.5583810443183941</v>
      </c>
      <c r="AI144" s="149">
        <f t="shared" si="53"/>
        <v>6.7331090327433678</v>
      </c>
    </row>
    <row r="145" spans="3:35" ht="15" hidden="1" customHeight="1">
      <c r="J145" s="65"/>
      <c r="K145" s="65"/>
      <c r="L145" s="65"/>
      <c r="M145" s="65"/>
      <c r="N145" s="65"/>
      <c r="U145" s="167">
        <f t="shared" si="54"/>
        <v>2024</v>
      </c>
      <c r="V145" s="98" t="s">
        <v>219</v>
      </c>
      <c r="W145" s="137" t="str">
        <f t="shared" si="52"/>
        <v>-</v>
      </c>
      <c r="X145" s="148" t="str">
        <f t="shared" si="52"/>
        <v>-</v>
      </c>
      <c r="Y145" s="148" t="str">
        <f t="shared" si="52"/>
        <v>-</v>
      </c>
      <c r="Z145" s="148" t="str">
        <f t="shared" si="52"/>
        <v>-</v>
      </c>
      <c r="AA145" s="148" t="str">
        <f t="shared" si="52"/>
        <v>-</v>
      </c>
      <c r="AB145" s="149" t="str">
        <f t="shared" si="52"/>
        <v>-</v>
      </c>
      <c r="AD145" s="137">
        <f t="shared" si="53"/>
        <v>-16.019844312030116</v>
      </c>
      <c r="AE145" s="148" t="str">
        <f t="shared" si="53"/>
        <v>-</v>
      </c>
      <c r="AF145" s="148">
        <f t="shared" si="53"/>
        <v>-7.4099787648852029</v>
      </c>
      <c r="AG145" s="148">
        <f t="shared" si="53"/>
        <v>-26.327287446500748</v>
      </c>
      <c r="AH145" s="148">
        <f t="shared" si="53"/>
        <v>-22.827850948467361</v>
      </c>
      <c r="AI145" s="149">
        <f t="shared" si="53"/>
        <v>-12.968092466444126</v>
      </c>
    </row>
    <row r="146" spans="3:35" ht="15" hidden="1" customHeight="1">
      <c r="J146" s="65"/>
      <c r="K146" s="65"/>
      <c r="L146" s="65"/>
      <c r="M146" s="65"/>
      <c r="N146" s="65"/>
      <c r="U146" s="167">
        <f t="shared" si="54"/>
        <v>2024</v>
      </c>
      <c r="V146" s="98" t="s">
        <v>220</v>
      </c>
      <c r="W146" s="137" t="str">
        <f t="shared" si="52"/>
        <v>-</v>
      </c>
      <c r="X146" s="148" t="str">
        <f t="shared" si="52"/>
        <v>-</v>
      </c>
      <c r="Y146" s="148" t="str">
        <f t="shared" si="52"/>
        <v>-</v>
      </c>
      <c r="Z146" s="148" t="str">
        <f t="shared" si="52"/>
        <v>-</v>
      </c>
      <c r="AA146" s="148" t="str">
        <f t="shared" si="52"/>
        <v>-</v>
      </c>
      <c r="AB146" s="149" t="str">
        <f t="shared" si="52"/>
        <v>-</v>
      </c>
      <c r="AD146" s="137">
        <f t="shared" si="53"/>
        <v>-42.173548266543804</v>
      </c>
      <c r="AE146" s="148">
        <f t="shared" si="53"/>
        <v>-97.690728978899614</v>
      </c>
      <c r="AF146" s="148">
        <f t="shared" si="53"/>
        <v>-33.998152134314566</v>
      </c>
      <c r="AG146" s="148">
        <f t="shared" si="53"/>
        <v>-48.87543271738032</v>
      </c>
      <c r="AH146" s="148">
        <f t="shared" si="53"/>
        <v>-41.906075883067388</v>
      </c>
      <c r="AI146" s="149">
        <f t="shared" si="53"/>
        <v>-44.711965559011162</v>
      </c>
    </row>
    <row r="147" spans="3:35" ht="15" hidden="1" customHeight="1">
      <c r="J147" s="65"/>
      <c r="K147" s="65"/>
      <c r="L147" s="65"/>
      <c r="M147" s="65"/>
      <c r="N147" s="65"/>
      <c r="U147" s="167">
        <f t="shared" si="54"/>
        <v>2024</v>
      </c>
      <c r="V147" s="98" t="s">
        <v>221</v>
      </c>
      <c r="W147" s="137" t="str">
        <f t="shared" si="52"/>
        <v>-</v>
      </c>
      <c r="X147" s="148" t="str">
        <f t="shared" si="52"/>
        <v>-</v>
      </c>
      <c r="Y147" s="148" t="str">
        <f t="shared" si="52"/>
        <v>-</v>
      </c>
      <c r="Z147" s="148" t="str">
        <f t="shared" si="52"/>
        <v>-</v>
      </c>
      <c r="AA147" s="148" t="str">
        <f t="shared" si="52"/>
        <v>-</v>
      </c>
      <c r="AB147" s="149" t="str">
        <f t="shared" si="52"/>
        <v>-</v>
      </c>
      <c r="AD147" s="137">
        <f t="shared" si="53"/>
        <v>-47.447532471461507</v>
      </c>
      <c r="AE147" s="148">
        <f t="shared" si="53"/>
        <v>-97.753076217259832</v>
      </c>
      <c r="AF147" s="148">
        <f t="shared" si="53"/>
        <v>-42.299506771987133</v>
      </c>
      <c r="AG147" s="148">
        <f t="shared" si="53"/>
        <v>-58.863644106456306</v>
      </c>
      <c r="AH147" s="148">
        <f t="shared" si="53"/>
        <v>-54.43792513415314</v>
      </c>
      <c r="AI147" s="149">
        <f t="shared" si="53"/>
        <v>-50.89228945015978</v>
      </c>
    </row>
    <row r="148" spans="3:35" ht="15" hidden="1" customHeight="1">
      <c r="J148" s="65"/>
      <c r="K148" s="65"/>
      <c r="L148" s="65"/>
      <c r="M148" s="65"/>
      <c r="N148" s="65"/>
      <c r="U148" s="167">
        <f t="shared" si="54"/>
        <v>2024</v>
      </c>
      <c r="V148" s="98" t="s">
        <v>222</v>
      </c>
      <c r="W148" s="137" t="str">
        <f t="shared" ref="W148:AB154" si="55">IF(W110=0,"-",IF(ABS((W122-W110)/ABS(W110))*100&gt;=100,"-",IF((W122/W110)&lt;0,"-",((W122-W110)/ABS(W110))*100)))</f>
        <v>-</v>
      </c>
      <c r="X148" s="148" t="str">
        <f t="shared" si="55"/>
        <v>-</v>
      </c>
      <c r="Y148" s="148" t="str">
        <f t="shared" si="55"/>
        <v>-</v>
      </c>
      <c r="Z148" s="148" t="str">
        <f t="shared" si="55"/>
        <v>-</v>
      </c>
      <c r="AA148" s="148" t="str">
        <f t="shared" si="55"/>
        <v>-</v>
      </c>
      <c r="AB148" s="149" t="str">
        <f t="shared" si="55"/>
        <v>-</v>
      </c>
      <c r="AD148" s="137">
        <f t="shared" ref="AD148:AI154" si="56">IF(AD110=0,"-",IF(ABS((AD122-AD110)/ABS(AD110))*100&gt;=100,"-",IF((AD122/AD110)&lt;0,"-",((AD122-AD110)/ABS(AD110))*100)))</f>
        <v>-50.956915784017852</v>
      </c>
      <c r="AE148" s="148">
        <f t="shared" si="56"/>
        <v>-97.809676270641219</v>
      </c>
      <c r="AF148" s="148">
        <f t="shared" si="56"/>
        <v>-46.674784549888457</v>
      </c>
      <c r="AG148" s="148">
        <f t="shared" si="56"/>
        <v>-66.063628908599526</v>
      </c>
      <c r="AH148" s="148">
        <f t="shared" si="56"/>
        <v>-62.698468838700791</v>
      </c>
      <c r="AI148" s="149">
        <f t="shared" si="56"/>
        <v>-54.895618746321375</v>
      </c>
    </row>
    <row r="149" spans="3:35" ht="15" hidden="1" customHeight="1">
      <c r="J149" s="65"/>
      <c r="K149" s="65"/>
      <c r="L149" s="65"/>
      <c r="M149" s="65"/>
      <c r="N149" s="65"/>
      <c r="U149" s="167">
        <f t="shared" si="54"/>
        <v>2024</v>
      </c>
      <c r="V149" s="98" t="s">
        <v>223</v>
      </c>
      <c r="W149" s="137" t="str">
        <f t="shared" si="55"/>
        <v>-</v>
      </c>
      <c r="X149" s="148" t="str">
        <f t="shared" si="55"/>
        <v>-</v>
      </c>
      <c r="Y149" s="148" t="str">
        <f t="shared" si="55"/>
        <v>-</v>
      </c>
      <c r="Z149" s="148" t="str">
        <f t="shared" si="55"/>
        <v>-</v>
      </c>
      <c r="AA149" s="148" t="str">
        <f t="shared" si="55"/>
        <v>-</v>
      </c>
      <c r="AB149" s="149" t="str">
        <f t="shared" si="55"/>
        <v>-</v>
      </c>
      <c r="AD149" s="137">
        <f t="shared" si="56"/>
        <v>-67.167773300907967</v>
      </c>
      <c r="AE149" s="148">
        <f t="shared" si="56"/>
        <v>-98.00894947349768</v>
      </c>
      <c r="AF149" s="148">
        <f t="shared" si="56"/>
        <v>-57.925289157647299</v>
      </c>
      <c r="AG149" s="148">
        <f t="shared" si="56"/>
        <v>-71.333991565191084</v>
      </c>
      <c r="AH149" s="148">
        <f t="shared" si="56"/>
        <v>-68.199650412907019</v>
      </c>
      <c r="AI149" s="149">
        <f t="shared" si="56"/>
        <v>-66.32539777510884</v>
      </c>
    </row>
    <row r="150" spans="3:35" ht="15" hidden="1" customHeight="1">
      <c r="J150" s="65"/>
      <c r="K150" s="65"/>
      <c r="L150" s="65"/>
      <c r="M150" s="65"/>
      <c r="N150" s="65"/>
      <c r="U150" s="167">
        <f t="shared" si="54"/>
        <v>2024</v>
      </c>
      <c r="V150" s="98" t="s">
        <v>224</v>
      </c>
      <c r="W150" s="137" t="str">
        <f t="shared" si="55"/>
        <v>-</v>
      </c>
      <c r="X150" s="148" t="str">
        <f t="shared" si="55"/>
        <v>-</v>
      </c>
      <c r="Y150" s="148" t="str">
        <f t="shared" si="55"/>
        <v>-</v>
      </c>
      <c r="Z150" s="148" t="str">
        <f t="shared" si="55"/>
        <v>-</v>
      </c>
      <c r="AA150" s="148" t="str">
        <f t="shared" si="55"/>
        <v>-</v>
      </c>
      <c r="AB150" s="149" t="str">
        <f t="shared" si="55"/>
        <v>-</v>
      </c>
      <c r="AD150" s="137">
        <f t="shared" si="56"/>
        <v>-69.684947795437196</v>
      </c>
      <c r="AE150" s="148">
        <f t="shared" si="56"/>
        <v>-98.939920699593074</v>
      </c>
      <c r="AF150" s="148">
        <f t="shared" si="56"/>
        <v>-61.999695229379356</v>
      </c>
      <c r="AG150" s="148">
        <f t="shared" si="56"/>
        <v>-75.21780834839096</v>
      </c>
      <c r="AH150" s="148">
        <f t="shared" si="56"/>
        <v>-74.493175587546972</v>
      </c>
      <c r="AI150" s="149">
        <f t="shared" si="56"/>
        <v>-70.8310259346663</v>
      </c>
    </row>
    <row r="151" spans="3:35" ht="13.2" hidden="1">
      <c r="J151" s="65"/>
      <c r="K151" s="65"/>
      <c r="L151" s="65"/>
      <c r="M151" s="65"/>
      <c r="N151" s="65"/>
      <c r="U151" s="167">
        <f t="shared" si="54"/>
        <v>2024</v>
      </c>
      <c r="V151" s="98" t="s">
        <v>225</v>
      </c>
      <c r="W151" s="137" t="str">
        <f t="shared" si="55"/>
        <v>-</v>
      </c>
      <c r="X151" s="148" t="str">
        <f t="shared" si="55"/>
        <v>-</v>
      </c>
      <c r="Y151" s="148" t="str">
        <f t="shared" si="55"/>
        <v>-</v>
      </c>
      <c r="Z151" s="148" t="str">
        <f t="shared" si="55"/>
        <v>-</v>
      </c>
      <c r="AA151" s="148" t="str">
        <f t="shared" si="55"/>
        <v>-</v>
      </c>
      <c r="AB151" s="149" t="str">
        <f t="shared" si="55"/>
        <v>-</v>
      </c>
      <c r="AD151" s="137">
        <f t="shared" si="56"/>
        <v>-71.640381330088957</v>
      </c>
      <c r="AE151" s="148">
        <f t="shared" si="56"/>
        <v>-98.936992613202165</v>
      </c>
      <c r="AF151" s="148">
        <f t="shared" si="56"/>
        <v>-64.391526936597103</v>
      </c>
      <c r="AG151" s="148">
        <f t="shared" si="56"/>
        <v>-78.127591511050028</v>
      </c>
      <c r="AH151" s="148">
        <f t="shared" si="56"/>
        <v>-76.715437330814225</v>
      </c>
      <c r="AI151" s="149">
        <f t="shared" si="56"/>
        <v>-72.661557415729987</v>
      </c>
    </row>
    <row r="152" spans="3:35" ht="13.2" hidden="1">
      <c r="J152" s="65"/>
      <c r="K152" s="65"/>
      <c r="L152" s="65"/>
      <c r="M152" s="65"/>
      <c r="N152" s="65"/>
      <c r="U152" s="167">
        <f t="shared" si="54"/>
        <v>2024</v>
      </c>
      <c r="V152" s="98" t="s">
        <v>226</v>
      </c>
      <c r="W152" s="137" t="str">
        <f t="shared" si="55"/>
        <v>-</v>
      </c>
      <c r="X152" s="148" t="str">
        <f t="shared" si="55"/>
        <v>-</v>
      </c>
      <c r="Y152" s="148" t="str">
        <f t="shared" si="55"/>
        <v>-</v>
      </c>
      <c r="Z152" s="148" t="str">
        <f t="shared" si="55"/>
        <v>-</v>
      </c>
      <c r="AA152" s="148" t="str">
        <f t="shared" si="55"/>
        <v>-</v>
      </c>
      <c r="AB152" s="149" t="str">
        <f t="shared" si="55"/>
        <v>-</v>
      </c>
      <c r="AD152" s="137">
        <f t="shared" si="56"/>
        <v>-75.336966666695545</v>
      </c>
      <c r="AE152" s="148">
        <f t="shared" si="56"/>
        <v>-99.440790275107403</v>
      </c>
      <c r="AF152" s="148">
        <f t="shared" si="56"/>
        <v>-69.978344989467686</v>
      </c>
      <c r="AG152" s="148">
        <f t="shared" si="56"/>
        <v>-80.454896213695221</v>
      </c>
      <c r="AH152" s="148">
        <f t="shared" si="56"/>
        <v>-78.753020503682464</v>
      </c>
      <c r="AI152" s="149">
        <f t="shared" si="56"/>
        <v>-77.768390312699225</v>
      </c>
    </row>
    <row r="153" spans="3:35" ht="13.2" hidden="1">
      <c r="J153" s="65"/>
      <c r="K153" s="65"/>
      <c r="L153" s="65"/>
      <c r="M153" s="65"/>
      <c r="N153" s="65"/>
      <c r="U153" s="167">
        <f t="shared" si="54"/>
        <v>2024</v>
      </c>
      <c r="V153" s="98" t="s">
        <v>227</v>
      </c>
      <c r="W153" s="137" t="str">
        <f t="shared" si="55"/>
        <v>-</v>
      </c>
      <c r="X153" s="148" t="str">
        <f t="shared" si="55"/>
        <v>-</v>
      </c>
      <c r="Y153" s="148" t="str">
        <f t="shared" si="55"/>
        <v>-</v>
      </c>
      <c r="Z153" s="148" t="str">
        <f t="shared" si="55"/>
        <v>-</v>
      </c>
      <c r="AA153" s="148" t="str">
        <f t="shared" si="55"/>
        <v>-</v>
      </c>
      <c r="AB153" s="149" t="str">
        <f t="shared" si="55"/>
        <v>-</v>
      </c>
      <c r="AD153" s="137">
        <f t="shared" si="56"/>
        <v>-77.787685227104205</v>
      </c>
      <c r="AE153" s="148">
        <f t="shared" si="56"/>
        <v>-99.427470327615495</v>
      </c>
      <c r="AF153" s="148">
        <f t="shared" si="56"/>
        <v>-71.793177960496195</v>
      </c>
      <c r="AG153" s="148">
        <f t="shared" si="56"/>
        <v>-82.283405995795775</v>
      </c>
      <c r="AH153" s="148">
        <f t="shared" si="56"/>
        <v>-80.479036965762461</v>
      </c>
      <c r="AI153" s="149">
        <f t="shared" si="56"/>
        <v>-79.305527943322033</v>
      </c>
    </row>
    <row r="154" spans="3:35" ht="13.2" hidden="1">
      <c r="J154" s="65"/>
      <c r="K154" s="65"/>
      <c r="L154" s="65"/>
      <c r="M154" s="65"/>
      <c r="N154" s="65"/>
      <c r="U154" s="167">
        <f t="shared" si="54"/>
        <v>2024</v>
      </c>
      <c r="V154" s="98" t="s">
        <v>228</v>
      </c>
      <c r="W154" s="137" t="str">
        <f t="shared" si="55"/>
        <v>-</v>
      </c>
      <c r="X154" s="148" t="str">
        <f t="shared" si="55"/>
        <v>-</v>
      </c>
      <c r="Y154" s="148" t="str">
        <f t="shared" si="55"/>
        <v>-</v>
      </c>
      <c r="Z154" s="148" t="str">
        <f t="shared" si="55"/>
        <v>-</v>
      </c>
      <c r="AA154" s="148" t="str">
        <f t="shared" si="55"/>
        <v>-</v>
      </c>
      <c r="AB154" s="149" t="str">
        <f t="shared" si="55"/>
        <v>-</v>
      </c>
      <c r="AD154" s="137">
        <f t="shared" si="56"/>
        <v>-79.245855038879412</v>
      </c>
      <c r="AE154" s="148">
        <f t="shared" si="56"/>
        <v>-99.439186066831482</v>
      </c>
      <c r="AF154" s="148">
        <f t="shared" si="56"/>
        <v>-72.756710212645302</v>
      </c>
      <c r="AG154" s="148">
        <f t="shared" si="56"/>
        <v>-83.697611874339955</v>
      </c>
      <c r="AH154" s="148">
        <f t="shared" si="56"/>
        <v>-82.166548651683755</v>
      </c>
      <c r="AI154" s="149">
        <f t="shared" si="56"/>
        <v>-80.38095976563153</v>
      </c>
    </row>
    <row r="155" spans="3:35" ht="13.2" hidden="1">
      <c r="C155" s="137"/>
      <c r="J155" s="65"/>
      <c r="K155" s="65"/>
      <c r="L155" s="65"/>
      <c r="M155" s="65"/>
      <c r="N155" s="65"/>
    </row>
    <row r="156" spans="3:35" ht="13.2" hidden="1">
      <c r="J156" s="65"/>
      <c r="K156" s="65"/>
      <c r="L156" s="65"/>
      <c r="M156" s="65"/>
      <c r="N156" s="65"/>
      <c r="W156" s="137"/>
      <c r="X156" s="137"/>
      <c r="Y156" s="137"/>
      <c r="Z156" s="137"/>
      <c r="AA156" s="137"/>
      <c r="AB156"/>
    </row>
    <row r="157" spans="3:35" ht="13.2" hidden="1">
      <c r="J157" s="65"/>
      <c r="K157" s="65"/>
      <c r="L157" s="65"/>
      <c r="M157" s="65"/>
      <c r="N157" s="65"/>
      <c r="W157" s="137"/>
      <c r="X157" s="137"/>
      <c r="Y157" s="137"/>
      <c r="Z157" s="137"/>
      <c r="AA157" s="137"/>
      <c r="AB157"/>
    </row>
    <row r="158" spans="3:35" ht="13.2" hidden="1">
      <c r="J158" s="65"/>
      <c r="K158" s="65"/>
      <c r="L158" s="65"/>
      <c r="M158" s="65"/>
      <c r="N158" s="65"/>
      <c r="W158" s="137"/>
      <c r="X158" s="137"/>
      <c r="Y158" s="137"/>
      <c r="Z158" s="137"/>
      <c r="AA158" s="137"/>
      <c r="AB158"/>
    </row>
    <row r="159" spans="3:35" ht="13.2" hidden="1">
      <c r="J159" s="65"/>
      <c r="K159" s="65"/>
      <c r="L159" s="65"/>
      <c r="M159" s="65"/>
      <c r="N159" s="65"/>
      <c r="W159" s="137"/>
      <c r="X159" s="137"/>
      <c r="Y159" s="137"/>
      <c r="Z159" s="137"/>
      <c r="AA159" s="137"/>
      <c r="AB159"/>
    </row>
    <row r="160" spans="3:35" ht="13.2" hidden="1">
      <c r="J160" s="65"/>
      <c r="K160" s="65"/>
      <c r="L160" s="65"/>
      <c r="M160" s="65"/>
      <c r="N160" s="65"/>
      <c r="W160" s="137"/>
      <c r="X160" s="137"/>
      <c r="Y160" s="137"/>
      <c r="Z160" s="137"/>
      <c r="AA160" s="137"/>
      <c r="AB160"/>
    </row>
    <row r="161" spans="10:28" ht="13.2" hidden="1">
      <c r="J161" s="65"/>
      <c r="K161" s="65"/>
      <c r="L161" s="65"/>
      <c r="M161" s="65"/>
      <c r="N161" s="65"/>
      <c r="W161" s="137"/>
      <c r="X161" s="137"/>
      <c r="Y161" s="137"/>
      <c r="Z161" s="137"/>
      <c r="AA161" s="137"/>
      <c r="AB161"/>
    </row>
    <row r="162" spans="10:28" ht="13.2" hidden="1">
      <c r="J162" s="65"/>
      <c r="K162" s="65"/>
      <c r="L162" s="65"/>
      <c r="M162" s="65"/>
      <c r="N162" s="65"/>
      <c r="W162" s="137"/>
      <c r="X162" s="137"/>
      <c r="Y162" s="137"/>
      <c r="Z162" s="137"/>
      <c r="AA162" s="137"/>
      <c r="AB162"/>
    </row>
    <row r="163" spans="10:28" ht="13.2" hidden="1">
      <c r="J163" s="65"/>
      <c r="K163" s="65"/>
      <c r="L163" s="65"/>
      <c r="M163" s="65"/>
      <c r="N163" s="65"/>
      <c r="W163" s="137"/>
      <c r="X163" s="137"/>
      <c r="Y163" s="137"/>
      <c r="Z163" s="137"/>
      <c r="AA163" s="137"/>
      <c r="AB163"/>
    </row>
    <row r="164" spans="10:28" ht="13.2" hidden="1">
      <c r="J164" s="65"/>
      <c r="K164" s="65"/>
      <c r="L164" s="65"/>
      <c r="M164" s="65"/>
      <c r="N164" s="65"/>
      <c r="W164" s="137"/>
      <c r="X164" s="137"/>
      <c r="Y164" s="137"/>
      <c r="Z164" s="137"/>
      <c r="AA164" s="137"/>
      <c r="AB164"/>
    </row>
    <row r="165" spans="10:28" ht="13.2" hidden="1">
      <c r="J165" s="65"/>
      <c r="K165" s="65"/>
      <c r="L165" s="65"/>
      <c r="M165" s="65"/>
      <c r="N165" s="65"/>
      <c r="W165" s="137"/>
      <c r="X165" s="137"/>
      <c r="Y165" s="137"/>
      <c r="Z165" s="137"/>
      <c r="AA165" s="137"/>
      <c r="AB165"/>
    </row>
    <row r="166" spans="10:28" ht="13.2" hidden="1">
      <c r="J166" s="65"/>
      <c r="K166" s="65"/>
      <c r="L166" s="65"/>
      <c r="M166" s="65"/>
      <c r="N166" s="65"/>
      <c r="W166" s="137"/>
      <c r="X166" s="137"/>
      <c r="Y166" s="137"/>
      <c r="Z166" s="137"/>
      <c r="AA166" s="137"/>
      <c r="AB166"/>
    </row>
    <row r="167" spans="10:28" ht="13.2" hidden="1">
      <c r="J167" s="65"/>
      <c r="K167" s="65"/>
      <c r="L167" s="65"/>
      <c r="M167" s="65"/>
      <c r="N167" s="65"/>
      <c r="W167" s="137"/>
      <c r="X167" s="137"/>
      <c r="Y167" s="137"/>
      <c r="Z167" s="137"/>
      <c r="AA167" s="137"/>
      <c r="AB167"/>
    </row>
    <row r="168" spans="10:28" ht="12.6" hidden="1">
      <c r="J168" s="65"/>
      <c r="K168" s="65"/>
      <c r="L168" s="65"/>
      <c r="M168" s="65"/>
      <c r="N168" s="65"/>
    </row>
    <row r="169" spans="10:28" ht="12.6" hidden="1">
      <c r="J169" s="65"/>
      <c r="K169" s="65"/>
      <c r="L169" s="65"/>
      <c r="M169" s="65"/>
      <c r="N169" s="65"/>
    </row>
    <row r="170" spans="10:28" ht="12.6" hidden="1">
      <c r="J170" s="65"/>
      <c r="K170" s="65"/>
      <c r="L170" s="65"/>
      <c r="M170" s="65"/>
      <c r="N170" s="65"/>
    </row>
    <row r="171" spans="10:28" ht="12.6" hidden="1">
      <c r="J171" s="65"/>
      <c r="K171" s="65"/>
      <c r="L171" s="65"/>
      <c r="M171" s="65"/>
      <c r="N171" s="65"/>
    </row>
    <row r="172" spans="10:28" ht="12.6" hidden="1">
      <c r="J172" s="65"/>
      <c r="K172" s="65"/>
      <c r="L172" s="65"/>
      <c r="M172" s="65"/>
      <c r="N172" s="65"/>
    </row>
    <row r="173" spans="10:28" ht="12.6" hidden="1">
      <c r="J173" s="65"/>
      <c r="K173" s="65"/>
      <c r="L173" s="65"/>
      <c r="M173" s="65"/>
      <c r="N173" s="65"/>
    </row>
    <row r="174" spans="10:28" ht="12.6" hidden="1">
      <c r="J174" s="65"/>
      <c r="K174" s="65"/>
      <c r="L174" s="65"/>
      <c r="M174" s="65"/>
      <c r="N174" s="65"/>
    </row>
    <row r="175" spans="10:28" ht="12.6" hidden="1">
      <c r="J175" s="65"/>
      <c r="K175" s="65"/>
      <c r="L175" s="65"/>
      <c r="M175" s="65"/>
      <c r="N175" s="65"/>
    </row>
    <row r="176" spans="10:28" ht="12.6" hidden="1">
      <c r="J176" s="65"/>
      <c r="K176" s="65"/>
      <c r="L176" s="65"/>
      <c r="M176" s="65"/>
      <c r="N176" s="65"/>
    </row>
    <row r="177" spans="10:14" ht="12.6" hidden="1">
      <c r="J177" s="65"/>
      <c r="K177" s="65"/>
      <c r="L177" s="65"/>
      <c r="M177" s="65"/>
      <c r="N177" s="65"/>
    </row>
    <row r="178" spans="10:14" ht="12.6" hidden="1">
      <c r="J178" s="65"/>
      <c r="K178" s="65"/>
      <c r="L178" s="65"/>
      <c r="M178" s="65"/>
      <c r="N178" s="65"/>
    </row>
    <row r="179" spans="10:14" ht="12.6" hidden="1">
      <c r="J179" s="65"/>
      <c r="K179" s="65"/>
      <c r="L179" s="65"/>
      <c r="M179" s="65"/>
      <c r="N179" s="65"/>
    </row>
    <row r="180" spans="10:14" ht="12.6" hidden="1">
      <c r="J180" s="65"/>
      <c r="K180" s="65"/>
      <c r="L180" s="65"/>
      <c r="M180" s="65"/>
      <c r="N180" s="65"/>
    </row>
    <row r="181" spans="10:14" ht="12.6" hidden="1">
      <c r="J181" s="65"/>
      <c r="K181" s="65"/>
      <c r="L181" s="65"/>
      <c r="M181" s="65"/>
      <c r="N181" s="65"/>
    </row>
    <row r="182" spans="10:14" ht="12.6" hidden="1">
      <c r="J182" s="65"/>
      <c r="K182" s="65"/>
      <c r="L182" s="65"/>
      <c r="M182" s="65"/>
      <c r="N182" s="65"/>
    </row>
    <row r="183" spans="10:14" ht="12.6" hidden="1">
      <c r="J183" s="65"/>
      <c r="K183" s="65"/>
      <c r="L183" s="65"/>
      <c r="M183" s="65"/>
      <c r="N183" s="65"/>
    </row>
    <row r="184" spans="10:14" ht="12.6" hidden="1">
      <c r="J184" s="65"/>
      <c r="K184" s="65"/>
      <c r="L184" s="65"/>
      <c r="M184" s="65"/>
      <c r="N184" s="65"/>
    </row>
    <row r="185" spans="10:14" ht="12.6" hidden="1">
      <c r="J185" s="65"/>
      <c r="K185" s="65"/>
      <c r="L185" s="65"/>
      <c r="M185" s="65"/>
      <c r="N185" s="65"/>
    </row>
    <row r="186" spans="10:14" ht="12.6" hidden="1">
      <c r="J186" s="65"/>
      <c r="K186" s="65"/>
      <c r="L186" s="65"/>
      <c r="M186" s="65"/>
      <c r="N186" s="65"/>
    </row>
    <row r="187" spans="10:14" ht="12.6" hidden="1">
      <c r="J187" s="65"/>
      <c r="K187" s="65"/>
      <c r="L187" s="65"/>
      <c r="M187" s="65"/>
      <c r="N187" s="65"/>
    </row>
    <row r="188" spans="10:14" ht="12.6" hidden="1">
      <c r="J188" s="65"/>
      <c r="K188" s="65"/>
      <c r="L188" s="65"/>
      <c r="M188" s="65"/>
      <c r="N188" s="65"/>
    </row>
    <row r="189" spans="10:14" ht="12.6" hidden="1">
      <c r="J189" s="65"/>
      <c r="K189" s="65"/>
      <c r="L189" s="65"/>
      <c r="M189" s="65"/>
      <c r="N189" s="65"/>
    </row>
    <row r="190" spans="10:14" ht="12.6" hidden="1">
      <c r="J190" s="65"/>
      <c r="K190" s="65"/>
      <c r="L190" s="65"/>
      <c r="M190" s="65"/>
      <c r="N190" s="65"/>
    </row>
    <row r="191" spans="10:14" ht="12.6" hidden="1">
      <c r="J191" s="65"/>
      <c r="K191" s="65"/>
      <c r="L191" s="65"/>
      <c r="M191" s="65"/>
      <c r="N191" s="65"/>
    </row>
    <row r="192" spans="10:14" ht="12.6" hidden="1">
      <c r="J192" s="65"/>
      <c r="K192" s="65"/>
      <c r="L192" s="65"/>
      <c r="M192" s="65"/>
      <c r="N192" s="65"/>
    </row>
    <row r="193" spans="10:14" ht="12.6" hidden="1">
      <c r="J193" s="65"/>
      <c r="K193" s="65"/>
      <c r="L193" s="65"/>
      <c r="M193" s="65"/>
      <c r="N193" s="65"/>
    </row>
    <row r="194" spans="10:14" ht="12.6" hidden="1">
      <c r="J194" s="65"/>
      <c r="K194" s="65"/>
      <c r="L194" s="65"/>
      <c r="M194" s="65"/>
      <c r="N194" s="65"/>
    </row>
    <row r="195" spans="10:14" ht="12.6" hidden="1">
      <c r="J195" s="65"/>
      <c r="K195" s="65"/>
      <c r="L195" s="65"/>
      <c r="M195" s="65"/>
      <c r="N195" s="65"/>
    </row>
    <row r="196" spans="10:14" ht="12.6" hidden="1">
      <c r="J196" s="65"/>
      <c r="K196" s="65"/>
      <c r="L196" s="65"/>
      <c r="M196" s="65"/>
      <c r="N196" s="65"/>
    </row>
    <row r="197" spans="10:14" ht="12.6" hidden="1">
      <c r="J197" s="65"/>
      <c r="K197" s="65"/>
      <c r="L197" s="65"/>
      <c r="M197" s="65"/>
      <c r="N197" s="65"/>
    </row>
    <row r="198" spans="10:14" ht="12.6" hidden="1">
      <c r="J198" s="65"/>
      <c r="K198" s="65"/>
      <c r="L198" s="65"/>
      <c r="M198" s="65"/>
      <c r="N198" s="65"/>
    </row>
    <row r="199" spans="10:14" ht="12.6" hidden="1">
      <c r="J199" s="65"/>
      <c r="K199" s="65"/>
      <c r="L199" s="65"/>
      <c r="M199" s="65"/>
      <c r="N199" s="65"/>
    </row>
    <row r="200" spans="10:14" ht="12.6" hidden="1">
      <c r="J200" s="65"/>
      <c r="K200" s="65"/>
      <c r="L200" s="65"/>
      <c r="M200" s="65"/>
      <c r="N200" s="65"/>
    </row>
    <row r="201" spans="10:14" ht="12.6" hidden="1">
      <c r="J201" s="65"/>
      <c r="K201" s="65"/>
      <c r="L201" s="65"/>
      <c r="M201" s="65"/>
      <c r="N201" s="65"/>
    </row>
    <row r="202" spans="10:14" ht="12.6" hidden="1">
      <c r="J202" s="65"/>
      <c r="K202" s="65"/>
      <c r="L202" s="65"/>
      <c r="M202" s="65"/>
      <c r="N202" s="65"/>
    </row>
    <row r="203" spans="10:14" ht="12.6" hidden="1">
      <c r="J203" s="65"/>
      <c r="K203" s="65"/>
      <c r="L203" s="65"/>
      <c r="M203" s="65"/>
      <c r="N203" s="65"/>
    </row>
    <row r="204" spans="10:14" ht="12.6" hidden="1">
      <c r="J204" s="65"/>
      <c r="K204" s="65"/>
      <c r="L204" s="65"/>
      <c r="M204" s="65"/>
      <c r="N204" s="65"/>
    </row>
    <row r="205" spans="10:14" ht="12.6" hidden="1">
      <c r="J205" s="65"/>
      <c r="K205" s="65"/>
      <c r="L205" s="65"/>
      <c r="M205" s="65"/>
      <c r="N205" s="65"/>
    </row>
    <row r="206" spans="10:14" ht="12.6" hidden="1">
      <c r="J206" s="65"/>
      <c r="K206" s="65"/>
      <c r="L206" s="65"/>
      <c r="M206" s="65"/>
      <c r="N206" s="65"/>
    </row>
    <row r="207" spans="10:14" ht="12.6" hidden="1">
      <c r="J207" s="65"/>
      <c r="K207" s="65"/>
      <c r="L207" s="65"/>
      <c r="M207" s="65"/>
      <c r="N207" s="65"/>
    </row>
    <row r="208" spans="10:14" ht="12.6" hidden="1">
      <c r="J208" s="65"/>
      <c r="K208" s="65"/>
      <c r="L208" s="65"/>
      <c r="M208" s="65"/>
      <c r="N208" s="65"/>
    </row>
    <row r="209" spans="10:14" ht="12.6" hidden="1">
      <c r="J209" s="65"/>
      <c r="K209" s="65"/>
      <c r="L209" s="65"/>
      <c r="M209" s="65"/>
      <c r="N209" s="65"/>
    </row>
    <row r="210" spans="10:14" ht="12.6" hidden="1">
      <c r="J210" s="65"/>
      <c r="K210" s="65"/>
      <c r="L210" s="65"/>
      <c r="M210" s="65"/>
      <c r="N210" s="65"/>
    </row>
    <row r="211" spans="10:14" ht="12.6" hidden="1">
      <c r="J211" s="65"/>
      <c r="K211" s="65"/>
      <c r="L211" s="65"/>
      <c r="M211" s="65"/>
      <c r="N211" s="65"/>
    </row>
    <row r="212" spans="10:14" ht="12.6" hidden="1">
      <c r="J212" s="65"/>
      <c r="K212" s="65"/>
      <c r="L212" s="65"/>
      <c r="M212" s="65"/>
      <c r="N212" s="65"/>
    </row>
    <row r="213" spans="10:14" ht="12.6" hidden="1">
      <c r="J213" s="65"/>
      <c r="K213" s="65"/>
      <c r="L213" s="65"/>
      <c r="M213" s="65"/>
      <c r="N213" s="65"/>
    </row>
    <row r="214" spans="10:14" ht="12.6" hidden="1">
      <c r="J214" s="65"/>
      <c r="K214" s="65"/>
      <c r="L214" s="65"/>
      <c r="M214" s="65"/>
      <c r="N214" s="65"/>
    </row>
    <row r="215" spans="10:14" ht="12.6" hidden="1">
      <c r="J215" s="65"/>
      <c r="K215" s="65"/>
      <c r="L215" s="65"/>
      <c r="M215" s="65"/>
      <c r="N215" s="65"/>
    </row>
    <row r="216" spans="10:14" ht="12.6" hidden="1">
      <c r="J216" s="65"/>
      <c r="K216" s="65"/>
      <c r="L216" s="65"/>
      <c r="M216" s="65"/>
      <c r="N216" s="65"/>
    </row>
    <row r="217" spans="10:14" ht="12.6" hidden="1">
      <c r="J217" s="65"/>
      <c r="K217" s="65"/>
      <c r="L217" s="65"/>
      <c r="M217" s="65"/>
      <c r="N217" s="65"/>
    </row>
    <row r="218" spans="10:14" ht="12.6" hidden="1">
      <c r="J218" s="65"/>
      <c r="K218" s="65"/>
      <c r="L218" s="65"/>
      <c r="M218" s="65"/>
      <c r="N218" s="65"/>
    </row>
    <row r="219" spans="10:14" ht="12.6" hidden="1">
      <c r="J219" s="65"/>
      <c r="K219" s="65"/>
      <c r="L219" s="65"/>
      <c r="M219" s="65"/>
      <c r="N219" s="65"/>
    </row>
    <row r="220" spans="10:14" ht="12.6" hidden="1">
      <c r="J220" s="65"/>
      <c r="K220" s="65"/>
      <c r="L220" s="65"/>
      <c r="M220" s="65"/>
      <c r="N220" s="65"/>
    </row>
    <row r="221" spans="10:14" ht="12.6" hidden="1">
      <c r="J221" s="65"/>
      <c r="K221" s="65"/>
      <c r="L221" s="65"/>
      <c r="M221" s="65"/>
      <c r="N221" s="65"/>
    </row>
    <row r="222" spans="10:14" ht="12.6" hidden="1">
      <c r="J222" s="65"/>
      <c r="K222" s="65"/>
      <c r="L222" s="65"/>
      <c r="M222" s="65"/>
      <c r="N222" s="65"/>
    </row>
    <row r="223" spans="10:14" ht="12.6" hidden="1">
      <c r="J223" s="65"/>
      <c r="K223" s="65"/>
      <c r="L223" s="65"/>
      <c r="M223" s="65"/>
      <c r="N223" s="65"/>
    </row>
    <row r="224" spans="10:14" ht="12.6" hidden="1">
      <c r="J224" s="65"/>
      <c r="K224" s="65"/>
      <c r="L224" s="65"/>
      <c r="M224" s="65"/>
      <c r="N224" s="65"/>
    </row>
    <row r="225" spans="10:14" ht="12.6" hidden="1">
      <c r="J225" s="65"/>
      <c r="K225" s="65"/>
      <c r="L225" s="65"/>
      <c r="M225" s="65"/>
      <c r="N225" s="65"/>
    </row>
    <row r="226" spans="10:14" ht="12.6" hidden="1">
      <c r="J226" s="65"/>
      <c r="K226" s="65"/>
      <c r="L226" s="65"/>
      <c r="M226" s="65"/>
      <c r="N226" s="65"/>
    </row>
    <row r="227" spans="10:14" ht="12.6" hidden="1">
      <c r="J227" s="65"/>
      <c r="K227" s="65"/>
      <c r="L227" s="65"/>
      <c r="M227" s="65"/>
      <c r="N227" s="65"/>
    </row>
    <row r="228" spans="10:14" ht="12.6" hidden="1">
      <c r="J228" s="65"/>
      <c r="K228" s="65"/>
      <c r="L228" s="65"/>
      <c r="M228" s="65"/>
      <c r="N228" s="65"/>
    </row>
    <row r="229" spans="10:14" ht="12.6" hidden="1">
      <c r="J229" s="65"/>
      <c r="K229" s="65"/>
      <c r="L229" s="65"/>
      <c r="M229" s="65"/>
      <c r="N229" s="65"/>
    </row>
    <row r="230" spans="10:14" ht="12.6" hidden="1">
      <c r="J230" s="65"/>
      <c r="K230" s="65"/>
      <c r="L230" s="65"/>
      <c r="M230" s="65"/>
      <c r="N230" s="65"/>
    </row>
    <row r="231" spans="10:14" ht="12.6" hidden="1">
      <c r="J231" s="65"/>
      <c r="K231" s="65"/>
      <c r="L231" s="65"/>
      <c r="M231" s="65"/>
      <c r="N231" s="65"/>
    </row>
    <row r="232" spans="10:14" ht="12.6" hidden="1">
      <c r="J232" s="65"/>
      <c r="K232" s="65"/>
      <c r="L232" s="65"/>
      <c r="M232" s="65"/>
      <c r="N232" s="65"/>
    </row>
    <row r="233" spans="10:14" ht="12.6" hidden="1">
      <c r="J233" s="65"/>
      <c r="K233" s="65"/>
      <c r="L233" s="65"/>
      <c r="M233" s="65"/>
      <c r="N233" s="65"/>
    </row>
    <row r="234" spans="10:14" ht="12.6" hidden="1">
      <c r="J234" s="65"/>
      <c r="K234" s="65"/>
      <c r="L234" s="65"/>
      <c r="M234" s="65"/>
      <c r="N234" s="65"/>
    </row>
    <row r="235" spans="10:14" ht="12.6" hidden="1">
      <c r="J235" s="65"/>
      <c r="K235" s="65"/>
      <c r="L235" s="65"/>
      <c r="M235" s="65"/>
      <c r="N235" s="65"/>
    </row>
    <row r="236" spans="10:14" ht="12.6" hidden="1">
      <c r="J236" s="65"/>
      <c r="K236" s="65"/>
      <c r="L236" s="65"/>
      <c r="M236" s="65"/>
      <c r="N236" s="65"/>
    </row>
    <row r="237" spans="10:14" ht="12.6" hidden="1">
      <c r="J237" s="65"/>
      <c r="K237" s="65"/>
      <c r="L237" s="65"/>
      <c r="M237" s="65"/>
      <c r="N237" s="65"/>
    </row>
    <row r="238" spans="10:14" ht="12.6" hidden="1">
      <c r="J238" s="65"/>
      <c r="K238" s="65"/>
      <c r="L238" s="65"/>
      <c r="M238" s="65"/>
      <c r="N238" s="65"/>
    </row>
    <row r="239" spans="10:14" ht="12.6" hidden="1">
      <c r="J239" s="65"/>
      <c r="K239" s="65"/>
      <c r="L239" s="65"/>
      <c r="M239" s="65"/>
      <c r="N239" s="65"/>
    </row>
    <row r="240" spans="10:14" ht="12.6" hidden="1">
      <c r="J240" s="65"/>
      <c r="K240" s="65"/>
      <c r="L240" s="65"/>
      <c r="M240" s="65"/>
      <c r="N240" s="65"/>
    </row>
    <row r="241" spans="10:14" ht="12.6" hidden="1">
      <c r="J241" s="65"/>
      <c r="K241" s="65"/>
      <c r="L241" s="65"/>
      <c r="M241" s="65"/>
      <c r="N241" s="65"/>
    </row>
    <row r="242" spans="10:14" ht="12.6" hidden="1">
      <c r="J242" s="65"/>
      <c r="K242" s="65"/>
      <c r="L242" s="65"/>
      <c r="M242" s="65"/>
      <c r="N242" s="65"/>
    </row>
    <row r="243" spans="10:14" ht="12.6" hidden="1">
      <c r="J243" s="65"/>
      <c r="K243" s="65"/>
      <c r="L243" s="65"/>
      <c r="M243" s="65"/>
      <c r="N243" s="65"/>
    </row>
    <row r="244" spans="10:14" ht="12.6" hidden="1">
      <c r="J244" s="65"/>
      <c r="K244" s="65"/>
      <c r="L244" s="65"/>
      <c r="M244" s="65"/>
      <c r="N244" s="65"/>
    </row>
    <row r="245" spans="10:14" ht="12.6" hidden="1">
      <c r="J245" s="65"/>
      <c r="K245" s="65"/>
      <c r="L245" s="65"/>
      <c r="M245" s="65"/>
      <c r="N245" s="65"/>
    </row>
    <row r="246" spans="10:14" ht="12.6" hidden="1">
      <c r="J246" s="65"/>
      <c r="K246" s="65"/>
      <c r="L246" s="65"/>
      <c r="M246" s="65"/>
      <c r="N246" s="65"/>
    </row>
    <row r="247" spans="10:14" ht="12.6" hidden="1">
      <c r="J247" s="65"/>
      <c r="K247" s="65"/>
      <c r="L247" s="65"/>
      <c r="M247" s="65"/>
      <c r="N247" s="65"/>
    </row>
    <row r="248" spans="10:14" ht="12.6" hidden="1">
      <c r="J248" s="65"/>
      <c r="K248" s="65"/>
      <c r="L248" s="65"/>
      <c r="M248" s="65"/>
      <c r="N248" s="65"/>
    </row>
    <row r="249" spans="10:14" ht="12.6" hidden="1">
      <c r="J249" s="65"/>
      <c r="K249" s="65"/>
      <c r="L249" s="65"/>
      <c r="M249" s="65"/>
      <c r="N249" s="65"/>
    </row>
    <row r="250" spans="10:14" ht="12.6" hidden="1">
      <c r="J250" s="65"/>
      <c r="K250" s="65"/>
      <c r="L250" s="65"/>
      <c r="M250" s="65"/>
      <c r="N250" s="65"/>
    </row>
    <row r="251" spans="10:14" ht="12.6" hidden="1">
      <c r="J251" s="65"/>
      <c r="K251" s="65"/>
      <c r="L251" s="65"/>
      <c r="M251" s="65"/>
      <c r="N251" s="65"/>
    </row>
    <row r="252" spans="10:14" ht="12.6" hidden="1">
      <c r="J252" s="65"/>
      <c r="K252" s="65"/>
      <c r="L252" s="65"/>
      <c r="M252" s="65"/>
      <c r="N252" s="65"/>
    </row>
    <row r="253" spans="10:14" ht="12.6" hidden="1">
      <c r="J253" s="65"/>
      <c r="K253" s="65"/>
      <c r="L253" s="65"/>
      <c r="M253" s="65"/>
      <c r="N253" s="65"/>
    </row>
    <row r="254" spans="10:14" ht="12.6" hidden="1">
      <c r="J254" s="65"/>
      <c r="K254" s="65"/>
      <c r="L254" s="65"/>
      <c r="M254" s="65"/>
      <c r="N254" s="65"/>
    </row>
    <row r="255" spans="10:14" ht="12.6" hidden="1">
      <c r="J255" s="65"/>
      <c r="K255" s="65"/>
      <c r="L255" s="65"/>
      <c r="M255" s="65"/>
      <c r="N255" s="65"/>
    </row>
    <row r="256" spans="10:14" ht="12.6" hidden="1">
      <c r="J256" s="65"/>
      <c r="K256" s="65"/>
      <c r="L256" s="65"/>
      <c r="M256" s="65"/>
      <c r="N256" s="65"/>
    </row>
    <row r="257" spans="10:14" ht="12.6" hidden="1">
      <c r="J257" s="65"/>
      <c r="K257" s="65"/>
      <c r="L257" s="65"/>
      <c r="M257" s="65"/>
      <c r="N257" s="65"/>
    </row>
    <row r="258" spans="10:14" ht="12.6" hidden="1">
      <c r="J258" s="65"/>
      <c r="K258" s="65"/>
      <c r="L258" s="65"/>
      <c r="M258" s="65"/>
      <c r="N258" s="65"/>
    </row>
    <row r="259" spans="10:14" ht="12.6" hidden="1">
      <c r="J259" s="65"/>
      <c r="K259" s="65"/>
      <c r="L259" s="65"/>
      <c r="M259" s="65"/>
      <c r="N259" s="65"/>
    </row>
    <row r="260" spans="10:14" ht="12.6" hidden="1">
      <c r="J260" s="65"/>
      <c r="K260" s="65"/>
      <c r="L260" s="65"/>
      <c r="M260" s="65"/>
      <c r="N260" s="65"/>
    </row>
    <row r="261" spans="10:14" ht="12.6" hidden="1">
      <c r="J261" s="65"/>
      <c r="K261" s="65"/>
      <c r="L261" s="65"/>
      <c r="M261" s="65"/>
      <c r="N261" s="65"/>
    </row>
    <row r="262" spans="10:14" ht="12.6" hidden="1">
      <c r="J262" s="65"/>
      <c r="K262" s="65"/>
      <c r="L262" s="65"/>
      <c r="M262" s="65"/>
      <c r="N262" s="65"/>
    </row>
    <row r="263" spans="10:14" ht="12.6" hidden="1">
      <c r="J263" s="65"/>
      <c r="K263" s="65"/>
      <c r="L263" s="65"/>
      <c r="M263" s="65"/>
      <c r="N263" s="65"/>
    </row>
    <row r="264" spans="10:14" ht="12.6" hidden="1">
      <c r="J264" s="65"/>
      <c r="K264" s="65"/>
      <c r="L264" s="65"/>
      <c r="M264" s="65"/>
      <c r="N264" s="65"/>
    </row>
    <row r="265" spans="10:14" ht="12.6" hidden="1">
      <c r="J265" s="65"/>
      <c r="K265" s="65"/>
      <c r="L265" s="65"/>
      <c r="M265" s="65"/>
      <c r="N265" s="65"/>
    </row>
    <row r="266" spans="10:14" ht="12.6" hidden="1">
      <c r="J266" s="65"/>
      <c r="K266" s="65"/>
      <c r="L266" s="65"/>
      <c r="M266" s="65"/>
      <c r="N266" s="65"/>
    </row>
    <row r="267" spans="10:14" ht="12.6" hidden="1">
      <c r="J267" s="65"/>
      <c r="K267" s="65"/>
      <c r="L267" s="65"/>
      <c r="M267" s="65"/>
      <c r="N267" s="65"/>
    </row>
    <row r="268" spans="10:14" ht="12.6" hidden="1">
      <c r="J268" s="65"/>
      <c r="K268" s="65"/>
      <c r="L268" s="65"/>
      <c r="M268" s="65"/>
      <c r="N268" s="65"/>
    </row>
    <row r="269" spans="10:14" ht="12.6" hidden="1">
      <c r="J269" s="65"/>
      <c r="K269" s="65"/>
      <c r="L269" s="65"/>
      <c r="M269" s="65"/>
      <c r="N269" s="65"/>
    </row>
    <row r="270" spans="10:14" ht="12.6" hidden="1">
      <c r="J270" s="65"/>
      <c r="K270" s="65"/>
      <c r="L270" s="65"/>
      <c r="M270" s="65"/>
      <c r="N270" s="65"/>
    </row>
    <row r="271" spans="10:14" ht="12.6" hidden="1">
      <c r="J271" s="65"/>
      <c r="K271" s="65"/>
      <c r="L271" s="65"/>
      <c r="M271" s="65"/>
      <c r="N271" s="65"/>
    </row>
    <row r="272" spans="10:14" ht="12.6" hidden="1">
      <c r="J272" s="65"/>
      <c r="K272" s="65"/>
      <c r="L272" s="65"/>
      <c r="M272" s="65"/>
      <c r="N272" s="65"/>
    </row>
    <row r="273" spans="10:14" ht="12.6" hidden="1">
      <c r="J273" s="65"/>
      <c r="K273" s="65"/>
      <c r="L273" s="65"/>
      <c r="M273" s="65"/>
      <c r="N273" s="65"/>
    </row>
    <row r="274" spans="10:14" ht="12.6" hidden="1">
      <c r="J274" s="65"/>
      <c r="K274" s="65"/>
      <c r="L274" s="65"/>
      <c r="M274" s="65"/>
      <c r="N274" s="65"/>
    </row>
    <row r="275" spans="10:14" ht="12.6" hidden="1">
      <c r="J275" s="65"/>
      <c r="K275" s="65"/>
      <c r="L275" s="65"/>
      <c r="M275" s="65"/>
      <c r="N275" s="65"/>
    </row>
    <row r="276" spans="10:14" ht="12.6" hidden="1">
      <c r="J276" s="65"/>
      <c r="K276" s="65"/>
      <c r="L276" s="65"/>
      <c r="M276" s="65"/>
      <c r="N276" s="65"/>
    </row>
    <row r="277" spans="10:14" ht="12.6" hidden="1">
      <c r="J277" s="65"/>
      <c r="K277" s="65"/>
      <c r="L277" s="65"/>
      <c r="M277" s="65"/>
      <c r="N277" s="65"/>
    </row>
    <row r="278" spans="10:14" ht="12.6" hidden="1">
      <c r="J278" s="65"/>
      <c r="K278" s="65"/>
      <c r="L278" s="65"/>
      <c r="M278" s="65"/>
      <c r="N278" s="65"/>
    </row>
    <row r="279" spans="10:14" ht="12.6" hidden="1">
      <c r="J279" s="65"/>
      <c r="K279" s="65"/>
      <c r="L279" s="65"/>
      <c r="M279" s="65"/>
      <c r="N279" s="65"/>
    </row>
    <row r="280" spans="10:14" ht="12.6" hidden="1">
      <c r="J280" s="65"/>
      <c r="K280" s="65"/>
      <c r="L280" s="65"/>
      <c r="M280" s="65"/>
      <c r="N280" s="65"/>
    </row>
    <row r="281" spans="10:14" ht="12.6" hidden="1">
      <c r="J281" s="65"/>
      <c r="K281" s="65"/>
      <c r="L281" s="65"/>
      <c r="M281" s="65"/>
      <c r="N281" s="65"/>
    </row>
    <row r="282" spans="10:14" ht="12.6" hidden="1">
      <c r="J282" s="65"/>
      <c r="K282" s="65"/>
      <c r="L282" s="65"/>
      <c r="M282" s="65"/>
      <c r="N282" s="65"/>
    </row>
    <row r="283" spans="10:14" ht="12.6" hidden="1">
      <c r="J283" s="65"/>
      <c r="K283" s="65"/>
      <c r="L283" s="65"/>
      <c r="M283" s="65"/>
      <c r="N283" s="65"/>
    </row>
    <row r="284" spans="10:14" ht="12.6" hidden="1">
      <c r="J284" s="65"/>
      <c r="K284" s="65"/>
      <c r="L284" s="65"/>
      <c r="M284" s="65"/>
      <c r="N284" s="65"/>
    </row>
    <row r="285" spans="10:14" ht="12.6" hidden="1">
      <c r="J285" s="65"/>
      <c r="K285" s="65"/>
      <c r="L285" s="65"/>
      <c r="M285" s="65"/>
      <c r="N285" s="65"/>
    </row>
    <row r="286" spans="10:14" ht="12.6" hidden="1">
      <c r="J286" s="65"/>
      <c r="K286" s="65"/>
      <c r="L286" s="65"/>
      <c r="M286" s="65"/>
      <c r="N286" s="65"/>
    </row>
    <row r="287" spans="10:14" ht="12.6" hidden="1">
      <c r="J287" s="65"/>
      <c r="K287" s="65"/>
      <c r="L287" s="65"/>
      <c r="M287" s="65"/>
      <c r="N287" s="65"/>
    </row>
    <row r="288" spans="10:14" ht="12.6" hidden="1">
      <c r="J288" s="65"/>
      <c r="K288" s="65"/>
      <c r="L288" s="65"/>
      <c r="M288" s="65"/>
      <c r="N288" s="65"/>
    </row>
    <row r="289" spans="10:14" ht="12.6" hidden="1">
      <c r="J289" s="65"/>
      <c r="K289" s="65"/>
      <c r="L289" s="65"/>
      <c r="M289" s="65"/>
      <c r="N289" s="65"/>
    </row>
    <row r="290" spans="10:14" ht="12.6" hidden="1">
      <c r="J290" s="65"/>
      <c r="K290" s="65"/>
      <c r="L290" s="65"/>
      <c r="M290" s="65"/>
      <c r="N290" s="65"/>
    </row>
    <row r="291" spans="10:14" ht="12.6" hidden="1">
      <c r="J291" s="65"/>
      <c r="K291" s="65"/>
      <c r="L291" s="65"/>
      <c r="M291" s="65"/>
      <c r="N291" s="65"/>
    </row>
    <row r="292" spans="10:14" ht="12.6" hidden="1">
      <c r="J292" s="65"/>
      <c r="K292" s="65"/>
      <c r="L292" s="65"/>
      <c r="M292" s="65"/>
      <c r="N292" s="65"/>
    </row>
    <row r="293" spans="10:14" ht="12.6" hidden="1">
      <c r="J293" s="65"/>
      <c r="K293" s="65"/>
      <c r="L293" s="65"/>
      <c r="M293" s="65"/>
      <c r="N293" s="65"/>
    </row>
    <row r="294" spans="10:14" ht="12.6" hidden="1">
      <c r="J294" s="65"/>
      <c r="K294" s="65"/>
      <c r="L294" s="65"/>
      <c r="M294" s="65"/>
      <c r="N294" s="65"/>
    </row>
    <row r="295" spans="10:14" ht="12.6" hidden="1">
      <c r="J295" s="65"/>
      <c r="K295" s="65"/>
      <c r="L295" s="65"/>
      <c r="M295" s="65"/>
      <c r="N295" s="65"/>
    </row>
    <row r="296" spans="10:14" ht="12.6" hidden="1">
      <c r="J296" s="65"/>
      <c r="K296" s="65"/>
      <c r="L296" s="65"/>
      <c r="M296" s="65"/>
      <c r="N296" s="65"/>
    </row>
    <row r="297" spans="10:14" ht="12.6" hidden="1">
      <c r="J297" s="65"/>
      <c r="K297" s="65"/>
      <c r="L297" s="65"/>
      <c r="M297" s="65"/>
      <c r="N297" s="65"/>
    </row>
    <row r="298" spans="10:14" ht="12.6" hidden="1">
      <c r="J298" s="65"/>
      <c r="K298" s="65"/>
      <c r="L298" s="65"/>
      <c r="M298" s="65"/>
      <c r="N298" s="65"/>
    </row>
    <row r="299" spans="10:14" ht="12.6" hidden="1">
      <c r="J299" s="65"/>
      <c r="K299" s="65"/>
      <c r="L299" s="65"/>
      <c r="M299" s="65"/>
      <c r="N299" s="65"/>
    </row>
    <row r="300" spans="10:14" ht="12.6" hidden="1">
      <c r="J300" s="65"/>
      <c r="K300" s="65"/>
      <c r="L300" s="65"/>
      <c r="M300" s="65"/>
      <c r="N300" s="65"/>
    </row>
    <row r="301" spans="10:14" ht="12.6" hidden="1">
      <c r="J301" s="65"/>
      <c r="K301" s="65"/>
      <c r="L301" s="65"/>
      <c r="M301" s="65"/>
      <c r="N301" s="65"/>
    </row>
    <row r="302" spans="10:14" ht="12.6" hidden="1">
      <c r="J302" s="65"/>
      <c r="K302" s="65"/>
      <c r="L302" s="65"/>
      <c r="M302" s="65"/>
      <c r="N302" s="65"/>
    </row>
    <row r="303" spans="10:14" ht="12.6" hidden="1">
      <c r="J303" s="65"/>
      <c r="K303" s="65"/>
      <c r="L303" s="65"/>
      <c r="M303" s="65"/>
      <c r="N303" s="65"/>
    </row>
    <row r="304" spans="10:14" ht="12.6" hidden="1">
      <c r="J304" s="65"/>
      <c r="K304" s="65"/>
      <c r="L304" s="65"/>
      <c r="M304" s="65"/>
      <c r="N304" s="65"/>
    </row>
    <row r="305" spans="10:14" ht="12.6" hidden="1">
      <c r="J305" s="65"/>
      <c r="K305" s="65"/>
      <c r="L305" s="65"/>
      <c r="M305" s="65"/>
      <c r="N305" s="65"/>
    </row>
    <row r="306" spans="10:14" ht="12.6" hidden="1">
      <c r="J306" s="65"/>
      <c r="K306" s="65"/>
      <c r="L306" s="65"/>
      <c r="M306" s="65"/>
      <c r="N306" s="65"/>
    </row>
    <row r="307" spans="10:14" ht="12.6" hidden="1">
      <c r="J307" s="65"/>
      <c r="K307" s="65"/>
      <c r="L307" s="65"/>
      <c r="M307" s="65"/>
      <c r="N307" s="65"/>
    </row>
    <row r="308" spans="10:14" ht="12.6" hidden="1">
      <c r="J308" s="65"/>
      <c r="K308" s="65"/>
      <c r="L308" s="65"/>
      <c r="M308" s="65"/>
      <c r="N308" s="65"/>
    </row>
    <row r="309" spans="10:14" ht="12.6" hidden="1">
      <c r="J309" s="65"/>
      <c r="K309" s="65"/>
      <c r="L309" s="65"/>
      <c r="M309" s="65"/>
      <c r="N309" s="65"/>
    </row>
    <row r="310" spans="10:14" ht="12.6" hidden="1">
      <c r="J310" s="65"/>
      <c r="K310" s="65"/>
      <c r="L310" s="65"/>
      <c r="M310" s="65"/>
      <c r="N310" s="65"/>
    </row>
    <row r="311" spans="10:14" ht="12.6" hidden="1">
      <c r="J311" s="65"/>
      <c r="K311" s="65"/>
      <c r="L311" s="65"/>
      <c r="M311" s="65"/>
      <c r="N311" s="65"/>
    </row>
    <row r="312" spans="10:14" ht="12.6" hidden="1">
      <c r="J312" s="65"/>
      <c r="K312" s="65"/>
      <c r="L312" s="65"/>
      <c r="M312" s="65"/>
      <c r="N312" s="65"/>
    </row>
    <row r="313" spans="10:14" ht="12.6" hidden="1">
      <c r="J313" s="65"/>
      <c r="K313" s="65"/>
      <c r="L313" s="65"/>
      <c r="M313" s="65"/>
      <c r="N313" s="65"/>
    </row>
    <row r="314" spans="10:14" ht="12.6" hidden="1">
      <c r="J314" s="65"/>
      <c r="K314" s="65"/>
      <c r="L314" s="65"/>
      <c r="M314" s="65"/>
      <c r="N314" s="65"/>
    </row>
    <row r="315" spans="10:14" ht="12.6" hidden="1">
      <c r="J315" s="65"/>
      <c r="K315" s="65"/>
      <c r="L315" s="65"/>
      <c r="M315" s="65"/>
      <c r="N315" s="65"/>
    </row>
    <row r="316" spans="10:14" ht="12.6" hidden="1">
      <c r="J316" s="65"/>
      <c r="K316" s="65"/>
      <c r="L316" s="65"/>
      <c r="M316" s="65"/>
      <c r="N316" s="65"/>
    </row>
    <row r="317" spans="10:14" ht="12.6" hidden="1">
      <c r="J317" s="65"/>
      <c r="K317" s="65"/>
      <c r="L317" s="65"/>
      <c r="M317" s="65"/>
      <c r="N317" s="65"/>
    </row>
    <row r="318" spans="10:14" ht="12.6" hidden="1">
      <c r="J318" s="65"/>
      <c r="K318" s="65"/>
      <c r="L318" s="65"/>
      <c r="M318" s="65"/>
      <c r="N318" s="65"/>
    </row>
    <row r="319" spans="10:14" ht="12.6" hidden="1">
      <c r="J319" s="65"/>
      <c r="K319" s="65"/>
      <c r="L319" s="65"/>
      <c r="M319" s="65"/>
      <c r="N319" s="65"/>
    </row>
    <row r="320" spans="10:14" ht="12.6" hidden="1">
      <c r="J320" s="65"/>
      <c r="K320" s="65"/>
      <c r="L320" s="65"/>
      <c r="M320" s="65"/>
      <c r="N320" s="65"/>
    </row>
    <row r="321" spans="10:14" ht="12.6" hidden="1">
      <c r="J321" s="65"/>
      <c r="K321" s="65"/>
      <c r="L321" s="65"/>
      <c r="M321" s="65"/>
      <c r="N321" s="65"/>
    </row>
    <row r="322" spans="10:14" ht="12.6" hidden="1">
      <c r="J322" s="65"/>
      <c r="K322" s="65"/>
      <c r="L322" s="65"/>
      <c r="M322" s="65"/>
      <c r="N322" s="65"/>
    </row>
    <row r="323" spans="10:14" ht="12.6" hidden="1">
      <c r="J323" s="65"/>
      <c r="K323" s="65"/>
      <c r="L323" s="65"/>
      <c r="M323" s="65"/>
      <c r="N323" s="65"/>
    </row>
    <row r="324" spans="10:14" ht="12.6" hidden="1">
      <c r="J324" s="65"/>
      <c r="K324" s="65"/>
      <c r="L324" s="65"/>
      <c r="M324" s="65"/>
      <c r="N324" s="65"/>
    </row>
    <row r="325" spans="10:14" ht="12.6" hidden="1">
      <c r="J325" s="65"/>
      <c r="K325" s="65"/>
      <c r="L325" s="65"/>
      <c r="M325" s="65"/>
      <c r="N325" s="65"/>
    </row>
    <row r="326" spans="10:14" ht="12.6" hidden="1">
      <c r="J326" s="65"/>
      <c r="K326" s="65"/>
      <c r="L326" s="65"/>
      <c r="M326" s="65"/>
      <c r="N326" s="65"/>
    </row>
    <row r="327" spans="10:14" ht="12.6" hidden="1">
      <c r="J327" s="65"/>
      <c r="K327" s="65"/>
      <c r="L327" s="65"/>
      <c r="M327" s="65"/>
      <c r="N327" s="65"/>
    </row>
    <row r="328" spans="10:14" ht="12.6" hidden="1">
      <c r="J328" s="65"/>
      <c r="K328" s="65"/>
      <c r="L328" s="65"/>
      <c r="M328" s="65"/>
      <c r="N328" s="65"/>
    </row>
    <row r="329" spans="10:14" ht="12.6" hidden="1">
      <c r="J329" s="65"/>
      <c r="K329" s="65"/>
      <c r="L329" s="65"/>
      <c r="M329" s="65"/>
      <c r="N329" s="65"/>
    </row>
    <row r="330" spans="10:14" ht="12.6" hidden="1">
      <c r="J330" s="65"/>
      <c r="K330" s="65"/>
      <c r="L330" s="65"/>
      <c r="M330" s="65"/>
      <c r="N330" s="65"/>
    </row>
    <row r="331" spans="10:14" ht="12.6" hidden="1">
      <c r="J331" s="65"/>
      <c r="K331" s="65"/>
      <c r="L331" s="65"/>
      <c r="M331" s="65"/>
      <c r="N331" s="65"/>
    </row>
    <row r="332" spans="10:14" ht="12.6" hidden="1">
      <c r="J332" s="65"/>
      <c r="K332" s="65"/>
      <c r="L332" s="65"/>
      <c r="M332" s="65"/>
      <c r="N332" s="65"/>
    </row>
    <row r="333" spans="10:14" ht="12.6" hidden="1">
      <c r="J333" s="65"/>
      <c r="K333" s="65"/>
      <c r="L333" s="65"/>
      <c r="M333" s="65"/>
      <c r="N333" s="65"/>
    </row>
    <row r="334" spans="10:14" ht="12.6" hidden="1">
      <c r="J334" s="65"/>
      <c r="K334" s="65"/>
      <c r="L334" s="65"/>
      <c r="M334" s="65"/>
      <c r="N334" s="65"/>
    </row>
    <row r="335" spans="10:14" ht="12.6" hidden="1">
      <c r="J335" s="65"/>
      <c r="K335" s="65"/>
      <c r="L335" s="65"/>
      <c r="M335" s="65"/>
      <c r="N335" s="65"/>
    </row>
    <row r="336" spans="10:14" ht="12.6" hidden="1">
      <c r="J336" s="65"/>
      <c r="K336" s="65"/>
      <c r="L336" s="65"/>
      <c r="M336" s="65"/>
      <c r="N336" s="65"/>
    </row>
    <row r="337" spans="10:14" ht="12.6" hidden="1">
      <c r="J337" s="65"/>
      <c r="K337" s="65"/>
      <c r="L337" s="65"/>
      <c r="M337" s="65"/>
      <c r="N337" s="65"/>
    </row>
    <row r="338" spans="10:14" ht="12.6" hidden="1">
      <c r="J338" s="65"/>
      <c r="K338" s="65"/>
      <c r="L338" s="65"/>
      <c r="M338" s="65"/>
      <c r="N338" s="65"/>
    </row>
    <row r="339" spans="10:14" ht="12.6" hidden="1">
      <c r="J339" s="65"/>
      <c r="K339" s="65"/>
      <c r="L339" s="65"/>
      <c r="M339" s="65"/>
      <c r="N339" s="65"/>
    </row>
    <row r="340" spans="10:14" ht="12.6" hidden="1">
      <c r="J340" s="65"/>
      <c r="K340" s="65"/>
      <c r="L340" s="65"/>
      <c r="M340" s="65"/>
      <c r="N340" s="65"/>
    </row>
    <row r="341" spans="10:14" ht="12.6" hidden="1">
      <c r="J341" s="65"/>
      <c r="K341" s="65"/>
      <c r="L341" s="65"/>
      <c r="M341" s="65"/>
      <c r="N341" s="65"/>
    </row>
    <row r="342" spans="10:14" ht="12.6" hidden="1">
      <c r="J342" s="65"/>
      <c r="K342" s="65"/>
      <c r="L342" s="65"/>
      <c r="M342" s="65"/>
      <c r="N342" s="65"/>
    </row>
    <row r="343" spans="10:14" ht="12.6" hidden="1">
      <c r="J343" s="65"/>
      <c r="K343" s="65"/>
      <c r="L343" s="65"/>
      <c r="M343" s="65"/>
      <c r="N343" s="65"/>
    </row>
    <row r="344" spans="10:14" ht="12.6" hidden="1">
      <c r="J344" s="65"/>
      <c r="K344" s="65"/>
      <c r="L344" s="65"/>
      <c r="M344" s="65"/>
      <c r="N344" s="65"/>
    </row>
    <row r="345" spans="10:14" ht="12.6" hidden="1">
      <c r="J345" s="65"/>
      <c r="K345" s="65"/>
      <c r="L345" s="65"/>
      <c r="M345" s="65"/>
      <c r="N345" s="65"/>
    </row>
    <row r="346" spans="10:14" ht="12.6" hidden="1">
      <c r="J346" s="65"/>
      <c r="K346" s="65"/>
      <c r="L346" s="65"/>
      <c r="M346" s="65"/>
      <c r="N346" s="65"/>
    </row>
    <row r="347" spans="10:14" ht="12.6" hidden="1">
      <c r="J347" s="65"/>
      <c r="K347" s="65"/>
      <c r="L347" s="65"/>
      <c r="M347" s="65"/>
      <c r="N347" s="65"/>
    </row>
    <row r="348" spans="10:14" ht="12.6" hidden="1">
      <c r="J348" s="65"/>
      <c r="K348" s="65"/>
      <c r="L348" s="65"/>
      <c r="M348" s="65"/>
      <c r="N348" s="65"/>
    </row>
    <row r="349" spans="10:14" ht="12.6" hidden="1">
      <c r="J349" s="65"/>
      <c r="K349" s="65"/>
      <c r="L349" s="65"/>
      <c r="M349" s="65"/>
      <c r="N349" s="65"/>
    </row>
    <row r="350" spans="10:14" ht="12.6" hidden="1">
      <c r="J350" s="65"/>
      <c r="K350" s="65"/>
      <c r="L350" s="65"/>
      <c r="M350" s="65"/>
      <c r="N350" s="65"/>
    </row>
    <row r="351" spans="10:14" ht="12.6" hidden="1">
      <c r="J351" s="65"/>
      <c r="K351" s="65"/>
      <c r="L351" s="65"/>
      <c r="M351" s="65"/>
      <c r="N351" s="65"/>
    </row>
    <row r="352" spans="10:14" ht="12.6" hidden="1">
      <c r="J352" s="65"/>
      <c r="K352" s="65"/>
      <c r="L352" s="65"/>
      <c r="M352" s="65"/>
      <c r="N352" s="65"/>
    </row>
    <row r="353" spans="10:14" ht="12.6" hidden="1">
      <c r="J353" s="65"/>
      <c r="K353" s="65"/>
      <c r="L353" s="65"/>
      <c r="M353" s="65"/>
      <c r="N353" s="65"/>
    </row>
    <row r="354" spans="10:14" ht="12.6" hidden="1">
      <c r="J354" s="65"/>
      <c r="K354" s="65"/>
      <c r="L354" s="65"/>
      <c r="M354" s="65"/>
      <c r="N354" s="65"/>
    </row>
    <row r="355" spans="10:14" ht="12.6" hidden="1">
      <c r="J355" s="65"/>
      <c r="K355" s="65"/>
      <c r="L355" s="65"/>
      <c r="M355" s="65"/>
      <c r="N355" s="65"/>
    </row>
    <row r="356" spans="10:14" ht="12.6" hidden="1">
      <c r="J356" s="65"/>
      <c r="K356" s="65"/>
      <c r="L356" s="65"/>
      <c r="M356" s="65"/>
      <c r="N356" s="65"/>
    </row>
    <row r="357" spans="10:14" ht="12.6" hidden="1">
      <c r="J357" s="65"/>
      <c r="K357" s="65"/>
      <c r="L357" s="65"/>
      <c r="M357" s="65"/>
      <c r="N357" s="65"/>
    </row>
    <row r="358" spans="10:14" ht="12.6" hidden="1">
      <c r="J358" s="65"/>
      <c r="K358" s="65"/>
      <c r="L358" s="65"/>
      <c r="M358" s="65"/>
      <c r="N358" s="65"/>
    </row>
    <row r="359" spans="10:14" ht="12.6" hidden="1">
      <c r="J359" s="65"/>
      <c r="K359" s="65"/>
      <c r="L359" s="65"/>
      <c r="M359" s="65"/>
      <c r="N359" s="65"/>
    </row>
    <row r="360" spans="10:14" ht="12.6" hidden="1">
      <c r="J360" s="65"/>
      <c r="K360" s="65"/>
      <c r="L360" s="65"/>
      <c r="M360" s="65"/>
      <c r="N360" s="65"/>
    </row>
    <row r="361" spans="10:14" ht="12.6" hidden="1">
      <c r="J361" s="65"/>
      <c r="K361" s="65"/>
      <c r="L361" s="65"/>
      <c r="M361" s="65"/>
      <c r="N361" s="65"/>
    </row>
    <row r="362" spans="10:14" ht="12.6" hidden="1">
      <c r="J362" s="65"/>
      <c r="K362" s="65"/>
      <c r="L362" s="65"/>
      <c r="M362" s="65"/>
      <c r="N362" s="65"/>
    </row>
    <row r="363" spans="10:14" ht="12.6" hidden="1">
      <c r="J363" s="65"/>
      <c r="K363" s="65"/>
      <c r="L363" s="65"/>
      <c r="M363" s="65"/>
      <c r="N363" s="65"/>
    </row>
    <row r="364" spans="10:14" ht="12.6" hidden="1">
      <c r="J364" s="65"/>
      <c r="K364" s="65"/>
      <c r="L364" s="65"/>
      <c r="M364" s="65"/>
      <c r="N364" s="65"/>
    </row>
    <row r="365" spans="10:14" ht="12.6" hidden="1">
      <c r="J365" s="65"/>
      <c r="K365" s="65"/>
      <c r="L365" s="65"/>
      <c r="M365" s="65"/>
      <c r="N365" s="65"/>
    </row>
    <row r="366" spans="10:14" ht="12.6" hidden="1">
      <c r="J366" s="65"/>
      <c r="K366" s="65"/>
      <c r="L366" s="65"/>
      <c r="M366" s="65"/>
      <c r="N366" s="65"/>
    </row>
    <row r="367" spans="10:14" ht="12.6" hidden="1">
      <c r="J367" s="65"/>
      <c r="K367" s="65"/>
      <c r="L367" s="65"/>
      <c r="M367" s="65"/>
      <c r="N367" s="65"/>
    </row>
    <row r="368" spans="10:14" ht="12.6" hidden="1">
      <c r="J368" s="65"/>
      <c r="K368" s="65"/>
      <c r="L368" s="65"/>
      <c r="M368" s="65"/>
      <c r="N368" s="65"/>
    </row>
    <row r="369" spans="10:14" ht="12.6" hidden="1">
      <c r="J369" s="65"/>
      <c r="K369" s="65"/>
      <c r="L369" s="65"/>
      <c r="M369" s="65"/>
      <c r="N369" s="65"/>
    </row>
    <row r="370" spans="10:14" ht="12.6" hidden="1">
      <c r="J370" s="65"/>
      <c r="K370" s="65"/>
      <c r="L370" s="65"/>
      <c r="M370" s="65"/>
      <c r="N370" s="65"/>
    </row>
    <row r="371" spans="10:14" ht="12.6" hidden="1">
      <c r="J371" s="65"/>
      <c r="K371" s="65"/>
      <c r="L371" s="65"/>
      <c r="M371" s="65"/>
      <c r="N371" s="65"/>
    </row>
    <row r="372" spans="10:14" ht="12.6" hidden="1">
      <c r="J372" s="65"/>
      <c r="K372" s="65"/>
      <c r="L372" s="65"/>
      <c r="M372" s="65"/>
      <c r="N372" s="65"/>
    </row>
    <row r="373" spans="10:14" ht="12.6" hidden="1">
      <c r="J373" s="65"/>
      <c r="K373" s="65"/>
      <c r="L373" s="65"/>
      <c r="M373" s="65"/>
      <c r="N373" s="65"/>
    </row>
    <row r="374" spans="10:14" ht="12.6" hidden="1">
      <c r="J374" s="65"/>
      <c r="K374" s="65"/>
      <c r="L374" s="65"/>
      <c r="M374" s="65"/>
      <c r="N374" s="65"/>
    </row>
    <row r="375" spans="10:14" ht="12.6" hidden="1">
      <c r="J375" s="65"/>
      <c r="K375" s="65"/>
      <c r="L375" s="65"/>
      <c r="M375" s="65"/>
      <c r="N375" s="65"/>
    </row>
    <row r="376" spans="10:14" ht="12.6" hidden="1">
      <c r="J376" s="65"/>
      <c r="K376" s="65"/>
      <c r="L376" s="65"/>
      <c r="M376" s="65"/>
      <c r="N376" s="65"/>
    </row>
    <row r="377" spans="10:14" ht="12.6" hidden="1">
      <c r="J377" s="65"/>
      <c r="K377" s="65"/>
      <c r="L377" s="65"/>
      <c r="M377" s="65"/>
      <c r="N377" s="65"/>
    </row>
    <row r="378" spans="10:14" ht="12.6" hidden="1">
      <c r="J378" s="65"/>
      <c r="K378" s="65"/>
      <c r="L378" s="65"/>
      <c r="M378" s="65"/>
      <c r="N378" s="65"/>
    </row>
    <row r="379" spans="10:14" ht="12.6" hidden="1">
      <c r="J379" s="65"/>
      <c r="K379" s="65"/>
      <c r="L379" s="65"/>
      <c r="M379" s="65"/>
      <c r="N379" s="65"/>
    </row>
    <row r="380" spans="10:14" ht="12.6" hidden="1">
      <c r="J380" s="65"/>
      <c r="K380" s="65"/>
      <c r="L380" s="65"/>
      <c r="M380" s="65"/>
      <c r="N380" s="65"/>
    </row>
    <row r="381" spans="10:14" ht="12.6" hidden="1">
      <c r="J381" s="65"/>
      <c r="K381" s="65"/>
      <c r="L381" s="65"/>
      <c r="M381" s="65"/>
      <c r="N381" s="65"/>
    </row>
    <row r="382" spans="10:14" ht="12.6" hidden="1">
      <c r="J382" s="65"/>
      <c r="K382" s="65"/>
      <c r="L382" s="65"/>
      <c r="M382" s="65"/>
      <c r="N382" s="65"/>
    </row>
    <row r="383" spans="10:14" ht="12.6" hidden="1">
      <c r="J383" s="65"/>
      <c r="K383" s="65"/>
      <c r="L383" s="65"/>
      <c r="M383" s="65"/>
      <c r="N383" s="65"/>
    </row>
    <row r="384" spans="10:14" ht="12.6" hidden="1">
      <c r="J384" s="65"/>
      <c r="K384" s="65"/>
      <c r="L384" s="65"/>
      <c r="M384" s="65"/>
      <c r="N384" s="65"/>
    </row>
    <row r="385" spans="10:14" ht="12.6" hidden="1">
      <c r="J385" s="65"/>
      <c r="K385" s="65"/>
      <c r="L385" s="65"/>
      <c r="M385" s="65"/>
      <c r="N385" s="65"/>
    </row>
    <row r="386" spans="10:14" ht="12.6" hidden="1">
      <c r="J386" s="65"/>
      <c r="K386" s="65"/>
      <c r="L386" s="65"/>
      <c r="M386" s="65"/>
      <c r="N386" s="65"/>
    </row>
    <row r="387" spans="10:14" ht="12.6" hidden="1">
      <c r="J387" s="65"/>
      <c r="K387" s="65"/>
      <c r="L387" s="65"/>
      <c r="M387" s="65"/>
      <c r="N387" s="65"/>
    </row>
    <row r="388" spans="10:14" ht="12.6" hidden="1">
      <c r="J388" s="65"/>
      <c r="K388" s="65"/>
      <c r="L388" s="65"/>
      <c r="M388" s="65"/>
      <c r="N388" s="65"/>
    </row>
    <row r="389" spans="10:14" ht="12.6" hidden="1">
      <c r="J389" s="65"/>
      <c r="K389" s="65"/>
      <c r="L389" s="65"/>
      <c r="M389" s="65"/>
      <c r="N389" s="65"/>
    </row>
    <row r="390" spans="10:14" ht="12.6" hidden="1">
      <c r="J390" s="65"/>
      <c r="K390" s="65"/>
      <c r="L390" s="65"/>
      <c r="M390" s="65"/>
      <c r="N390" s="65"/>
    </row>
    <row r="391" spans="10:14" ht="12.6" hidden="1">
      <c r="J391" s="65"/>
      <c r="K391" s="65"/>
      <c r="L391" s="65"/>
      <c r="M391" s="65"/>
      <c r="N391" s="65"/>
    </row>
    <row r="392" spans="10:14" ht="12.6" hidden="1">
      <c r="J392" s="65"/>
      <c r="K392" s="65"/>
      <c r="L392" s="65"/>
      <c r="M392" s="65"/>
      <c r="N392" s="65"/>
    </row>
    <row r="393" spans="10:14" ht="12.6" hidden="1">
      <c r="J393" s="65"/>
      <c r="K393" s="65"/>
      <c r="L393" s="65"/>
      <c r="M393" s="65"/>
      <c r="N393" s="65"/>
    </row>
    <row r="394" spans="10:14" ht="12.6" hidden="1">
      <c r="J394" s="65"/>
      <c r="K394" s="65"/>
      <c r="L394" s="65"/>
      <c r="M394" s="65"/>
      <c r="N394" s="65"/>
    </row>
    <row r="395" spans="10:14" ht="12.6" hidden="1">
      <c r="J395" s="65"/>
      <c r="K395" s="65"/>
      <c r="L395" s="65"/>
      <c r="M395" s="65"/>
      <c r="N395" s="65"/>
    </row>
    <row r="396" spans="10:14" ht="12.6" hidden="1">
      <c r="J396" s="65"/>
      <c r="K396" s="65"/>
      <c r="L396" s="65"/>
      <c r="M396" s="65"/>
      <c r="N396" s="65"/>
    </row>
    <row r="397" spans="10:14" ht="12.6" hidden="1">
      <c r="J397" s="65"/>
      <c r="K397" s="65"/>
      <c r="L397" s="65"/>
      <c r="M397" s="65"/>
      <c r="N397" s="65"/>
    </row>
    <row r="398" spans="10:14" ht="12.6" hidden="1">
      <c r="J398" s="65"/>
      <c r="K398" s="65"/>
      <c r="L398" s="65"/>
      <c r="M398" s="65"/>
      <c r="N398" s="65"/>
    </row>
    <row r="399" spans="10:14" ht="12.6" hidden="1">
      <c r="J399" s="65"/>
      <c r="K399" s="65"/>
      <c r="L399" s="65"/>
      <c r="M399" s="65"/>
      <c r="N399" s="65"/>
    </row>
    <row r="400" spans="10:14" ht="12.6" hidden="1">
      <c r="J400" s="65"/>
      <c r="K400" s="65"/>
      <c r="L400" s="65"/>
      <c r="M400" s="65"/>
      <c r="N400" s="65"/>
    </row>
    <row r="401" spans="10:14" ht="12.6" hidden="1">
      <c r="J401" s="65"/>
      <c r="K401" s="65"/>
      <c r="L401" s="65"/>
      <c r="M401" s="65"/>
      <c r="N401" s="65"/>
    </row>
    <row r="402" spans="10:14" ht="12.6" hidden="1">
      <c r="J402" s="65"/>
      <c r="K402" s="65"/>
      <c r="L402" s="65"/>
      <c r="M402" s="65"/>
      <c r="N402" s="65"/>
    </row>
    <row r="403" spans="10:14" ht="12.6" hidden="1">
      <c r="J403" s="65"/>
      <c r="K403" s="65"/>
      <c r="L403" s="65"/>
      <c r="M403" s="65"/>
      <c r="N403" s="65"/>
    </row>
    <row r="404" spans="10:14" ht="12.6" hidden="1">
      <c r="J404" s="65"/>
      <c r="K404" s="65"/>
      <c r="L404" s="65"/>
      <c r="M404" s="65"/>
      <c r="N404" s="65"/>
    </row>
    <row r="405" spans="10:14" ht="12.6" hidden="1">
      <c r="J405" s="65"/>
      <c r="K405" s="65"/>
      <c r="L405" s="65"/>
      <c r="M405" s="65"/>
      <c r="N405" s="65"/>
    </row>
    <row r="406" spans="10:14" ht="12.6" hidden="1">
      <c r="J406" s="65"/>
      <c r="K406" s="65"/>
      <c r="L406" s="65"/>
      <c r="M406" s="65"/>
      <c r="N406" s="65"/>
    </row>
    <row r="407" spans="10:14" ht="12.6" hidden="1">
      <c r="J407" s="65"/>
      <c r="K407" s="65"/>
      <c r="L407" s="65"/>
      <c r="M407" s="65"/>
      <c r="N407" s="65"/>
    </row>
    <row r="408" spans="10:14" ht="12.6" hidden="1">
      <c r="J408" s="65"/>
      <c r="K408" s="65"/>
      <c r="L408" s="65"/>
      <c r="M408" s="65"/>
      <c r="N408" s="65"/>
    </row>
    <row r="409" spans="10:14" ht="12.6" hidden="1">
      <c r="J409" s="65"/>
      <c r="K409" s="65"/>
      <c r="L409" s="65"/>
      <c r="M409" s="65"/>
      <c r="N409" s="65"/>
    </row>
    <row r="410" spans="10:14" ht="12.6" hidden="1">
      <c r="J410" s="65"/>
      <c r="K410" s="65"/>
      <c r="L410" s="65"/>
      <c r="M410" s="65"/>
      <c r="N410" s="65"/>
    </row>
    <row r="411" spans="10:14" ht="12.6" hidden="1">
      <c r="J411" s="65"/>
      <c r="K411" s="65"/>
      <c r="L411" s="65"/>
      <c r="M411" s="65"/>
      <c r="N411" s="65"/>
    </row>
    <row r="412" spans="10:14" ht="12.6" hidden="1">
      <c r="J412" s="65"/>
      <c r="K412" s="65"/>
      <c r="L412" s="65"/>
      <c r="M412" s="65"/>
      <c r="N412" s="65"/>
    </row>
    <row r="413" spans="10:14" ht="12.6" hidden="1">
      <c r="J413" s="65"/>
      <c r="K413" s="65"/>
      <c r="L413" s="65"/>
      <c r="M413" s="65"/>
      <c r="N413" s="65"/>
    </row>
    <row r="414" spans="10:14" ht="12.6" hidden="1">
      <c r="J414" s="65"/>
      <c r="K414" s="65"/>
      <c r="L414" s="65"/>
      <c r="M414" s="65"/>
      <c r="N414" s="65"/>
    </row>
    <row r="415" spans="10:14" ht="12.6" hidden="1">
      <c r="J415" s="65"/>
      <c r="K415" s="65"/>
      <c r="L415" s="65"/>
      <c r="M415" s="65"/>
      <c r="N415" s="65"/>
    </row>
    <row r="416" spans="10:14" ht="12.6" hidden="1">
      <c r="J416" s="65"/>
      <c r="K416" s="65"/>
      <c r="L416" s="65"/>
      <c r="M416" s="65"/>
      <c r="N416" s="65"/>
    </row>
    <row r="417" spans="10:14" ht="12.6" hidden="1">
      <c r="J417" s="65"/>
      <c r="K417" s="65"/>
      <c r="L417" s="65"/>
      <c r="M417" s="65"/>
      <c r="N417" s="65"/>
    </row>
    <row r="418" spans="10:14" ht="12.6" hidden="1">
      <c r="J418" s="65"/>
      <c r="K418" s="65"/>
      <c r="L418" s="65"/>
      <c r="M418" s="65"/>
      <c r="N418" s="65"/>
    </row>
    <row r="419" spans="10:14" ht="12.6" hidden="1">
      <c r="J419" s="65"/>
      <c r="K419" s="65"/>
      <c r="L419" s="65"/>
      <c r="M419" s="65"/>
      <c r="N419" s="65"/>
    </row>
    <row r="420" spans="10:14" ht="12.6" hidden="1">
      <c r="J420" s="65"/>
      <c r="K420" s="65"/>
      <c r="L420" s="65"/>
      <c r="M420" s="65"/>
      <c r="N420" s="65"/>
    </row>
    <row r="421" spans="10:14" ht="12.6" hidden="1">
      <c r="J421" s="65"/>
      <c r="K421" s="65"/>
      <c r="L421" s="65"/>
      <c r="M421" s="65"/>
      <c r="N421" s="65"/>
    </row>
    <row r="422" spans="10:14" ht="12.6" hidden="1">
      <c r="J422" s="65"/>
      <c r="K422" s="65"/>
      <c r="L422" s="65"/>
      <c r="M422" s="65"/>
      <c r="N422" s="65"/>
    </row>
    <row r="423" spans="10:14" ht="12.6" hidden="1">
      <c r="J423" s="65"/>
      <c r="K423" s="65"/>
      <c r="L423" s="65"/>
      <c r="M423" s="65"/>
      <c r="N423" s="65"/>
    </row>
    <row r="424" spans="10:14" ht="12.6" hidden="1">
      <c r="J424" s="65"/>
      <c r="K424" s="65"/>
      <c r="L424" s="65"/>
      <c r="M424" s="65"/>
      <c r="N424" s="65"/>
    </row>
    <row r="425" spans="10:14" ht="12.6" hidden="1">
      <c r="J425" s="65"/>
      <c r="K425" s="65"/>
      <c r="L425" s="65"/>
      <c r="M425" s="65"/>
      <c r="N425" s="65"/>
    </row>
    <row r="426" spans="10:14" ht="12.6" hidden="1">
      <c r="J426" s="65"/>
      <c r="K426" s="65"/>
      <c r="L426" s="65"/>
      <c r="M426" s="65"/>
      <c r="N426" s="65"/>
    </row>
    <row r="427" spans="10:14" ht="12.6" hidden="1">
      <c r="J427" s="65"/>
      <c r="K427" s="65"/>
      <c r="L427" s="65"/>
      <c r="M427" s="65"/>
      <c r="N427" s="65"/>
    </row>
    <row r="428" spans="10:14" ht="12.6" hidden="1">
      <c r="J428" s="65"/>
      <c r="K428" s="65"/>
      <c r="L428" s="65"/>
      <c r="M428" s="65"/>
      <c r="N428" s="65"/>
    </row>
    <row r="429" spans="10:14" ht="12.6" hidden="1">
      <c r="J429" s="65"/>
      <c r="K429" s="65"/>
      <c r="L429" s="65"/>
      <c r="M429" s="65"/>
      <c r="N429" s="65"/>
    </row>
    <row r="430" spans="10:14" ht="12.6" hidden="1">
      <c r="J430" s="65"/>
      <c r="K430" s="65"/>
      <c r="L430" s="65"/>
      <c r="M430" s="65"/>
      <c r="N430" s="65"/>
    </row>
    <row r="431" spans="10:14" ht="12.6" hidden="1">
      <c r="J431" s="65"/>
      <c r="K431" s="65"/>
      <c r="L431" s="65"/>
      <c r="M431" s="65"/>
      <c r="N431" s="65"/>
    </row>
    <row r="432" spans="10:14" ht="12.6" hidden="1">
      <c r="J432" s="65"/>
      <c r="K432" s="65"/>
      <c r="L432" s="65"/>
      <c r="M432" s="65"/>
      <c r="N432" s="65"/>
    </row>
    <row r="433" spans="10:14" ht="12.6" hidden="1">
      <c r="J433" s="65"/>
      <c r="K433" s="65"/>
      <c r="L433" s="65"/>
      <c r="M433" s="65"/>
      <c r="N433" s="65"/>
    </row>
    <row r="434" spans="10:14" ht="12.6" hidden="1">
      <c r="J434" s="65"/>
      <c r="K434" s="65"/>
      <c r="L434" s="65"/>
      <c r="M434" s="65"/>
      <c r="N434" s="65"/>
    </row>
    <row r="435" spans="10:14" ht="12.6" hidden="1">
      <c r="J435" s="65"/>
      <c r="K435" s="65"/>
      <c r="L435" s="65"/>
      <c r="M435" s="65"/>
      <c r="N435" s="65"/>
    </row>
    <row r="436" spans="10:14" ht="12.6" hidden="1">
      <c r="J436" s="65"/>
      <c r="K436" s="65"/>
      <c r="L436" s="65"/>
      <c r="M436" s="65"/>
      <c r="N436" s="65"/>
    </row>
    <row r="437" spans="10:14" ht="12.6" hidden="1">
      <c r="J437" s="65"/>
      <c r="K437" s="65"/>
      <c r="L437" s="65"/>
      <c r="M437" s="65"/>
      <c r="N437" s="65"/>
    </row>
    <row r="438" spans="10:14" ht="12.6" hidden="1">
      <c r="J438" s="65"/>
      <c r="K438" s="65"/>
      <c r="L438" s="65"/>
      <c r="M438" s="65"/>
      <c r="N438" s="65"/>
    </row>
    <row r="439" spans="10:14" ht="12.6" hidden="1">
      <c r="J439" s="65"/>
      <c r="K439" s="65"/>
      <c r="L439" s="65"/>
      <c r="M439" s="65"/>
      <c r="N439" s="65"/>
    </row>
    <row r="440" spans="10:14" ht="12.6" hidden="1">
      <c r="J440" s="65"/>
      <c r="K440" s="65"/>
      <c r="L440" s="65"/>
      <c r="M440" s="65"/>
      <c r="N440" s="65"/>
    </row>
    <row r="441" spans="10:14" ht="12.6" hidden="1">
      <c r="J441" s="65"/>
      <c r="K441" s="65"/>
      <c r="L441" s="65"/>
      <c r="M441" s="65"/>
      <c r="N441" s="65"/>
    </row>
    <row r="442" spans="10:14" ht="12.6" hidden="1">
      <c r="J442" s="65"/>
      <c r="K442" s="65"/>
      <c r="L442" s="65"/>
      <c r="M442" s="65"/>
      <c r="N442" s="65"/>
    </row>
    <row r="443" spans="10:14" ht="12.6" hidden="1">
      <c r="J443" s="65"/>
      <c r="K443" s="65"/>
      <c r="L443" s="65"/>
      <c r="M443" s="65"/>
      <c r="N443" s="65"/>
    </row>
    <row r="444" spans="10:14" ht="12.6" hidden="1">
      <c r="J444" s="65"/>
      <c r="K444" s="65"/>
      <c r="L444" s="65"/>
      <c r="M444" s="65"/>
      <c r="N444" s="65"/>
    </row>
    <row r="445" spans="10:14" ht="12.6" hidden="1">
      <c r="J445" s="65"/>
      <c r="K445" s="65"/>
      <c r="L445" s="65"/>
      <c r="M445" s="65"/>
      <c r="N445" s="65"/>
    </row>
    <row r="446" spans="10:14" ht="12.6" hidden="1">
      <c r="J446" s="65"/>
      <c r="K446" s="65"/>
      <c r="L446" s="65"/>
      <c r="M446" s="65"/>
      <c r="N446" s="65"/>
    </row>
    <row r="447" spans="10:14" ht="12.6" hidden="1">
      <c r="J447" s="65"/>
      <c r="K447" s="65"/>
      <c r="L447" s="65"/>
      <c r="M447" s="65"/>
      <c r="N447" s="65"/>
    </row>
    <row r="448" spans="10:14" ht="12.6" hidden="1">
      <c r="J448" s="65"/>
      <c r="K448" s="65"/>
      <c r="L448" s="65"/>
      <c r="M448" s="65"/>
      <c r="N448" s="65"/>
    </row>
    <row r="449" spans="10:14" ht="12.6" hidden="1">
      <c r="J449" s="65"/>
      <c r="K449" s="65"/>
      <c r="L449" s="65"/>
      <c r="M449" s="65"/>
      <c r="N449" s="65"/>
    </row>
    <row r="450" spans="10:14" ht="12.6" hidden="1">
      <c r="J450" s="65"/>
      <c r="K450" s="65"/>
      <c r="L450" s="65"/>
      <c r="M450" s="65"/>
      <c r="N450" s="65"/>
    </row>
    <row r="451" spans="10:14" ht="12.6" hidden="1">
      <c r="J451" s="65"/>
      <c r="K451" s="65"/>
      <c r="L451" s="65"/>
      <c r="M451" s="65"/>
      <c r="N451" s="65"/>
    </row>
    <row r="452" spans="10:14" ht="12.6" hidden="1">
      <c r="J452" s="65"/>
      <c r="K452" s="65"/>
      <c r="L452" s="65"/>
      <c r="M452" s="65"/>
      <c r="N452" s="65"/>
    </row>
    <row r="453" spans="10:14" ht="12.6" hidden="1">
      <c r="J453" s="65"/>
      <c r="K453" s="65"/>
      <c r="L453" s="65"/>
      <c r="M453" s="65"/>
      <c r="N453" s="65"/>
    </row>
    <row r="454" spans="10:14" ht="12.6" hidden="1">
      <c r="J454" s="65"/>
      <c r="K454" s="65"/>
      <c r="L454" s="65"/>
      <c r="M454" s="65"/>
      <c r="N454" s="65"/>
    </row>
    <row r="455" spans="10:14" ht="12.6" hidden="1">
      <c r="J455" s="65"/>
      <c r="K455" s="65"/>
      <c r="L455" s="65"/>
      <c r="M455" s="65"/>
      <c r="N455" s="65"/>
    </row>
    <row r="456" spans="10:14" ht="12.6" hidden="1">
      <c r="J456" s="65"/>
      <c r="K456" s="65"/>
      <c r="L456" s="65"/>
      <c r="M456" s="65"/>
      <c r="N456" s="65"/>
    </row>
    <row r="457" spans="10:14" ht="12.6" hidden="1">
      <c r="J457" s="65"/>
      <c r="K457" s="65"/>
      <c r="L457" s="65"/>
      <c r="M457" s="65"/>
      <c r="N457" s="65"/>
    </row>
    <row r="458" spans="10:14" ht="12.6" hidden="1">
      <c r="J458" s="65"/>
      <c r="K458" s="65"/>
      <c r="L458" s="65"/>
      <c r="M458" s="65"/>
      <c r="N458" s="65"/>
    </row>
    <row r="459" spans="10:14" ht="12.6" hidden="1">
      <c r="J459" s="65"/>
      <c r="K459" s="65"/>
      <c r="L459" s="65"/>
      <c r="M459" s="65"/>
      <c r="N459" s="65"/>
    </row>
    <row r="460" spans="10:14" ht="12.6" hidden="1">
      <c r="J460" s="65"/>
      <c r="K460" s="65"/>
      <c r="L460" s="65"/>
      <c r="M460" s="65"/>
      <c r="N460" s="65"/>
    </row>
    <row r="461" spans="10:14" ht="12.6" hidden="1">
      <c r="J461" s="65"/>
      <c r="K461" s="65"/>
      <c r="L461" s="65"/>
      <c r="M461" s="65"/>
      <c r="N461" s="65"/>
    </row>
    <row r="462" spans="10:14" ht="12.6" hidden="1">
      <c r="J462" s="65"/>
      <c r="K462" s="65"/>
      <c r="L462" s="65"/>
      <c r="M462" s="65"/>
      <c r="N462" s="65"/>
    </row>
    <row r="463" spans="10:14" ht="12.6" hidden="1">
      <c r="J463" s="65"/>
      <c r="K463" s="65"/>
      <c r="L463" s="65"/>
      <c r="M463" s="65"/>
      <c r="N463" s="65"/>
    </row>
    <row r="464" spans="10:14" ht="12.6" hidden="1">
      <c r="J464" s="65"/>
      <c r="K464" s="65"/>
      <c r="L464" s="65"/>
      <c r="M464" s="65"/>
      <c r="N464" s="65"/>
    </row>
    <row r="465" spans="10:14" ht="12.6" hidden="1">
      <c r="J465" s="65"/>
      <c r="K465" s="65"/>
      <c r="L465" s="65"/>
      <c r="M465" s="65"/>
      <c r="N465" s="65"/>
    </row>
    <row r="466" spans="10:14" ht="12.6" hidden="1">
      <c r="J466" s="65"/>
      <c r="K466" s="65"/>
      <c r="L466" s="65"/>
      <c r="M466" s="65"/>
      <c r="N466" s="65"/>
    </row>
    <row r="467" spans="10:14" ht="12.6" hidden="1">
      <c r="J467" s="65"/>
      <c r="K467" s="65"/>
      <c r="L467" s="65"/>
      <c r="M467" s="65"/>
      <c r="N467" s="65"/>
    </row>
    <row r="468" spans="10:14" ht="12.6" hidden="1">
      <c r="J468" s="65"/>
      <c r="K468" s="65"/>
      <c r="L468" s="65"/>
      <c r="M468" s="65"/>
      <c r="N468" s="65"/>
    </row>
    <row r="469" spans="10:14" ht="12.6" hidden="1">
      <c r="J469" s="65"/>
      <c r="K469" s="65"/>
      <c r="L469" s="65"/>
      <c r="M469" s="65"/>
      <c r="N469" s="65"/>
    </row>
    <row r="470" spans="10:14" ht="12.6" hidden="1">
      <c r="J470" s="65"/>
      <c r="K470" s="65"/>
      <c r="L470" s="65"/>
      <c r="M470" s="65"/>
      <c r="N470" s="65"/>
    </row>
    <row r="471" spans="10:14" ht="12.6" hidden="1">
      <c r="J471" s="65"/>
      <c r="K471" s="65"/>
      <c r="L471" s="65"/>
      <c r="M471" s="65"/>
      <c r="N471" s="65"/>
    </row>
    <row r="472" spans="10:14" ht="12.6" hidden="1">
      <c r="J472" s="65"/>
      <c r="K472" s="65"/>
      <c r="L472" s="65"/>
      <c r="M472" s="65"/>
      <c r="N472" s="65"/>
    </row>
    <row r="473" spans="10:14" ht="12.6" hidden="1">
      <c r="J473" s="65"/>
      <c r="K473" s="65"/>
      <c r="L473" s="65"/>
      <c r="M473" s="65"/>
      <c r="N473" s="65"/>
    </row>
    <row r="474" spans="10:14" ht="12.6" hidden="1">
      <c r="J474" s="65"/>
      <c r="K474" s="65"/>
      <c r="L474" s="65"/>
      <c r="M474" s="65"/>
      <c r="N474" s="65"/>
    </row>
    <row r="475" spans="10:14" ht="12.6" hidden="1">
      <c r="J475" s="65"/>
      <c r="K475" s="65"/>
      <c r="L475" s="65"/>
      <c r="M475" s="65"/>
      <c r="N475" s="65"/>
    </row>
    <row r="476" spans="10:14" ht="12.6" hidden="1">
      <c r="J476" s="65"/>
      <c r="K476" s="65"/>
      <c r="L476" s="65"/>
      <c r="M476" s="65"/>
      <c r="N476" s="65"/>
    </row>
    <row r="477" spans="10:14" ht="12.6" hidden="1">
      <c r="J477" s="65"/>
      <c r="K477" s="65"/>
      <c r="L477" s="65"/>
      <c r="M477" s="65"/>
      <c r="N477" s="65"/>
    </row>
    <row r="478" spans="10:14" ht="12.6" hidden="1">
      <c r="J478" s="65"/>
      <c r="K478" s="65"/>
      <c r="L478" s="65"/>
      <c r="M478" s="65"/>
      <c r="N478" s="65"/>
    </row>
    <row r="479" spans="10:14" ht="12.6" hidden="1">
      <c r="J479" s="65"/>
      <c r="K479" s="65"/>
      <c r="L479" s="65"/>
      <c r="M479" s="65"/>
      <c r="N479" s="65"/>
    </row>
    <row r="480" spans="10:14" ht="12.6" hidden="1">
      <c r="J480" s="65"/>
      <c r="K480" s="65"/>
      <c r="L480" s="65"/>
      <c r="M480" s="65"/>
      <c r="N480" s="65"/>
    </row>
    <row r="481" spans="10:14" ht="12.6" hidden="1">
      <c r="J481" s="65"/>
      <c r="K481" s="65"/>
      <c r="L481" s="65"/>
      <c r="M481" s="65"/>
      <c r="N481" s="65"/>
    </row>
    <row r="482" spans="10:14" ht="12.6" hidden="1">
      <c r="J482" s="65"/>
      <c r="K482" s="65"/>
      <c r="L482" s="65"/>
      <c r="M482" s="65"/>
      <c r="N482" s="65"/>
    </row>
    <row r="483" spans="10:14" ht="12.6" hidden="1">
      <c r="J483" s="65"/>
      <c r="K483" s="65"/>
      <c r="L483" s="65"/>
      <c r="M483" s="65"/>
      <c r="N483" s="65"/>
    </row>
    <row r="484" spans="10:14" ht="12.6" hidden="1">
      <c r="J484" s="65"/>
      <c r="K484" s="65"/>
      <c r="L484" s="65"/>
      <c r="M484" s="65"/>
      <c r="N484" s="65"/>
    </row>
    <row r="485" spans="10:14" ht="12.6" hidden="1">
      <c r="J485" s="65"/>
      <c r="K485" s="65"/>
      <c r="L485" s="65"/>
      <c r="M485" s="65"/>
      <c r="N485" s="65"/>
    </row>
    <row r="486" spans="10:14" ht="12.6" hidden="1">
      <c r="J486" s="65"/>
      <c r="K486" s="65"/>
      <c r="L486" s="65"/>
      <c r="M486" s="65"/>
      <c r="N486" s="65"/>
    </row>
    <row r="487" spans="10:14" ht="12.6" hidden="1">
      <c r="J487" s="65"/>
      <c r="K487" s="65"/>
      <c r="L487" s="65"/>
      <c r="M487" s="65"/>
      <c r="N487" s="65"/>
    </row>
    <row r="488" spans="10:14" ht="12.6" hidden="1">
      <c r="J488" s="65"/>
      <c r="K488" s="65"/>
      <c r="L488" s="65"/>
      <c r="M488" s="65"/>
      <c r="N488" s="65"/>
    </row>
    <row r="489" spans="10:14" ht="12.6" hidden="1">
      <c r="J489" s="65"/>
      <c r="K489" s="65"/>
      <c r="L489" s="65"/>
      <c r="M489" s="65"/>
      <c r="N489" s="65"/>
    </row>
    <row r="490" spans="10:14" ht="12.6" hidden="1">
      <c r="J490" s="65"/>
      <c r="K490" s="65"/>
      <c r="L490" s="65"/>
      <c r="M490" s="65"/>
      <c r="N490" s="65"/>
    </row>
    <row r="491" spans="10:14" ht="12.6" hidden="1">
      <c r="J491" s="65"/>
      <c r="K491" s="65"/>
      <c r="L491" s="65"/>
      <c r="M491" s="65"/>
      <c r="N491" s="65"/>
    </row>
    <row r="492" spans="10:14" ht="12.6" hidden="1">
      <c r="J492" s="65"/>
      <c r="K492" s="65"/>
      <c r="L492" s="65"/>
      <c r="M492" s="65"/>
      <c r="N492" s="65"/>
    </row>
    <row r="493" spans="10:14" ht="12.6" hidden="1">
      <c r="J493" s="65"/>
      <c r="K493" s="65"/>
      <c r="L493" s="65"/>
      <c r="M493" s="65"/>
      <c r="N493" s="65"/>
    </row>
    <row r="494" spans="10:14" ht="12.6" hidden="1">
      <c r="J494" s="65"/>
      <c r="K494" s="65"/>
      <c r="L494" s="65"/>
      <c r="M494" s="65"/>
      <c r="N494" s="65"/>
    </row>
    <row r="495" spans="10:14" ht="12.6" hidden="1">
      <c r="J495" s="65"/>
      <c r="K495" s="65"/>
      <c r="L495" s="65"/>
      <c r="M495" s="65"/>
      <c r="N495" s="65"/>
    </row>
    <row r="496" spans="10:14" ht="12.6" hidden="1">
      <c r="J496" s="65"/>
      <c r="K496" s="65"/>
      <c r="L496" s="65"/>
      <c r="M496" s="65"/>
      <c r="N496" s="65"/>
    </row>
    <row r="497" spans="10:14" ht="12.6" hidden="1">
      <c r="J497" s="65"/>
      <c r="K497" s="65"/>
      <c r="L497" s="65"/>
      <c r="M497" s="65"/>
      <c r="N497" s="65"/>
    </row>
    <row r="498" spans="10:14" ht="12.6" hidden="1">
      <c r="J498" s="65"/>
      <c r="K498" s="65"/>
      <c r="L498" s="65"/>
      <c r="M498" s="65"/>
      <c r="N498" s="65"/>
    </row>
    <row r="499" spans="10:14" ht="12.6" hidden="1">
      <c r="J499" s="65"/>
      <c r="K499" s="65"/>
      <c r="L499" s="65"/>
      <c r="M499" s="65"/>
      <c r="N499" s="65"/>
    </row>
    <row r="500" spans="10:14" ht="12.6" hidden="1">
      <c r="J500" s="65"/>
      <c r="K500" s="65"/>
      <c r="L500" s="65"/>
      <c r="M500" s="65"/>
      <c r="N500" s="65"/>
    </row>
    <row r="501" spans="10:14" ht="12.6" hidden="1">
      <c r="J501" s="65"/>
      <c r="K501" s="65"/>
      <c r="L501" s="65"/>
      <c r="M501" s="65"/>
      <c r="N501" s="65"/>
    </row>
    <row r="502" spans="10:14" ht="12.6" hidden="1">
      <c r="J502" s="65"/>
      <c r="K502" s="65"/>
      <c r="L502" s="65"/>
      <c r="M502" s="65"/>
      <c r="N502" s="65"/>
    </row>
    <row r="503" spans="10:14" ht="12.6" hidden="1">
      <c r="J503" s="65"/>
      <c r="K503" s="65"/>
      <c r="L503" s="65"/>
      <c r="M503" s="65"/>
      <c r="N503" s="65"/>
    </row>
    <row r="504" spans="10:14" ht="12.6" hidden="1">
      <c r="J504" s="65"/>
      <c r="K504" s="65"/>
      <c r="L504" s="65"/>
      <c r="M504" s="65"/>
      <c r="N504" s="65"/>
    </row>
    <row r="505" spans="10:14" ht="12.6" hidden="1">
      <c r="J505" s="65"/>
      <c r="K505" s="65"/>
      <c r="L505" s="65"/>
      <c r="M505" s="65"/>
      <c r="N505" s="65"/>
    </row>
    <row r="506" spans="10:14" ht="12.6" hidden="1">
      <c r="J506" s="65"/>
      <c r="K506" s="65"/>
      <c r="L506" s="65"/>
      <c r="M506" s="65"/>
      <c r="N506" s="65"/>
    </row>
    <row r="507" spans="10:14" ht="12.6" hidden="1">
      <c r="J507" s="65"/>
      <c r="K507" s="65"/>
      <c r="L507" s="65"/>
      <c r="M507" s="65"/>
      <c r="N507" s="65"/>
    </row>
    <row r="508" spans="10:14" ht="12.6" hidden="1">
      <c r="J508" s="65"/>
      <c r="K508" s="65"/>
      <c r="L508" s="65"/>
      <c r="M508" s="65"/>
      <c r="N508" s="65"/>
    </row>
    <row r="509" spans="10:14" ht="12.6" hidden="1">
      <c r="J509" s="65"/>
      <c r="K509" s="65"/>
      <c r="L509" s="65"/>
      <c r="M509" s="65"/>
      <c r="N509" s="65"/>
    </row>
    <row r="510" spans="10:14" ht="12.6" hidden="1">
      <c r="J510" s="65"/>
      <c r="K510" s="65"/>
      <c r="L510" s="65"/>
      <c r="M510" s="65"/>
      <c r="N510" s="65"/>
    </row>
    <row r="511" spans="10:14" ht="12.6" hidden="1">
      <c r="J511" s="65"/>
      <c r="K511" s="65"/>
      <c r="L511" s="65"/>
      <c r="M511" s="65"/>
      <c r="N511" s="65"/>
    </row>
    <row r="512" spans="10:14" ht="12.6" hidden="1">
      <c r="J512" s="65"/>
      <c r="K512" s="65"/>
      <c r="L512" s="65"/>
      <c r="M512" s="65"/>
      <c r="N512" s="65"/>
    </row>
    <row r="513" spans="10:14" ht="12.6" hidden="1">
      <c r="J513" s="65"/>
      <c r="K513" s="65"/>
      <c r="L513" s="65"/>
      <c r="M513" s="65"/>
      <c r="N513" s="65"/>
    </row>
    <row r="514" spans="10:14" ht="12.6" hidden="1">
      <c r="J514" s="65"/>
      <c r="K514" s="65"/>
      <c r="L514" s="65"/>
      <c r="M514" s="65"/>
      <c r="N514" s="65"/>
    </row>
    <row r="515" spans="10:14" ht="12.6" hidden="1">
      <c r="J515" s="65"/>
      <c r="K515" s="65"/>
      <c r="L515" s="65"/>
      <c r="M515" s="65"/>
      <c r="N515" s="65"/>
    </row>
    <row r="516" spans="10:14" ht="12.6" hidden="1">
      <c r="J516" s="65"/>
      <c r="K516" s="65"/>
      <c r="L516" s="65"/>
      <c r="M516" s="65"/>
      <c r="N516" s="65"/>
    </row>
    <row r="517" spans="10:14" ht="12.6" hidden="1">
      <c r="J517" s="65"/>
      <c r="K517" s="65"/>
      <c r="L517" s="65"/>
      <c r="M517" s="65"/>
      <c r="N517" s="65"/>
    </row>
    <row r="518" spans="10:14" ht="12.6" hidden="1">
      <c r="J518" s="65"/>
      <c r="K518" s="65"/>
      <c r="L518" s="65"/>
      <c r="M518" s="65"/>
      <c r="N518" s="65"/>
    </row>
    <row r="519" spans="10:14" ht="12.6" hidden="1">
      <c r="J519" s="65"/>
      <c r="K519" s="65"/>
      <c r="L519" s="65"/>
      <c r="M519" s="65"/>
      <c r="N519" s="65"/>
    </row>
    <row r="520" spans="10:14" ht="12.6" hidden="1">
      <c r="J520" s="65"/>
      <c r="K520" s="65"/>
      <c r="L520" s="65"/>
      <c r="M520" s="65"/>
      <c r="N520" s="65"/>
    </row>
    <row r="521" spans="10:14" ht="12.6" hidden="1">
      <c r="J521" s="65"/>
      <c r="K521" s="65"/>
      <c r="L521" s="65"/>
      <c r="M521" s="65"/>
      <c r="N521" s="65"/>
    </row>
    <row r="522" spans="10:14" ht="12.6" hidden="1">
      <c r="J522" s="65"/>
      <c r="K522" s="65"/>
      <c r="L522" s="65"/>
      <c r="M522" s="65"/>
      <c r="N522" s="65"/>
    </row>
    <row r="523" spans="10:14" ht="12.6" hidden="1">
      <c r="J523" s="65"/>
      <c r="K523" s="65"/>
      <c r="L523" s="65"/>
      <c r="M523" s="65"/>
      <c r="N523" s="65"/>
    </row>
    <row r="524" spans="10:14" ht="12.6" hidden="1">
      <c r="J524" s="65"/>
      <c r="K524" s="65"/>
      <c r="L524" s="65"/>
      <c r="M524" s="65"/>
      <c r="N524" s="65"/>
    </row>
    <row r="525" spans="10:14" ht="12.6" hidden="1">
      <c r="J525" s="65"/>
      <c r="K525" s="65"/>
      <c r="L525" s="65"/>
      <c r="M525" s="65"/>
      <c r="N525" s="65"/>
    </row>
    <row r="526" spans="10:14" ht="12.6" hidden="1">
      <c r="J526" s="65"/>
      <c r="K526" s="65"/>
      <c r="L526" s="65"/>
      <c r="M526" s="65"/>
      <c r="N526" s="65"/>
    </row>
    <row r="527" spans="10:14" ht="12.6" hidden="1">
      <c r="J527" s="65"/>
      <c r="K527" s="65"/>
      <c r="L527" s="65"/>
      <c r="M527" s="65"/>
      <c r="N527" s="65"/>
    </row>
    <row r="528" spans="10:14" ht="12.6" hidden="1">
      <c r="J528" s="65"/>
      <c r="K528" s="65"/>
      <c r="L528" s="65"/>
      <c r="M528" s="65"/>
      <c r="N528" s="65"/>
    </row>
    <row r="529" spans="10:14" ht="12.6" hidden="1">
      <c r="J529" s="65"/>
      <c r="K529" s="65"/>
      <c r="L529" s="65"/>
      <c r="M529" s="65"/>
      <c r="N529" s="65"/>
    </row>
    <row r="530" spans="10:14" ht="12.6" hidden="1">
      <c r="J530" s="65"/>
      <c r="K530" s="65"/>
      <c r="L530" s="65"/>
      <c r="M530" s="65"/>
      <c r="N530" s="65"/>
    </row>
    <row r="531" spans="10:14" ht="12.6" hidden="1">
      <c r="J531" s="65"/>
      <c r="K531" s="65"/>
      <c r="L531" s="65"/>
      <c r="M531" s="65"/>
      <c r="N531" s="65"/>
    </row>
    <row r="532" spans="10:14" ht="12.6" hidden="1">
      <c r="J532" s="65"/>
      <c r="K532" s="65"/>
      <c r="L532" s="65"/>
      <c r="M532" s="65"/>
      <c r="N532" s="65"/>
    </row>
    <row r="533" spans="10:14" ht="12.6" hidden="1">
      <c r="J533" s="65"/>
      <c r="K533" s="65"/>
      <c r="L533" s="65"/>
      <c r="M533" s="65"/>
      <c r="N533" s="65"/>
    </row>
    <row r="534" spans="10:14" ht="12.6" hidden="1">
      <c r="J534" s="65"/>
      <c r="K534" s="65"/>
      <c r="L534" s="65"/>
      <c r="M534" s="65"/>
      <c r="N534" s="65"/>
    </row>
    <row r="535" spans="10:14" ht="12.6" hidden="1">
      <c r="J535" s="65"/>
      <c r="K535" s="65"/>
      <c r="L535" s="65"/>
      <c r="M535" s="65"/>
      <c r="N535" s="65"/>
    </row>
    <row r="536" spans="10:14" ht="12.6" hidden="1">
      <c r="J536" s="65"/>
      <c r="K536" s="65"/>
      <c r="L536" s="65"/>
      <c r="M536" s="65"/>
      <c r="N536" s="65"/>
    </row>
    <row r="537" spans="10:14" ht="12.6" hidden="1">
      <c r="J537" s="65"/>
      <c r="K537" s="65"/>
      <c r="L537" s="65"/>
      <c r="M537" s="65"/>
      <c r="N537" s="65"/>
    </row>
    <row r="538" spans="10:14" ht="12.6" hidden="1">
      <c r="J538" s="65"/>
      <c r="K538" s="65"/>
      <c r="L538" s="65"/>
      <c r="M538" s="65"/>
      <c r="N538" s="65"/>
    </row>
    <row r="539" spans="10:14" ht="12.6" hidden="1">
      <c r="J539" s="65"/>
      <c r="K539" s="65"/>
      <c r="L539" s="65"/>
      <c r="M539" s="65"/>
      <c r="N539" s="65"/>
    </row>
    <row r="540" spans="10:14" ht="12.6" hidden="1">
      <c r="J540" s="65"/>
      <c r="K540" s="65"/>
      <c r="L540" s="65"/>
      <c r="M540" s="65"/>
      <c r="N540" s="65"/>
    </row>
    <row r="541" spans="10:14" ht="12.6" hidden="1">
      <c r="J541" s="65"/>
      <c r="K541" s="65"/>
      <c r="L541" s="65"/>
      <c r="M541" s="65"/>
      <c r="N541" s="65"/>
    </row>
    <row r="542" spans="10:14" ht="12.6" hidden="1">
      <c r="J542" s="65"/>
      <c r="K542" s="65"/>
      <c r="L542" s="65"/>
      <c r="M542" s="65"/>
      <c r="N542" s="65"/>
    </row>
    <row r="543" spans="10:14" ht="12.6" hidden="1">
      <c r="J543" s="65"/>
      <c r="K543" s="65"/>
      <c r="L543" s="65"/>
      <c r="M543" s="65"/>
      <c r="N543" s="65"/>
    </row>
    <row r="544" spans="10:14" ht="12.6" hidden="1">
      <c r="J544" s="65"/>
      <c r="K544" s="65"/>
      <c r="L544" s="65"/>
      <c r="M544" s="65"/>
      <c r="N544" s="65"/>
    </row>
    <row r="545" spans="10:14" ht="12.6" hidden="1">
      <c r="J545" s="65"/>
      <c r="K545" s="65"/>
      <c r="L545" s="65"/>
      <c r="M545" s="65"/>
      <c r="N545" s="65"/>
    </row>
    <row r="546" spans="10:14" ht="12.6" hidden="1">
      <c r="J546" s="65"/>
      <c r="K546" s="65"/>
      <c r="L546" s="65"/>
      <c r="M546" s="65"/>
      <c r="N546" s="65"/>
    </row>
    <row r="547" spans="10:14" ht="12.6" hidden="1">
      <c r="J547" s="65"/>
      <c r="K547" s="65"/>
      <c r="L547" s="65"/>
      <c r="M547" s="65"/>
      <c r="N547" s="65"/>
    </row>
    <row r="548" spans="10:14" ht="12.6" hidden="1">
      <c r="J548" s="65"/>
      <c r="K548" s="65"/>
      <c r="L548" s="65"/>
      <c r="M548" s="65"/>
      <c r="N548" s="65"/>
    </row>
    <row r="549" spans="10:14" ht="12.6" hidden="1">
      <c r="J549" s="65"/>
      <c r="K549" s="65"/>
      <c r="L549" s="65"/>
      <c r="M549" s="65"/>
      <c r="N549" s="65"/>
    </row>
    <row r="550" spans="10:14" ht="12.6" hidden="1">
      <c r="J550" s="65"/>
      <c r="K550" s="65"/>
      <c r="L550" s="65"/>
      <c r="M550" s="65"/>
      <c r="N550" s="65"/>
    </row>
    <row r="551" spans="10:14" ht="12.6" hidden="1">
      <c r="J551" s="65"/>
      <c r="K551" s="65"/>
      <c r="L551" s="65"/>
      <c r="M551" s="65"/>
      <c r="N551" s="65"/>
    </row>
    <row r="552" spans="10:14" ht="12.6" hidden="1">
      <c r="J552" s="65"/>
      <c r="K552" s="65"/>
      <c r="L552" s="65"/>
      <c r="M552" s="65"/>
      <c r="N552" s="65"/>
    </row>
    <row r="553" spans="10:14" ht="12.6" hidden="1">
      <c r="J553" s="65"/>
      <c r="K553" s="65"/>
      <c r="L553" s="65"/>
      <c r="M553" s="65"/>
      <c r="N553" s="65"/>
    </row>
    <row r="554" spans="10:14" ht="12.6" hidden="1">
      <c r="J554" s="65"/>
      <c r="K554" s="65"/>
      <c r="L554" s="65"/>
      <c r="M554" s="65"/>
      <c r="N554" s="65"/>
    </row>
    <row r="555" spans="10:14" ht="12.6" hidden="1">
      <c r="J555" s="65"/>
      <c r="K555" s="65"/>
      <c r="L555" s="65"/>
      <c r="M555" s="65"/>
      <c r="N555" s="65"/>
    </row>
    <row r="556" spans="10:14" ht="12.6" hidden="1">
      <c r="J556" s="65"/>
      <c r="K556" s="65"/>
      <c r="L556" s="65"/>
      <c r="M556" s="65"/>
      <c r="N556" s="65"/>
    </row>
    <row r="557" spans="10:14" ht="12.6" hidden="1">
      <c r="J557" s="65"/>
      <c r="K557" s="65"/>
      <c r="L557" s="65"/>
      <c r="M557" s="65"/>
      <c r="N557" s="65"/>
    </row>
    <row r="558" spans="10:14" ht="12.6" hidden="1">
      <c r="J558" s="65"/>
      <c r="K558" s="65"/>
      <c r="L558" s="65"/>
      <c r="M558" s="65"/>
      <c r="N558" s="65"/>
    </row>
    <row r="559" spans="10:14" ht="12.6" hidden="1">
      <c r="J559" s="65"/>
      <c r="K559" s="65"/>
      <c r="L559" s="65"/>
      <c r="M559" s="65"/>
      <c r="N559" s="65"/>
    </row>
    <row r="560" spans="10:14" ht="12.6" hidden="1">
      <c r="J560" s="65"/>
      <c r="K560" s="65"/>
      <c r="L560" s="65"/>
      <c r="M560" s="65"/>
      <c r="N560" s="65"/>
    </row>
    <row r="561" spans="10:14" ht="12.6" hidden="1">
      <c r="J561" s="65"/>
      <c r="K561" s="65"/>
      <c r="L561" s="65"/>
      <c r="M561" s="65"/>
      <c r="N561" s="65"/>
    </row>
    <row r="562" spans="10:14" ht="12.6" hidden="1">
      <c r="J562" s="65"/>
      <c r="K562" s="65"/>
      <c r="L562" s="65"/>
      <c r="M562" s="65"/>
      <c r="N562" s="65"/>
    </row>
    <row r="563" spans="10:14" ht="12.6" hidden="1">
      <c r="J563" s="65"/>
      <c r="K563" s="65"/>
      <c r="L563" s="65"/>
      <c r="M563" s="65"/>
      <c r="N563" s="65"/>
    </row>
    <row r="564" spans="10:14" ht="12.6" hidden="1">
      <c r="J564" s="65"/>
      <c r="K564" s="65"/>
      <c r="L564" s="65"/>
      <c r="M564" s="65"/>
      <c r="N564" s="65"/>
    </row>
    <row r="565" spans="10:14" ht="12.6" hidden="1">
      <c r="J565" s="65"/>
      <c r="K565" s="65"/>
      <c r="L565" s="65"/>
      <c r="M565" s="65"/>
      <c r="N565" s="65"/>
    </row>
    <row r="566" spans="10:14" ht="12.6" hidden="1">
      <c r="J566" s="65"/>
      <c r="K566" s="65"/>
      <c r="L566" s="65"/>
      <c r="M566" s="65"/>
      <c r="N566" s="65"/>
    </row>
    <row r="567" spans="10:14" ht="12.6" hidden="1">
      <c r="J567" s="65"/>
      <c r="K567" s="65"/>
      <c r="L567" s="65"/>
      <c r="M567" s="65"/>
      <c r="N567" s="65"/>
    </row>
    <row r="568" spans="10:14" ht="12.6" hidden="1">
      <c r="J568" s="65"/>
      <c r="K568" s="65"/>
      <c r="L568" s="65"/>
      <c r="M568" s="65"/>
      <c r="N568" s="65"/>
    </row>
    <row r="569" spans="10:14" ht="12.6" hidden="1">
      <c r="J569" s="65"/>
      <c r="K569" s="65"/>
      <c r="L569" s="65"/>
      <c r="M569" s="65"/>
      <c r="N569" s="65"/>
    </row>
    <row r="570" spans="10:14" ht="12.6" hidden="1">
      <c r="J570" s="65"/>
      <c r="K570" s="65"/>
      <c r="L570" s="65"/>
      <c r="M570" s="65"/>
      <c r="N570" s="65"/>
    </row>
    <row r="571" spans="10:14" ht="12.6" hidden="1">
      <c r="J571" s="65"/>
      <c r="K571" s="65"/>
      <c r="L571" s="65"/>
      <c r="M571" s="65"/>
      <c r="N571" s="65"/>
    </row>
    <row r="572" spans="10:14" ht="12.6" hidden="1">
      <c r="J572" s="65"/>
      <c r="K572" s="65"/>
      <c r="L572" s="65"/>
      <c r="M572" s="65"/>
      <c r="N572" s="65"/>
    </row>
    <row r="573" spans="10:14" ht="12.6" hidden="1">
      <c r="J573" s="65"/>
      <c r="K573" s="65"/>
      <c r="L573" s="65"/>
      <c r="M573" s="65"/>
      <c r="N573" s="65"/>
    </row>
    <row r="574" spans="10:14" ht="12.6" hidden="1">
      <c r="J574" s="65"/>
      <c r="K574" s="65"/>
      <c r="L574" s="65"/>
      <c r="M574" s="65"/>
      <c r="N574" s="65"/>
    </row>
    <row r="575" spans="10:14" ht="12.6" hidden="1">
      <c r="J575" s="65"/>
      <c r="K575" s="65"/>
      <c r="L575" s="65"/>
      <c r="M575" s="65"/>
      <c r="N575" s="65"/>
    </row>
    <row r="576" spans="10:14" ht="12.6" hidden="1">
      <c r="J576" s="65"/>
      <c r="K576" s="65"/>
      <c r="L576" s="65"/>
      <c r="M576" s="65"/>
      <c r="N576" s="65"/>
    </row>
    <row r="577" spans="10:14" ht="12.6" hidden="1">
      <c r="J577" s="65"/>
      <c r="K577" s="65"/>
      <c r="L577" s="65"/>
      <c r="M577" s="65"/>
      <c r="N577" s="65"/>
    </row>
    <row r="578" spans="10:14" ht="12.6" hidden="1">
      <c r="J578" s="65"/>
      <c r="K578" s="65"/>
      <c r="L578" s="65"/>
      <c r="M578" s="65"/>
      <c r="N578" s="65"/>
    </row>
    <row r="579" spans="10:14" ht="12.6" hidden="1">
      <c r="J579" s="65"/>
      <c r="K579" s="65"/>
      <c r="L579" s="65"/>
      <c r="M579" s="65"/>
      <c r="N579" s="65"/>
    </row>
    <row r="580" spans="10:14" ht="12.6" hidden="1">
      <c r="J580" s="65"/>
      <c r="K580" s="65"/>
      <c r="L580" s="65"/>
      <c r="M580" s="65"/>
      <c r="N580" s="65"/>
    </row>
    <row r="581" spans="10:14" ht="12.6" hidden="1">
      <c r="J581" s="65"/>
      <c r="K581" s="65"/>
      <c r="L581" s="65"/>
      <c r="M581" s="65"/>
      <c r="N581" s="65"/>
    </row>
    <row r="582" spans="10:14" ht="12.6" hidden="1">
      <c r="J582" s="65"/>
      <c r="K582" s="65"/>
      <c r="L582" s="65"/>
      <c r="M582" s="65"/>
      <c r="N582" s="65"/>
    </row>
    <row r="583" spans="10:14" ht="12.6" hidden="1">
      <c r="J583" s="65"/>
      <c r="K583" s="65"/>
      <c r="L583" s="65"/>
      <c r="M583" s="65"/>
      <c r="N583" s="65"/>
    </row>
    <row r="584" spans="10:14" ht="12.6" hidden="1">
      <c r="J584" s="65"/>
      <c r="K584" s="65"/>
      <c r="L584" s="65"/>
      <c r="M584" s="65"/>
      <c r="N584" s="65"/>
    </row>
    <row r="585" spans="10:14" ht="12.6" hidden="1">
      <c r="J585" s="65"/>
      <c r="K585" s="65"/>
      <c r="L585" s="65"/>
      <c r="M585" s="65"/>
      <c r="N585" s="65"/>
    </row>
    <row r="586" spans="10:14" ht="12.6" hidden="1">
      <c r="J586" s="65"/>
      <c r="K586" s="65"/>
      <c r="L586" s="65"/>
      <c r="M586" s="65"/>
      <c r="N586" s="65"/>
    </row>
    <row r="587" spans="10:14" ht="12.6" hidden="1"/>
    <row r="588" spans="10:14" ht="12.6" hidden="1"/>
  </sheetData>
  <mergeCells count="8">
    <mergeCell ref="C55:H55"/>
    <mergeCell ref="J55:O55"/>
    <mergeCell ref="B3:O3"/>
    <mergeCell ref="B4:O4"/>
    <mergeCell ref="B5:O5"/>
    <mergeCell ref="C9:H9"/>
    <mergeCell ref="J9:O9"/>
    <mergeCell ref="C44:O45"/>
  </mergeCells>
  <printOptions horizontalCentered="1" verticalCentered="1"/>
  <pageMargins left="0.19685039370078741" right="0.19685039370078741" top="0.82677165354330717" bottom="0.19685039370078741" header="0" footer="0"/>
  <pageSetup paperSize="9" scale="70" orientation="portrait" r:id="rId1"/>
  <headerFooter>
    <oddHeader xml:space="preserve">&amp;L
             &amp;G&amp;C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Drop Down 1">
              <controlPr defaultSize="0" autoLine="0" autoPict="0">
                <anchor moveWithCells="1">
                  <from>
                    <xdr:col>7</xdr:col>
                    <xdr:colOff>274320</xdr:colOff>
                    <xdr:row>6</xdr:row>
                    <xdr:rowOff>7620</xdr:rowOff>
                  </from>
                  <to>
                    <xdr:col>9</xdr:col>
                    <xdr:colOff>304800</xdr:colOff>
                    <xdr:row>6</xdr:row>
                    <xdr:rowOff>213360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249</vt:i4>
      </vt:variant>
    </vt:vector>
  </HeadingPairs>
  <TitlesOfParts>
    <vt:vector size="261" baseType="lpstr">
      <vt:lpstr>Index</vt:lpstr>
      <vt:lpstr>Table 1.1</vt:lpstr>
      <vt:lpstr>Table 1.2</vt:lpstr>
      <vt:lpstr>Table 2.1</vt:lpstr>
      <vt:lpstr>Table 2.2</vt:lpstr>
      <vt:lpstr>Table 2.3</vt:lpstr>
      <vt:lpstr>Table 2.4</vt:lpstr>
      <vt:lpstr>Table 3.1</vt:lpstr>
      <vt:lpstr>Table 3.2</vt:lpstr>
      <vt:lpstr>Data</vt:lpstr>
      <vt:lpstr>Homogeneous</vt:lpstr>
      <vt:lpstr>Homogeneous Revenue (rates)</vt:lpstr>
      <vt:lpstr>'Table 1.1'!Año_anterior_seleccionado</vt:lpstr>
      <vt:lpstr>'Table 1.2'!Año_anterior_seleccionado_C.1.2</vt:lpstr>
      <vt:lpstr>'Table 2.3'!Año_anterior_seleccionado_C.1.2</vt:lpstr>
      <vt:lpstr>'Table 3.2'!Año_anterior_seleccionado_C.1.2</vt:lpstr>
      <vt:lpstr>'Table 2.1'!Año_anterior_seleccionado_C.2.1</vt:lpstr>
      <vt:lpstr>'Table 2.2'!Año_anterior_seleccionado_C.2.2</vt:lpstr>
      <vt:lpstr>'Table 2.3'!Año_anterior_seleccionado_C.2.3</vt:lpstr>
      <vt:lpstr>'Table 2.4'!Año_anterior_seleccionado_C.2.4</vt:lpstr>
      <vt:lpstr>'Table 3.1'!Año_anterior_seleccionado_C.3.1</vt:lpstr>
      <vt:lpstr>'Table 3.2'!Año_anterior_seleccionado_C.3.2</vt:lpstr>
      <vt:lpstr>'Table 1.1'!Año_seleccionado</vt:lpstr>
      <vt:lpstr>'Table 1.2'!Año_seleccionado_C.1.2</vt:lpstr>
      <vt:lpstr>'Table 2.2'!Año_seleccionado_C.1.2</vt:lpstr>
      <vt:lpstr>'Table 2.3'!Año_seleccionado_C.1.2</vt:lpstr>
      <vt:lpstr>'Table 3.2'!Año_seleccionado_C.1.2</vt:lpstr>
      <vt:lpstr>'Table 2.1'!Año_seleccionado_C.2.1</vt:lpstr>
      <vt:lpstr>'Table 2.2'!Año_seleccionado_C.2.2</vt:lpstr>
      <vt:lpstr>'Table 2.3'!Año_seleccionado_C.2.3</vt:lpstr>
      <vt:lpstr>'Table 2.4'!Año_seleccionado_C.2.4</vt:lpstr>
      <vt:lpstr>'Table 3.1'!Año_seleccionado_C.3.1</vt:lpstr>
      <vt:lpstr>'Table 3.2'!Año_seleccionado_C.3.2</vt:lpstr>
      <vt:lpstr>Años</vt:lpstr>
      <vt:lpstr>Años_datos</vt:lpstr>
      <vt:lpstr>Años_homogeneizaciones</vt:lpstr>
      <vt:lpstr>Años_homogeneos</vt:lpstr>
      <vt:lpstr>Index!Área_de_impresión</vt:lpstr>
      <vt:lpstr>'Table 1.1'!Área_de_impresión</vt:lpstr>
      <vt:lpstr>'Table 1.2'!Área_de_impresión</vt:lpstr>
      <vt:lpstr>'Table 2.1'!Área_de_impresión</vt:lpstr>
      <vt:lpstr>'Table 2.2'!Área_de_impresión</vt:lpstr>
      <vt:lpstr>'Table 2.3'!Área_de_impresión</vt:lpstr>
      <vt:lpstr>'Table 2.4'!Área_de_impresión</vt:lpstr>
      <vt:lpstr>'Table 3.1'!Área_de_impresión</vt:lpstr>
      <vt:lpstr>'Table 3.2'!Área_de_impresión</vt:lpstr>
      <vt:lpstr>CT</vt:lpstr>
      <vt:lpstr>'Table 1.1'!Cuadro_1.1</vt:lpstr>
      <vt:lpstr>'Table 1.2'!Cuadro_1.2</vt:lpstr>
      <vt:lpstr>'Table 2.1'!Cuadro_2.1</vt:lpstr>
      <vt:lpstr>'Table 2.2'!Cuadro_2.2</vt:lpstr>
      <vt:lpstr>'Table 2.3'!Cuadro_2.3</vt:lpstr>
      <vt:lpstr>'Table 2.4'!Cuadro_2.4</vt:lpstr>
      <vt:lpstr>'Table 3.1'!Cuadro_3.1</vt:lpstr>
      <vt:lpstr>'Table 3.2'!Cuadro_3.2</vt:lpstr>
      <vt:lpstr>Datos_periodo</vt:lpstr>
      <vt:lpstr>Excises_tax</vt:lpstr>
      <vt:lpstr>Homogeneos_IIEE</vt:lpstr>
      <vt:lpstr>Homogeneos_IIEE_ajustes_otros</vt:lpstr>
      <vt:lpstr>Homogeneos_IIEE_ajustes_tabaco_PVN</vt:lpstr>
      <vt:lpstr>Homogeneos_IIEE_ajustes_total</vt:lpstr>
      <vt:lpstr>Homogeneos_ingresos_totales</vt:lpstr>
      <vt:lpstr>Homogeneos_IRPF</vt:lpstr>
      <vt:lpstr>Homogeneos_IRPF_ajustes_otros</vt:lpstr>
      <vt:lpstr>Homogeneos_IRPF_ajustes_retenc_trabajo_AAPP</vt:lpstr>
      <vt:lpstr>Homogeneos_IRPF_ajustes_ritmo_devoluc</vt:lpstr>
      <vt:lpstr>Homogeneos_IRPF_ajustes_total</vt:lpstr>
      <vt:lpstr>Homogeneos_IS</vt:lpstr>
      <vt:lpstr>Homogeneos_IS_ajustes_otros</vt:lpstr>
      <vt:lpstr>Homogeneos_IS_ajustes_ritmo_devoluciones</vt:lpstr>
      <vt:lpstr>Homogeneos_IS_ajustes_total</vt:lpstr>
      <vt:lpstr>Homogeneos_IVA</vt:lpstr>
      <vt:lpstr>Homogeneos_IVA_ajustes_otros</vt:lpstr>
      <vt:lpstr>Homogeneos_IVA_ajustes_ritmo_devoluciones</vt:lpstr>
      <vt:lpstr>Homogeneos_IVA_ajustes_total</vt:lpstr>
      <vt:lpstr>Homogeneos_resto_ingresos</vt:lpstr>
      <vt:lpstr>Homogeneos_resto_ingresos_ajustes_otros</vt:lpstr>
      <vt:lpstr>Homogeneos_resto_ingresos_ajustes_tasa_radieolectr</vt:lpstr>
      <vt:lpstr>Homogeneos_resto_ingresos_ajustes_total</vt:lpstr>
      <vt:lpstr>IIEE_AATT_alcoholes</vt:lpstr>
      <vt:lpstr>IIEE_AATT_cerveza</vt:lpstr>
      <vt:lpstr>IIEE_AATT_electricidad</vt:lpstr>
      <vt:lpstr>IIEE_AATT_hidrocarburos</vt:lpstr>
      <vt:lpstr>IIEE_AATT_prod_intermedios</vt:lpstr>
      <vt:lpstr>IIEE_AATT_tabaco</vt:lpstr>
      <vt:lpstr>IIEE_AATT_total</vt:lpstr>
      <vt:lpstr>IIEE_bruto_alcohol</vt:lpstr>
      <vt:lpstr>IIEE_bruto_carbon</vt:lpstr>
      <vt:lpstr>IIEE_bruto_cerveza</vt:lpstr>
      <vt:lpstr>IIEE_bruto_electricidad</vt:lpstr>
      <vt:lpstr>IIEE_bruto_hidrocarburos</vt:lpstr>
      <vt:lpstr>IIEE_bruto_plasticos</vt:lpstr>
      <vt:lpstr>IIEE_bruto_prod_intermedios</vt:lpstr>
      <vt:lpstr>IIEE_bruto_tabaco</vt:lpstr>
      <vt:lpstr>IIEE_bruto_total</vt:lpstr>
      <vt:lpstr>IIEE_bruto_transporte</vt:lpstr>
      <vt:lpstr>IIEE_CCAA_alcohol</vt:lpstr>
      <vt:lpstr>IIEE_CCAA_cerveza</vt:lpstr>
      <vt:lpstr>IIEE_CCAA_electricidad</vt:lpstr>
      <vt:lpstr>IIEE_CCAA_hidrocarburos</vt:lpstr>
      <vt:lpstr>IIEE_CCAA_prod_intermedios</vt:lpstr>
      <vt:lpstr>IIEE_CCAA_tabaco</vt:lpstr>
      <vt:lpstr>IIEE_CCAA_total</vt:lpstr>
      <vt:lpstr>IIEE_CCLL_alcohol</vt:lpstr>
      <vt:lpstr>IIEE_CCLL_cerveza</vt:lpstr>
      <vt:lpstr>IIEE_CCLL_hidrocarburos</vt:lpstr>
      <vt:lpstr>IIEE_CCLL_prod_intermedios</vt:lpstr>
      <vt:lpstr>IIEE_CCLL_tabaco</vt:lpstr>
      <vt:lpstr>IIEE_CCLL_total</vt:lpstr>
      <vt:lpstr>IIEE_devoluciones_alcohol</vt:lpstr>
      <vt:lpstr>IIEE_devoluciones_carbon</vt:lpstr>
      <vt:lpstr>IIEE_devoluciones_cerveza</vt:lpstr>
      <vt:lpstr>IIEE_devoluciones_electricidad</vt:lpstr>
      <vt:lpstr>IIEE_devoluciones_hidrocarburos</vt:lpstr>
      <vt:lpstr>IIEE_devoluciones_plasticos</vt:lpstr>
      <vt:lpstr>IIEE_devoluciones_prod_intermedios</vt:lpstr>
      <vt:lpstr>IIEE_devoluciones_tabaco</vt:lpstr>
      <vt:lpstr>IIEE_devoluciones_total</vt:lpstr>
      <vt:lpstr>IIEE_devoluciones_transporte</vt:lpstr>
      <vt:lpstr>IIEE_Estado_alcohol</vt:lpstr>
      <vt:lpstr>IIEE_Estado_cerveza</vt:lpstr>
      <vt:lpstr>IIEE_Estado_electricidad</vt:lpstr>
      <vt:lpstr>IIEE_Estado_hidrocarburos</vt:lpstr>
      <vt:lpstr>IIEE_Estado_prod_intermedios</vt:lpstr>
      <vt:lpstr>IIEE_Estado_tabaco</vt:lpstr>
      <vt:lpstr>IIEE_Estado_total</vt:lpstr>
      <vt:lpstr>IIEE_neto_alcohol</vt:lpstr>
      <vt:lpstr>IIEE_neto_carbon</vt:lpstr>
      <vt:lpstr>IIEE_neto_cerveza</vt:lpstr>
      <vt:lpstr>IIEE_neto_electricidad</vt:lpstr>
      <vt:lpstr>IIEE_neto_hidrocarburos</vt:lpstr>
      <vt:lpstr>IIEE_neto_plasticos</vt:lpstr>
      <vt:lpstr>IIEE_neto_prod_intermedios</vt:lpstr>
      <vt:lpstr>IIEE_neto_tabaco</vt:lpstr>
      <vt:lpstr>IIEE_neto_total</vt:lpstr>
      <vt:lpstr>IIEE_neto_transporte</vt:lpstr>
      <vt:lpstr>Index!ÍNDICE_CUADROS_ESTADÍSTICOS</vt:lpstr>
      <vt:lpstr>Ingresos_netos_totales</vt:lpstr>
      <vt:lpstr>Ingresos_totales_AATT</vt:lpstr>
      <vt:lpstr>Ingresos_totales_brutos</vt:lpstr>
      <vt:lpstr>Ingresos_totales_CCAA</vt:lpstr>
      <vt:lpstr>Ingresos_totales_CCLL</vt:lpstr>
      <vt:lpstr>Ingresos_totales_devoluciones</vt:lpstr>
      <vt:lpstr>Ingresos_totales_Estado</vt:lpstr>
      <vt:lpstr>Ingresos_tributarios_totales</vt:lpstr>
      <vt:lpstr>IRNR</vt:lpstr>
      <vt:lpstr>IRNR_bruto</vt:lpstr>
      <vt:lpstr>IRNR_devoluciones</vt:lpstr>
      <vt:lpstr>IRNR_neto</vt:lpstr>
      <vt:lpstr>IRNR_pagos_fraccionados</vt:lpstr>
      <vt:lpstr>IRNR_RDA_actas_otros</vt:lpstr>
      <vt:lpstr>IRNR_retenc_ingresos_a_cuenta</vt:lpstr>
      <vt:lpstr>IRPF_AATT</vt:lpstr>
      <vt:lpstr>IRPF_arrendamientos</vt:lpstr>
      <vt:lpstr>IRPF_Asig_Iglesia</vt:lpstr>
      <vt:lpstr>IRPF_bruto</vt:lpstr>
      <vt:lpstr>IRPF_campaña_bruto</vt:lpstr>
      <vt:lpstr>IRPF_capital_mobiliario</vt:lpstr>
      <vt:lpstr>IRPF_CCAA</vt:lpstr>
      <vt:lpstr>IRPF_CCLL</vt:lpstr>
      <vt:lpstr>IRPF_devoluciones_liquidac_Admon</vt:lpstr>
      <vt:lpstr>IRPF_devoluciones_otras</vt:lpstr>
      <vt:lpstr>IRPF_devoluciones_RDeclaracAnual</vt:lpstr>
      <vt:lpstr>IRPF_devoluciones_Tesoro</vt:lpstr>
      <vt:lpstr>IRPF_devoluciones_total</vt:lpstr>
      <vt:lpstr>IRPF_Estado</vt:lpstr>
      <vt:lpstr>IRPF_fondos_inversión</vt:lpstr>
      <vt:lpstr>IRPF_Grav_loterías</vt:lpstr>
      <vt:lpstr>IRPF_Liq_Admon_bruto</vt:lpstr>
      <vt:lpstr>IRPF_LiqAdmon_neto</vt:lpstr>
      <vt:lpstr>IRPF_neto_total</vt:lpstr>
      <vt:lpstr>IRPF_Otros_ingresos_brutos</vt:lpstr>
      <vt:lpstr>IRPF_otros_ingresos_neto</vt:lpstr>
      <vt:lpstr>IRPF_pagos_fraccionados</vt:lpstr>
      <vt:lpstr>IRPF_RDA_resto</vt:lpstr>
      <vt:lpstr>IRPF_RDeclaracAnual_bruto</vt:lpstr>
      <vt:lpstr>IRPF_RDeclaracAnual_neto</vt:lpstr>
      <vt:lpstr>IRPF_trabajo_AAPP</vt:lpstr>
      <vt:lpstr>IRPF_trabajo_bruto</vt:lpstr>
      <vt:lpstr>IRPF_trabajo_GE</vt:lpstr>
      <vt:lpstr>IRPF_trabajo_neto</vt:lpstr>
      <vt:lpstr>IRPF_trabajo_Pymes</vt:lpstr>
      <vt:lpstr>IS_arrendamientos</vt:lpstr>
      <vt:lpstr>IS_bruto</vt:lpstr>
      <vt:lpstr>IS_bruto_pagos_fraccionados</vt:lpstr>
      <vt:lpstr>IS_bruto_RDeclaracAnual</vt:lpstr>
      <vt:lpstr>IS_capital_mobiliario</vt:lpstr>
      <vt:lpstr>IS_devoluciones</vt:lpstr>
      <vt:lpstr>IS_devoluciones_liq_Admon</vt:lpstr>
      <vt:lpstr>IS_devoluciones_otras</vt:lpstr>
      <vt:lpstr>IS_devoluciones_RDA</vt:lpstr>
      <vt:lpstr>IS_devoluciones_Tesoro</vt:lpstr>
      <vt:lpstr>IS_devoluciones_total</vt:lpstr>
      <vt:lpstr>IS_fondos_inversión</vt:lpstr>
      <vt:lpstr>IS_Gravamen_loterias</vt:lpstr>
      <vt:lpstr>IS_liq_Admon_neto</vt:lpstr>
      <vt:lpstr>IS_LiquidacAdmon_bruto</vt:lpstr>
      <vt:lpstr>IS_neto_total</vt:lpstr>
      <vt:lpstr>IS_otros_ingresos_bruto</vt:lpstr>
      <vt:lpstr>IS_otros_ingresos_neto</vt:lpstr>
      <vt:lpstr>IS_pagos_fracc_grandes_empresas_no_grupos</vt:lpstr>
      <vt:lpstr>IS_pagos_fracc_grupos_consolidados</vt:lpstr>
      <vt:lpstr>IS_pagos_fracc_pymes</vt:lpstr>
      <vt:lpstr>IS_pagos_fraccionados</vt:lpstr>
      <vt:lpstr>IS_RDA_grandes_empresas_no_grupos</vt:lpstr>
      <vt:lpstr>IS_RDA_grupos_consolidados</vt:lpstr>
      <vt:lpstr>IS_RDA_neto</vt:lpstr>
      <vt:lpstr>IS_RDA_pymes</vt:lpstr>
      <vt:lpstr>IS_RDA_resto</vt:lpstr>
      <vt:lpstr>IVA_AATT</vt:lpstr>
      <vt:lpstr>IVA_bruto</vt:lpstr>
      <vt:lpstr>IVA_bruto_otros_ingresos</vt:lpstr>
      <vt:lpstr>IVA_CCAA</vt:lpstr>
      <vt:lpstr>IVA_CCLL</vt:lpstr>
      <vt:lpstr>IVA_devoluciones_ajustesNavarra</vt:lpstr>
      <vt:lpstr>IVA_devoluciones_AjustesPV</vt:lpstr>
      <vt:lpstr>IVA_devoluciones_anuales_y_otras</vt:lpstr>
      <vt:lpstr>IVA_devoluciones_importaciones</vt:lpstr>
      <vt:lpstr>IVA_devoluciones_mensuales</vt:lpstr>
      <vt:lpstr>IVA_devoluciones_total</vt:lpstr>
      <vt:lpstr>IVA_Estado</vt:lpstr>
      <vt:lpstr>IVA_grandes_empresas</vt:lpstr>
      <vt:lpstr>IVA_importaciones_bruto</vt:lpstr>
      <vt:lpstr>IVA_oper_interiores_bruto</vt:lpstr>
      <vt:lpstr>IVA_operac_interiores_otros_ingresos</vt:lpstr>
      <vt:lpstr>IVA_pymes</vt:lpstr>
      <vt:lpstr>IVA_total_neto</vt:lpstr>
      <vt:lpstr>Mes_datos</vt:lpstr>
      <vt:lpstr>Mes_homogeneos</vt:lpstr>
      <vt:lpstr>'Table 1.1'!Mes_seleccionado</vt:lpstr>
      <vt:lpstr>'Table 2.1'!Mes_seleccionado_C.2.1</vt:lpstr>
      <vt:lpstr>'Table 2.4'!Mes_seleccionado_C.2.4</vt:lpstr>
      <vt:lpstr>'Table 3.1'!Mes_seleccionado_C.3.1</vt:lpstr>
      <vt:lpstr>Meses</vt:lpstr>
      <vt:lpstr>Other_revenue</vt:lpstr>
      <vt:lpstr>Periodo_homogeneos</vt:lpstr>
      <vt:lpstr>'Table 1.1'!Periodo_seleccionado</vt:lpstr>
      <vt:lpstr>'Table 2.1'!Periodo_seleccionado_C.2.1</vt:lpstr>
      <vt:lpstr>'Table 2.4'!Periodo_seleccionado_C.2.4</vt:lpstr>
      <vt:lpstr>'Table 3.1'!Periodo_seleccionado_C.3.1</vt:lpstr>
      <vt:lpstr>PIT</vt:lpstr>
      <vt:lpstr>Resto_ingresos_brutos_total</vt:lpstr>
      <vt:lpstr>Resto_ingresos_devoluciones_total</vt:lpstr>
      <vt:lpstr>Resto_ingresos_netos_canon_aguas</vt:lpstr>
      <vt:lpstr>Resto_ingresos_netos_fisc_ambiental_CapI</vt:lpstr>
      <vt:lpstr>Resto_ingresos_netos_gases_fluorados</vt:lpstr>
      <vt:lpstr>Resto_ingresos_netos_Imp_activ_juego</vt:lpstr>
      <vt:lpstr>Resto_ingresos_netos_imp_ambientales_total</vt:lpstr>
      <vt:lpstr>Resto_ingresos_netos_Impuesto_Servicios_Digitales</vt:lpstr>
      <vt:lpstr>Resto_ingresos_netos_Impuesto_Transacciones_Financieras</vt:lpstr>
      <vt:lpstr>Resto_ingresos_netos_otros_CapI</vt:lpstr>
      <vt:lpstr>Resto_ingresos_netos_otros_CapII</vt:lpstr>
      <vt:lpstr>Resto_ingresos_netos_otros_CapIII</vt:lpstr>
      <vt:lpstr>Resto_ingresos_netos_otros_total</vt:lpstr>
      <vt:lpstr>Resto_ingresos_netos_primas_seguro</vt:lpstr>
      <vt:lpstr>Resto_ingresos_netos_tasa_radioelectr</vt:lpstr>
      <vt:lpstr>Resto_ingresos_netos_tasas</vt:lpstr>
      <vt:lpstr>Resto_ingresos_netos_total</vt:lpstr>
      <vt:lpstr>Resto_ingresos_netos_trafico_exterior</vt:lpstr>
      <vt:lpstr>Total_Tax_Revenue</vt:lpstr>
      <vt:lpstr>VAT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AEAT</dc:creator>
  <cp:lastPrinted>2023-02-15T11:28:26Z</cp:lastPrinted>
  <dcterms:created xsi:type="dcterms:W3CDTF">2020-02-25T12:02:17Z</dcterms:created>
  <dcterms:modified xsi:type="dcterms:W3CDTF">2024-03-12T09:06:38Z</dcterms:modified>
</cp:coreProperties>
</file>